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<sst xmlns="http://schemas.openxmlformats.org/spreadsheetml/2006/main" count="469" uniqueCount="80">
  <si>
    <t xml:space="preserve">Anuitate constanta intreaga posticipata</t>
  </si>
  <si>
    <t xml:space="preserve">Anuitate constanta intreaga anticipata</t>
  </si>
  <si>
    <t xml:space="preserve">Anuitate constanta fractionata posticipata</t>
  </si>
  <si>
    <t xml:space="preserve">Anuitate constanta fractionata anticipata</t>
  </si>
  <si>
    <t xml:space="preserve">Ce suma? V(t)=?</t>
  </si>
  <si>
    <t xml:space="preserve">t</t>
  </si>
  <si>
    <t xml:space="preserve">perioada</t>
  </si>
  <si>
    <t xml:space="preserve">daca t=0 =&gt;V(t) sau Vm(t) este IN
daca t=n =&gt; V(t) sau Vm(t) este FIN</t>
  </si>
  <si>
    <t xml:space="preserve">n</t>
  </si>
  <si>
    <t xml:space="preserve">semestri2/trimestru4/lunar12</t>
  </si>
  <si>
    <t xml:space="preserve">m</t>
  </si>
  <si>
    <t xml:space="preserve">suma finala</t>
  </si>
  <si>
    <t xml:space="preserve">r</t>
  </si>
  <si>
    <t xml:space="preserve">rata anuala a dobanzii/dobanda unitara</t>
  </si>
  <si>
    <t xml:space="preserve">i=im*m</t>
  </si>
  <si>
    <t xml:space="preserve">im</t>
  </si>
  <si>
    <t xml:space="preserve">im=i/m</t>
  </si>
  <si>
    <t xml:space="preserve">i</t>
  </si>
  <si>
    <t xml:space="preserve">ani</t>
  </si>
  <si>
    <t xml:space="preserve">u</t>
  </si>
  <si>
    <t xml:space="preserve">u=1+i</t>
  </si>
  <si>
    <t xml:space="preserve">u=1+im</t>
  </si>
  <si>
    <t xml:space="preserve">v</t>
  </si>
  <si>
    <t xml:space="preserve">v=1/u</t>
  </si>
  <si>
    <t xml:space="preserve">V(t)</t>
  </si>
  <si>
    <t xml:space="preserve">V(t)=r*(1-v^n)/i*u^t</t>
  </si>
  <si>
    <t xml:space="preserve">V(t)=r*(1-v^n)/i*u^(t+1)</t>
  </si>
  <si>
    <t xml:space="preserve">Vm(t)</t>
  </si>
  <si>
    <t xml:space="preserve">V(t)=r*(1-v^(n*m))/im*u^(t*m)</t>
  </si>
  <si>
    <t xml:space="preserve">Vm(t)=r*((1-v^(n*m))/im)*u^(t*m+1)</t>
  </si>
  <si>
    <t xml:space="preserve">Ce rata? r=?</t>
  </si>
  <si>
    <t xml:space="preserve">rata anuala a dobanzii</t>
  </si>
  <si>
    <t xml:space="preserve">r=V(t)*i/(1-v^n)/u^t</t>
  </si>
  <si>
    <t xml:space="preserve">r=V(t)*i/(1-v^n)/u^(t+1)</t>
  </si>
  <si>
    <t xml:space="preserve">r=V(t)*im/((1-v^(n*m))*u^(t*m))</t>
  </si>
  <si>
    <t xml:space="preserve">r=Vm(t)*im/((1-v^(n*m))*u^(t*m+1))</t>
  </si>
  <si>
    <t xml:space="preserve">Cat timp? n=?</t>
  </si>
  <si>
    <t xml:space="preserve">n=lg(1-V(t)*i/r*u^t)/lgv</t>
  </si>
  <si>
    <t xml:space="preserve">n=lg(1-V(t)*i/r*u^(t+1))/lgv</t>
  </si>
  <si>
    <t xml:space="preserve">n=lg(1-(Vm(t)*im/r*u^(t*m)))/m*lg(v)</t>
  </si>
  <si>
    <t xml:space="preserve">n=lg(1-(Vmt*im/r/u^(t*m+1)))/lg(v^m)</t>
  </si>
  <si>
    <t xml:space="preserve">Împrumuturi. Rambursări directe întregi.</t>
  </si>
  <si>
    <t xml:space="preserve">Cote constante</t>
  </si>
  <si>
    <t xml:space="preserve">Rate constante</t>
  </si>
  <si>
    <t xml:space="preserve">Q=</t>
  </si>
  <si>
    <t xml:space="preserve">r=</t>
  </si>
  <si>
    <t xml:space="preserve"> r=</t>
  </si>
  <si>
    <t xml:space="preserve">s=</t>
  </si>
  <si>
    <t xml:space="preserve">n=</t>
  </si>
  <si>
    <t xml:space="preserve">IF subperioade inmultim anii cu subperioada</t>
  </si>
  <si>
    <t xml:space="preserve">Calcule prin diferente</t>
  </si>
  <si>
    <t xml:space="preserve">i=</t>
  </si>
  <si>
    <t xml:space="preserve">0.0399</t>
  </si>
  <si>
    <t xml:space="preserve">se foloseste im(if subperioade)</t>
  </si>
  <si>
    <t xml:space="preserve">Calcule prin Formule</t>
  </si>
  <si>
    <t xml:space="preserve">Q=s/n</t>
  </si>
  <si>
    <t xml:space="preserve">u=</t>
  </si>
  <si>
    <t xml:space="preserve">s=Q*n</t>
  </si>
  <si>
    <t xml:space="preserve">v=</t>
  </si>
  <si>
    <t xml:space="preserve">n=s/Q</t>
  </si>
  <si>
    <t xml:space="preserve">r=s*i/(1-v^n)</t>
  </si>
  <si>
    <t xml:space="preserve">s=r*(1-v^n)/i</t>
  </si>
  <si>
    <t xml:space="preserve">An</t>
  </si>
  <si>
    <t xml:space="preserve">Datorie(R)</t>
  </si>
  <si>
    <t xml:space="preserve">Dobândă(D)</t>
  </si>
  <si>
    <t xml:space="preserve">Cota(Q)</t>
  </si>
  <si>
    <t xml:space="preserve">Rata(r)</t>
  </si>
  <si>
    <t xml:space="preserve">Cand R = 0 sau D = 0 rezultatele respective si cele de mai jos nu se iau in calcul (aveti red cells)</t>
  </si>
  <si>
    <t xml:space="preserve">Asta ar trebui sa fie evident tho, dar am notat sa ma asigur ca nu va bag in dubii &lt;3</t>
  </si>
  <si>
    <t xml:space="preserve">Fond Acumulare</t>
  </si>
  <si>
    <t xml:space="preserve">Sin(Suma initiala)</t>
  </si>
  <si>
    <t xml:space="preserve">D'(aialalta db)</t>
  </si>
  <si>
    <t xml:space="preserve">Sfin(suma finala)</t>
  </si>
  <si>
    <t xml:space="preserve">Fond Acumulare rate constante</t>
  </si>
  <si>
    <t xml:space="preserve">Dobanda Achitata Efectiv</t>
  </si>
  <si>
    <t xml:space="preserve">Plata efectiva</t>
  </si>
  <si>
    <t xml:space="preserve">aia ce nu se achita</t>
  </si>
  <si>
    <t xml:space="preserve">t=</t>
  </si>
  <si>
    <t xml:space="preserve">dobanda totala =</t>
  </si>
  <si>
    <t xml:space="preserve">Cote descrescatoare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</si>
</sst>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0000"/>
    <numFmt numFmtId="166" formatCode="0.00%"/>
    <numFmt numFmtId="167" formatCode="#,##0.000000"/>
    <numFmt numFmtId="168" formatCode="#,##0.00"/>
    <numFmt numFmtId="169" formatCode="@"/>
    <numFmt numFmtId="170" formatCode="0.00"/>
    <numFmt numFmtId="171" formatCode="#,##0.0000000"/>
    <numFmt numFmtId="172" formatCode="#,##0"/>
    <numFmt numFmtId="173" formatCode="0.00000000"/>
    <numFmt numFmtId="174" formatCode="General"/>
    <numFmt numFmtId="175" formatCode="#,##0.0000"/>
    <numFmt numFmtId="176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3F3F3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EFEFEF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238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rgb="FFCC0000"/>
        <bgColor rgb="FFC00000"/>
      </patternFill>
    </fill>
    <fill>
      <patternFill patternType="solid">
        <fgColor rgb="FF00FFFF"/>
        <bgColor rgb="FF00FFFF"/>
      </patternFill>
    </fill>
    <fill>
      <patternFill patternType="solid">
        <fgColor rgb="FF741B47"/>
        <bgColor rgb="FF800080"/>
      </patternFill>
    </fill>
    <fill>
      <patternFill patternType="solid">
        <fgColor rgb="FF9FC5E8"/>
        <bgColor rgb="FFA2C4C9"/>
      </patternFill>
    </fill>
    <fill>
      <patternFill patternType="solid">
        <fgColor rgb="FFEA9999"/>
        <bgColor rgb="FFD5A6BD"/>
      </patternFill>
    </fill>
    <fill>
      <patternFill patternType="solid">
        <fgColor rgb="FFA2C4C9"/>
        <bgColor rgb="FF9FC5E8"/>
      </patternFill>
    </fill>
    <fill>
      <patternFill patternType="solid">
        <fgColor rgb="FFD5A6BD"/>
        <bgColor rgb="FFEA9999"/>
      </patternFill>
    </fill>
    <fill>
      <patternFill patternType="solid">
        <fgColor rgb="FFFF6D01"/>
        <bgColor rgb="FFFF9900"/>
      </patternFill>
    </fill>
    <fill>
      <patternFill patternType="solid">
        <fgColor rgb="FF46BDC6"/>
        <bgColor rgb="FF339966"/>
      </patternFill>
    </fill>
    <fill>
      <patternFill patternType="solid">
        <fgColor rgb="FFF7B4AE"/>
        <bgColor rgb="FFD5A6BD"/>
      </patternFill>
    </fill>
    <fill>
      <patternFill patternType="solid">
        <fgColor rgb="FFB5E5E8"/>
        <bgColor rgb="FFCCFFFF"/>
      </patternFill>
    </fill>
    <fill>
      <patternFill patternType="solid">
        <fgColor rgb="FFFFA767"/>
        <bgColor rgb="FFEA9999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n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5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5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5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7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13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5" fillId="1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3F3F3"/>
      <rgbColor rgb="FFCC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EFEFEF"/>
      <rgbColor rgb="FFCCFFFF"/>
      <rgbColor rgb="FF741B47"/>
      <rgbColor rgb="FFFFA767"/>
      <rgbColor rgb="FF0B5394"/>
      <rgbColor rgb="FFB5E5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D5A6BD"/>
      <rgbColor rgb="FFF7B4AE"/>
      <rgbColor rgb="FF3366FF"/>
      <rgbColor rgb="FF46BDC6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0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3" activeCellId="0" sqref="D3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3.86"/>
    <col collapsed="false" customWidth="true" hidden="false" outlineLevel="0" max="3" min="3" style="0" width="28.42"/>
    <col collapsed="false" customWidth="true" hidden="false" outlineLevel="0" max="4" min="4" style="0" width="13.86"/>
    <col collapsed="false" customWidth="true" hidden="false" outlineLevel="0" max="5" min="5" style="0" width="23.71"/>
    <col collapsed="false" customWidth="true" hidden="false" outlineLevel="0" max="6" min="6" style="0" width="29.86"/>
    <col collapsed="false" customWidth="true" hidden="false" outlineLevel="0" max="7" min="7" style="0" width="21.14"/>
    <col collapsed="false" customWidth="true" hidden="false" outlineLevel="0" max="8" min="8" style="0" width="30.28"/>
    <col collapsed="false" customWidth="true" hidden="false" outlineLevel="0" max="9" min="9" style="0" width="43.14"/>
    <col collapsed="false" customWidth="true" hidden="false" outlineLevel="0" max="10" min="10" style="0" width="21.71"/>
    <col collapsed="false" customWidth="true" hidden="false" outlineLevel="0" max="11" min="11" style="0" width="25.29"/>
    <col collapsed="false" customWidth="true" hidden="false" outlineLevel="0" max="12" min="12" style="0" width="44.71"/>
    <col collapsed="false" customWidth="true" hidden="false" outlineLevel="0" max="13" min="13" style="0" width="22.57"/>
    <col collapsed="false" customWidth="true" hidden="false" outlineLevel="0" max="14" min="14" style="0" width="27.29"/>
    <col collapsed="false" customWidth="true" hidden="false" outlineLevel="0" max="15" min="15" style="0" width="25.29"/>
    <col collapsed="false" customWidth="true" hidden="false" outlineLevel="0" max="16" min="16" style="0" width="23.28"/>
    <col collapsed="false" customWidth="true" hidden="false" outlineLevel="0" max="17" min="17" style="0" width="24.71"/>
    <col collapsed="false" customWidth="true" hidden="false" outlineLevel="0" max="18" min="18" style="0" width="28.86"/>
    <col collapsed="false" customWidth="true" hidden="false" outlineLevel="0" max="19" min="19" style="0" width="27.71"/>
    <col collapsed="false" customWidth="true" hidden="false" outlineLevel="0" max="30" min="20" style="0" width="10.99"/>
    <col collapsed="false" customWidth="true" hidden="false" outlineLevel="0" max="31" min="31" style="0" width="32.29"/>
    <col collapsed="false" customWidth="true" hidden="false" outlineLevel="0" max="33" min="32" style="0" width="10.99"/>
    <col collapsed="false" customWidth="true" hidden="false" outlineLevel="0" max="34" min="34" style="0" width="31.57"/>
    <col collapsed="false" customWidth="true" hidden="false" outlineLevel="0" max="36" min="35" style="0" width="10.99"/>
    <col collapsed="false" customWidth="true" hidden="false" outlineLevel="0" max="37" min="37" style="0" width="42.86"/>
    <col collapsed="false" customWidth="true" hidden="false" outlineLevel="0" max="39" min="38" style="0" width="10.99"/>
    <col collapsed="false" customWidth="true" hidden="false" outlineLevel="0" max="40" min="40" style="0" width="44.14"/>
    <col collapsed="false" customWidth="true" hidden="false" outlineLevel="0" max="60" min="41" style="0" width="10.99"/>
  </cols>
  <sheetData>
    <row r="1" customFormat="false" ht="18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4" t="s">
        <v>3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6"/>
      <c r="AB1" s="6"/>
      <c r="AC1" s="1" t="s">
        <v>0</v>
      </c>
      <c r="AD1" s="1"/>
      <c r="AE1" s="1"/>
      <c r="AF1" s="2" t="s">
        <v>1</v>
      </c>
      <c r="AG1" s="2"/>
      <c r="AH1" s="2"/>
      <c r="AI1" s="3" t="s">
        <v>2</v>
      </c>
      <c r="AJ1" s="3"/>
      <c r="AK1" s="3"/>
      <c r="AL1" s="4" t="s">
        <v>3</v>
      </c>
      <c r="AM1" s="4"/>
      <c r="AN1" s="4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 customFormat="false" ht="18.75" hidden="false" customHeight="true" outlineLevel="0" collapsed="false">
      <c r="A2" s="1" t="s">
        <v>4</v>
      </c>
      <c r="B2" s="1"/>
      <c r="C2" s="1"/>
      <c r="D2" s="2" t="s">
        <v>4</v>
      </c>
      <c r="E2" s="2"/>
      <c r="F2" s="2"/>
      <c r="G2" s="3" t="s">
        <v>4</v>
      </c>
      <c r="H2" s="3"/>
      <c r="I2" s="3"/>
      <c r="J2" s="4" t="s">
        <v>4</v>
      </c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6"/>
      <c r="AB2" s="6"/>
      <c r="AC2" s="1" t="s">
        <v>4</v>
      </c>
      <c r="AD2" s="1"/>
      <c r="AE2" s="1"/>
      <c r="AF2" s="2" t="s">
        <v>4</v>
      </c>
      <c r="AG2" s="2"/>
      <c r="AH2" s="2"/>
      <c r="AI2" s="3" t="s">
        <v>4</v>
      </c>
      <c r="AJ2" s="3"/>
      <c r="AK2" s="3"/>
      <c r="AL2" s="4" t="s">
        <v>4</v>
      </c>
      <c r="AM2" s="4"/>
      <c r="AN2" s="4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customFormat="false" ht="18.75" hidden="false" customHeight="true" outlineLevel="0" collapsed="false">
      <c r="A3" s="9" t="s">
        <v>5</v>
      </c>
      <c r="B3" s="10" t="n">
        <v>8</v>
      </c>
      <c r="C3" s="11"/>
      <c r="D3" s="12" t="s">
        <v>5</v>
      </c>
      <c r="E3" s="13" t="n">
        <v>6</v>
      </c>
      <c r="F3" s="14"/>
      <c r="G3" s="15" t="s">
        <v>5</v>
      </c>
      <c r="H3" s="16" t="n">
        <v>6</v>
      </c>
      <c r="I3" s="17" t="s">
        <v>6</v>
      </c>
      <c r="J3" s="18" t="s">
        <v>5</v>
      </c>
      <c r="K3" s="19" t="n">
        <v>0</v>
      </c>
      <c r="L3" s="20"/>
      <c r="M3" s="5"/>
      <c r="N3" s="21" t="s">
        <v>7</v>
      </c>
      <c r="O3" s="21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A3" s="6"/>
      <c r="AB3" s="6"/>
      <c r="AC3" s="22" t="s">
        <v>5</v>
      </c>
      <c r="AD3" s="10" t="n">
        <v>0</v>
      </c>
      <c r="AE3" s="11"/>
      <c r="AF3" s="12" t="s">
        <v>5</v>
      </c>
      <c r="AG3" s="23" t="n">
        <v>0</v>
      </c>
      <c r="AH3" s="14"/>
      <c r="AI3" s="15" t="s">
        <v>5</v>
      </c>
      <c r="AJ3" s="24" t="n">
        <v>0</v>
      </c>
      <c r="AK3" s="17" t="s">
        <v>6</v>
      </c>
      <c r="AL3" s="18" t="s">
        <v>5</v>
      </c>
      <c r="AM3" s="25" t="n">
        <v>0</v>
      </c>
      <c r="AN3" s="20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customFormat="false" ht="18.75" hidden="false" customHeight="true" outlineLevel="0" collapsed="false">
      <c r="A4" s="9" t="s">
        <v>8</v>
      </c>
      <c r="B4" s="10" t="n">
        <v>8</v>
      </c>
      <c r="C4" s="11"/>
      <c r="D4" s="12" t="s">
        <v>8</v>
      </c>
      <c r="E4" s="13" t="n">
        <v>10</v>
      </c>
      <c r="F4" s="14"/>
      <c r="G4" s="15" t="s">
        <v>8</v>
      </c>
      <c r="H4" s="16" t="n">
        <v>6</v>
      </c>
      <c r="I4" s="17" t="s">
        <v>9</v>
      </c>
      <c r="J4" s="18" t="s">
        <v>8</v>
      </c>
      <c r="K4" s="19" t="n">
        <v>10</v>
      </c>
      <c r="L4" s="20"/>
      <c r="M4" s="5"/>
      <c r="N4" s="21"/>
      <c r="O4" s="21"/>
      <c r="P4" s="5"/>
      <c r="Q4" s="5"/>
      <c r="R4" s="5"/>
      <c r="S4" s="5"/>
      <c r="T4" s="5"/>
      <c r="U4" s="5"/>
      <c r="V4" s="5"/>
      <c r="W4" s="5"/>
      <c r="X4" s="5"/>
      <c r="Y4" s="5"/>
      <c r="Z4" s="6"/>
      <c r="AA4" s="6"/>
      <c r="AB4" s="6"/>
      <c r="AC4" s="22" t="s">
        <v>8</v>
      </c>
      <c r="AD4" s="10" t="n">
        <v>22</v>
      </c>
      <c r="AE4" s="11"/>
      <c r="AF4" s="12" t="s">
        <v>8</v>
      </c>
      <c r="AG4" s="23" t="n">
        <v>8</v>
      </c>
      <c r="AH4" s="14"/>
      <c r="AI4" s="15" t="s">
        <v>8</v>
      </c>
      <c r="AJ4" s="24" t="n">
        <v>14</v>
      </c>
      <c r="AK4" s="17" t="s">
        <v>9</v>
      </c>
      <c r="AL4" s="18" t="s">
        <v>8</v>
      </c>
      <c r="AM4" s="25" t="n">
        <v>10</v>
      </c>
      <c r="AN4" s="20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customFormat="false" ht="18.75" hidden="false" customHeight="true" outlineLevel="0" collapsed="false">
      <c r="A5" s="9"/>
      <c r="B5" s="10"/>
      <c r="C5" s="11"/>
      <c r="D5" s="12"/>
      <c r="E5" s="13"/>
      <c r="F5" s="14"/>
      <c r="G5" s="15" t="s">
        <v>10</v>
      </c>
      <c r="H5" s="16" t="n">
        <v>9</v>
      </c>
      <c r="I5" s="17" t="s">
        <v>11</v>
      </c>
      <c r="J5" s="18" t="s">
        <v>10</v>
      </c>
      <c r="K5" s="19" t="n">
        <v>2</v>
      </c>
      <c r="L5" s="20"/>
      <c r="M5" s="5"/>
      <c r="N5" s="21"/>
      <c r="O5" s="21"/>
      <c r="P5" s="5"/>
      <c r="Q5" s="5"/>
      <c r="R5" s="5"/>
      <c r="S5" s="5"/>
      <c r="T5" s="5"/>
      <c r="U5" s="5"/>
      <c r="V5" s="5"/>
      <c r="W5" s="5"/>
      <c r="X5" s="5"/>
      <c r="Y5" s="5"/>
      <c r="Z5" s="6"/>
      <c r="AA5" s="6"/>
      <c r="AB5" s="6"/>
      <c r="AC5" s="22"/>
      <c r="AD5" s="10"/>
      <c r="AE5" s="11"/>
      <c r="AF5" s="12"/>
      <c r="AG5" s="23"/>
      <c r="AH5" s="14"/>
      <c r="AI5" s="15" t="s">
        <v>10</v>
      </c>
      <c r="AJ5" s="24" t="n">
        <v>12</v>
      </c>
      <c r="AK5" s="17" t="s">
        <v>11</v>
      </c>
      <c r="AL5" s="18" t="s">
        <v>10</v>
      </c>
      <c r="AM5" s="25" t="n">
        <v>2</v>
      </c>
      <c r="AN5" s="20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customFormat="false" ht="18.75" hidden="false" customHeight="true" outlineLevel="0" collapsed="false">
      <c r="A6" s="9" t="s">
        <v>12</v>
      </c>
      <c r="B6" s="10" t="n">
        <v>395.28</v>
      </c>
      <c r="C6" s="11"/>
      <c r="D6" s="12" t="s">
        <v>12</v>
      </c>
      <c r="E6" s="13" t="n">
        <v>437.97</v>
      </c>
      <c r="F6" s="14"/>
      <c r="G6" s="15" t="s">
        <v>12</v>
      </c>
      <c r="H6" s="16" t="n">
        <v>268.956006</v>
      </c>
      <c r="I6" s="17" t="s">
        <v>13</v>
      </c>
      <c r="J6" s="18" t="s">
        <v>12</v>
      </c>
      <c r="K6" s="19" t="n">
        <v>3537.58</v>
      </c>
      <c r="L6" s="25" t="s">
        <v>14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  <c r="AA6" s="6"/>
      <c r="AB6" s="6"/>
      <c r="AC6" s="22" t="s">
        <v>12</v>
      </c>
      <c r="AD6" s="10" t="n">
        <v>2010</v>
      </c>
      <c r="AE6" s="11"/>
      <c r="AF6" s="12" t="s">
        <v>12</v>
      </c>
      <c r="AG6" s="23" t="n">
        <v>150</v>
      </c>
      <c r="AH6" s="14"/>
      <c r="AI6" s="15" t="s">
        <v>12</v>
      </c>
      <c r="AJ6" s="24" t="n">
        <v>25400</v>
      </c>
      <c r="AK6" s="17" t="s">
        <v>13</v>
      </c>
      <c r="AL6" s="18" t="s">
        <v>12</v>
      </c>
      <c r="AM6" s="25" t="n">
        <v>3537.58</v>
      </c>
      <c r="AN6" s="25" t="s">
        <v>14</v>
      </c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customFormat="false" ht="18.75" hidden="false" customHeight="true" outlineLevel="0" collapsed="false">
      <c r="A7" s="9"/>
      <c r="B7" s="10"/>
      <c r="C7" s="11"/>
      <c r="D7" s="12"/>
      <c r="E7" s="13"/>
      <c r="F7" s="14"/>
      <c r="G7" s="15" t="s">
        <v>15</v>
      </c>
      <c r="H7" s="26" t="n">
        <f aca="false">H8/H5</f>
        <v>0.00598888888888889</v>
      </c>
      <c r="I7" s="27" t="s">
        <v>16</v>
      </c>
      <c r="J7" s="18" t="s">
        <v>15</v>
      </c>
      <c r="K7" s="28" t="n">
        <f aca="false">K8/K5</f>
        <v>0.04</v>
      </c>
      <c r="L7" s="25" t="s">
        <v>16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A7" s="6"/>
      <c r="AB7" s="6"/>
      <c r="AC7" s="22"/>
      <c r="AD7" s="10"/>
      <c r="AE7" s="11"/>
      <c r="AF7" s="12"/>
      <c r="AG7" s="23"/>
      <c r="AH7" s="14"/>
      <c r="AI7" s="15" t="s">
        <v>15</v>
      </c>
      <c r="AJ7" s="29" t="n">
        <f aca="false">AJ8/AJ5</f>
        <v>0.0135</v>
      </c>
      <c r="AK7" s="27" t="s">
        <v>16</v>
      </c>
      <c r="AL7" s="18" t="s">
        <v>15</v>
      </c>
      <c r="AM7" s="30" t="n">
        <f aca="false">AM8/AM5</f>
        <v>0.04</v>
      </c>
      <c r="AN7" s="25" t="s">
        <v>16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customFormat="false" ht="18.75" hidden="false" customHeight="true" outlineLevel="0" collapsed="false">
      <c r="A8" s="31" t="s">
        <v>17</v>
      </c>
      <c r="B8" s="32" t="n">
        <v>0.0286</v>
      </c>
      <c r="C8" s="11"/>
      <c r="D8" s="33" t="s">
        <v>17</v>
      </c>
      <c r="E8" s="34" t="n">
        <v>0.0978</v>
      </c>
      <c r="F8" s="14"/>
      <c r="G8" s="35" t="s">
        <v>17</v>
      </c>
      <c r="H8" s="36" t="n">
        <v>0.0539</v>
      </c>
      <c r="I8" s="17" t="s">
        <v>18</v>
      </c>
      <c r="J8" s="37" t="s">
        <v>17</v>
      </c>
      <c r="K8" s="38" t="n">
        <v>0.08</v>
      </c>
      <c r="L8" s="2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  <c r="AA8" s="6"/>
      <c r="AB8" s="6"/>
      <c r="AC8" s="39" t="s">
        <v>17</v>
      </c>
      <c r="AD8" s="32" t="n">
        <v>0.129</v>
      </c>
      <c r="AE8" s="11"/>
      <c r="AF8" s="33" t="s">
        <v>17</v>
      </c>
      <c r="AG8" s="40" t="n">
        <v>0.084</v>
      </c>
      <c r="AH8" s="14"/>
      <c r="AI8" s="35" t="s">
        <v>17</v>
      </c>
      <c r="AJ8" s="41" t="n">
        <v>0.162</v>
      </c>
      <c r="AK8" s="17" t="s">
        <v>18</v>
      </c>
      <c r="AL8" s="37" t="s">
        <v>17</v>
      </c>
      <c r="AM8" s="42" t="n">
        <v>0.08</v>
      </c>
      <c r="AN8" s="20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customFormat="false" ht="18.75" hidden="false" customHeight="true" outlineLevel="0" collapsed="false">
      <c r="A9" s="9" t="s">
        <v>19</v>
      </c>
      <c r="B9" s="43" t="n">
        <f aca="false">B8+1</f>
        <v>1.0286</v>
      </c>
      <c r="C9" s="10" t="s">
        <v>20</v>
      </c>
      <c r="D9" s="12" t="s">
        <v>19</v>
      </c>
      <c r="E9" s="44" t="n">
        <f aca="false">E8+1</f>
        <v>1.0978</v>
      </c>
      <c r="F9" s="23" t="s">
        <v>20</v>
      </c>
      <c r="G9" s="15" t="s">
        <v>19</v>
      </c>
      <c r="H9" s="45" t="n">
        <f aca="false">1+H7</f>
        <v>1.00598888888889</v>
      </c>
      <c r="I9" s="24" t="s">
        <v>21</v>
      </c>
      <c r="J9" s="18" t="s">
        <v>19</v>
      </c>
      <c r="K9" s="46" t="n">
        <f aca="false">K7+1</f>
        <v>1.04</v>
      </c>
      <c r="L9" s="25" t="s">
        <v>21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  <c r="AA9" s="6"/>
      <c r="AB9" s="6"/>
      <c r="AC9" s="22" t="s">
        <v>19</v>
      </c>
      <c r="AD9" s="43" t="n">
        <f aca="false">AD8+1</f>
        <v>1.129</v>
      </c>
      <c r="AE9" s="10" t="s">
        <v>20</v>
      </c>
      <c r="AF9" s="12" t="s">
        <v>19</v>
      </c>
      <c r="AG9" s="47" t="n">
        <f aca="false">AG8+1</f>
        <v>1.084</v>
      </c>
      <c r="AH9" s="23" t="s">
        <v>20</v>
      </c>
      <c r="AI9" s="15" t="s">
        <v>19</v>
      </c>
      <c r="AJ9" s="48" t="n">
        <f aca="false">1+AJ7</f>
        <v>1.0135</v>
      </c>
      <c r="AK9" s="24" t="s">
        <v>21</v>
      </c>
      <c r="AL9" s="18" t="s">
        <v>19</v>
      </c>
      <c r="AM9" s="49" t="n">
        <f aca="false">AM7+1</f>
        <v>1.04</v>
      </c>
      <c r="AN9" s="25" t="s">
        <v>21</v>
      </c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customFormat="false" ht="18.75" hidden="false" customHeight="true" outlineLevel="0" collapsed="false">
      <c r="A10" s="31" t="s">
        <v>22</v>
      </c>
      <c r="B10" s="50" t="n">
        <f aca="false">1/B9</f>
        <v>0.972195216799533</v>
      </c>
      <c r="C10" s="10" t="s">
        <v>23</v>
      </c>
      <c r="D10" s="33" t="s">
        <v>22</v>
      </c>
      <c r="E10" s="51" t="n">
        <f aca="false">1/E9</f>
        <v>0.910912734560029</v>
      </c>
      <c r="F10" s="23" t="s">
        <v>23</v>
      </c>
      <c r="G10" s="35" t="s">
        <v>22</v>
      </c>
      <c r="H10" s="52" t="n">
        <f aca="false">1/H9</f>
        <v>0.994046764377782</v>
      </c>
      <c r="I10" s="24" t="s">
        <v>23</v>
      </c>
      <c r="J10" s="37" t="s">
        <v>22</v>
      </c>
      <c r="K10" s="53" t="n">
        <f aca="false">1/K9</f>
        <v>0.961538461538461</v>
      </c>
      <c r="L10" s="25" t="s">
        <v>23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  <c r="AA10" s="6"/>
      <c r="AB10" s="6"/>
      <c r="AC10" s="39" t="s">
        <v>22</v>
      </c>
      <c r="AD10" s="50" t="n">
        <f aca="false">1/AD9</f>
        <v>0.885739592559787</v>
      </c>
      <c r="AE10" s="10" t="s">
        <v>23</v>
      </c>
      <c r="AF10" s="33" t="s">
        <v>22</v>
      </c>
      <c r="AG10" s="54" t="n">
        <f aca="false">1/AG9</f>
        <v>0.922509225092251</v>
      </c>
      <c r="AH10" s="23" t="s">
        <v>23</v>
      </c>
      <c r="AI10" s="35" t="s">
        <v>22</v>
      </c>
      <c r="AJ10" s="55" t="n">
        <f aca="false">1/AJ9</f>
        <v>0.986679822397632</v>
      </c>
      <c r="AK10" s="24" t="s">
        <v>23</v>
      </c>
      <c r="AL10" s="37" t="s">
        <v>22</v>
      </c>
      <c r="AM10" s="56" t="n">
        <f aca="false">1/AM9</f>
        <v>0.961538461538461</v>
      </c>
      <c r="AN10" s="25" t="s">
        <v>23</v>
      </c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customFormat="false" ht="18.75" hidden="false" customHeight="true" outlineLevel="0" collapsed="false">
      <c r="A11" s="57" t="s">
        <v>24</v>
      </c>
      <c r="B11" s="58" t="n">
        <f aca="false">B6*(1-B10^B4)/B8*B9^B3</f>
        <v>3497.54864150379</v>
      </c>
      <c r="C11" s="10" t="s">
        <v>25</v>
      </c>
      <c r="D11" s="59" t="s">
        <v>24</v>
      </c>
      <c r="E11" s="60" t="n">
        <f aca="false">E6*(1-E10^E4)/E8*E9^(E3+1)</f>
        <v>5220.51922482787</v>
      </c>
      <c r="F11" s="23" t="s">
        <v>26</v>
      </c>
      <c r="G11" s="61" t="s">
        <v>27</v>
      </c>
      <c r="H11" s="62" t="n">
        <f aca="false">H6*(1-H10^(H4*H5))/H7*H9^(H3*H5)</f>
        <v>17087.2987356793</v>
      </c>
      <c r="I11" s="24" t="s">
        <v>28</v>
      </c>
      <c r="J11" s="63" t="s">
        <v>27</v>
      </c>
      <c r="K11" s="64" t="n">
        <f aca="false">K6*((1-K10^(K4*K5))/K7)*K9^(K3*K5+1)</f>
        <v>49999.9413382881</v>
      </c>
      <c r="L11" s="25" t="s">
        <v>29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A11" s="6"/>
      <c r="AB11" s="6"/>
      <c r="AC11" s="65" t="s">
        <v>24</v>
      </c>
      <c r="AD11" s="66" t="n">
        <f aca="false">AD6*(1-AD10^AD4)/AD8*AD9^AD3</f>
        <v>14501.6045441547</v>
      </c>
      <c r="AE11" s="10" t="s">
        <v>25</v>
      </c>
      <c r="AF11" s="59" t="s">
        <v>24</v>
      </c>
      <c r="AG11" s="60" t="n">
        <f aca="false">AG6*(1-AG10^AG4)/AG8*AG9^(AG3+1)</f>
        <v>920.384802186757</v>
      </c>
      <c r="AH11" s="23" t="s">
        <v>26</v>
      </c>
      <c r="AI11" s="61" t="s">
        <v>27</v>
      </c>
      <c r="AJ11" s="62" t="n">
        <f aca="false">AJ6*(1-AJ10^(AJ4*AJ5))/AJ7*AJ9^(AJ3*AJ5)</f>
        <v>1683734.69290586</v>
      </c>
      <c r="AK11" s="24" t="s">
        <v>28</v>
      </c>
      <c r="AL11" s="63" t="s">
        <v>27</v>
      </c>
      <c r="AM11" s="64" t="n">
        <f aca="false">AM6*((1-AM10^(AM4*AM5))/AM7)*AM9^(AM3*AM5+1)</f>
        <v>49999.9413382881</v>
      </c>
      <c r="AN11" s="25" t="s">
        <v>29</v>
      </c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customFormat="false" ht="18.75" hidden="false" customHeight="true" outlineLevel="0" collapsed="false">
      <c r="A12" s="1" t="s">
        <v>30</v>
      </c>
      <c r="B12" s="1"/>
      <c r="C12" s="1"/>
      <c r="D12" s="2" t="s">
        <v>30</v>
      </c>
      <c r="E12" s="2"/>
      <c r="F12" s="2"/>
      <c r="G12" s="3" t="s">
        <v>30</v>
      </c>
      <c r="H12" s="3"/>
      <c r="I12" s="3"/>
      <c r="J12" s="4" t="s">
        <v>30</v>
      </c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  <c r="AA12" s="6"/>
      <c r="AB12" s="6"/>
      <c r="AC12" s="1" t="s">
        <v>30</v>
      </c>
      <c r="AD12" s="1"/>
      <c r="AE12" s="1"/>
      <c r="AF12" s="2" t="s">
        <v>30</v>
      </c>
      <c r="AG12" s="2"/>
      <c r="AH12" s="2"/>
      <c r="AI12" s="3" t="s">
        <v>30</v>
      </c>
      <c r="AJ12" s="3"/>
      <c r="AK12" s="3"/>
      <c r="AL12" s="4" t="s">
        <v>30</v>
      </c>
      <c r="AM12" s="4"/>
      <c r="AN12" s="4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customFormat="false" ht="18.75" hidden="false" customHeight="true" outlineLevel="0" collapsed="false">
      <c r="A13" s="9" t="s">
        <v>5</v>
      </c>
      <c r="B13" s="10" t="n">
        <v>0</v>
      </c>
      <c r="C13" s="11"/>
      <c r="D13" s="12" t="s">
        <v>5</v>
      </c>
      <c r="E13" s="13" t="n">
        <v>0</v>
      </c>
      <c r="F13" s="14"/>
      <c r="G13" s="15" t="s">
        <v>5</v>
      </c>
      <c r="H13" s="16" t="n">
        <v>9</v>
      </c>
      <c r="I13" s="17" t="s">
        <v>6</v>
      </c>
      <c r="J13" s="18" t="s">
        <v>5</v>
      </c>
      <c r="K13" s="19" t="n">
        <v>0</v>
      </c>
      <c r="L13" s="2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  <c r="AA13" s="6"/>
      <c r="AB13" s="6"/>
      <c r="AC13" s="22" t="s">
        <v>5</v>
      </c>
      <c r="AD13" s="10" t="n">
        <v>0</v>
      </c>
      <c r="AE13" s="11"/>
      <c r="AF13" s="12" t="s">
        <v>5</v>
      </c>
      <c r="AG13" s="23" t="n">
        <v>0</v>
      </c>
      <c r="AH13" s="14"/>
      <c r="AI13" s="15" t="s">
        <v>5</v>
      </c>
      <c r="AJ13" s="24" t="n">
        <v>0</v>
      </c>
      <c r="AK13" s="17" t="s">
        <v>6</v>
      </c>
      <c r="AL13" s="18" t="s">
        <v>5</v>
      </c>
      <c r="AM13" s="25" t="n">
        <v>0</v>
      </c>
      <c r="AN13" s="20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customFormat="false" ht="18.75" hidden="false" customHeight="true" outlineLevel="0" collapsed="false">
      <c r="A14" s="9"/>
      <c r="B14" s="10"/>
      <c r="C14" s="11"/>
      <c r="D14" s="12"/>
      <c r="E14" s="13"/>
      <c r="F14" s="14"/>
      <c r="G14" s="15" t="s">
        <v>10</v>
      </c>
      <c r="H14" s="16" t="n">
        <v>2</v>
      </c>
      <c r="I14" s="17" t="s">
        <v>9</v>
      </c>
      <c r="J14" s="18" t="s">
        <v>10</v>
      </c>
      <c r="K14" s="19" t="n">
        <v>8</v>
      </c>
      <c r="L14" s="2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A14" s="6"/>
      <c r="AB14" s="6"/>
      <c r="AC14" s="22"/>
      <c r="AD14" s="10"/>
      <c r="AE14" s="11"/>
      <c r="AF14" s="12"/>
      <c r="AG14" s="23"/>
      <c r="AH14" s="14"/>
      <c r="AI14" s="15" t="s">
        <v>10</v>
      </c>
      <c r="AJ14" s="24" t="n">
        <v>8</v>
      </c>
      <c r="AK14" s="17" t="s">
        <v>9</v>
      </c>
      <c r="AL14" s="18" t="s">
        <v>10</v>
      </c>
      <c r="AM14" s="25" t="n">
        <v>2</v>
      </c>
      <c r="AN14" s="20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customFormat="false" ht="18.75" hidden="false" customHeight="true" outlineLevel="0" collapsed="false">
      <c r="A15" s="9" t="s">
        <v>24</v>
      </c>
      <c r="B15" s="10" t="n">
        <v>1969.03</v>
      </c>
      <c r="C15" s="11"/>
      <c r="D15" s="12" t="s">
        <v>24</v>
      </c>
      <c r="E15" s="13" t="n">
        <v>2356</v>
      </c>
      <c r="F15" s="14"/>
      <c r="G15" s="15" t="s">
        <v>27</v>
      </c>
      <c r="H15" s="16" t="n">
        <v>989.28</v>
      </c>
      <c r="I15" s="17" t="s">
        <v>11</v>
      </c>
      <c r="J15" s="18" t="s">
        <v>27</v>
      </c>
      <c r="K15" s="19" t="n">
        <v>2040.05</v>
      </c>
      <c r="L15" s="2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  <c r="AA15" s="6"/>
      <c r="AB15" s="6"/>
      <c r="AC15" s="22" t="s">
        <v>24</v>
      </c>
      <c r="AD15" s="10" t="n">
        <v>2010</v>
      </c>
      <c r="AE15" s="11"/>
      <c r="AF15" s="12" t="s">
        <v>24</v>
      </c>
      <c r="AG15" s="23" t="n">
        <v>25</v>
      </c>
      <c r="AH15" s="14"/>
      <c r="AI15" s="15" t="s">
        <v>27</v>
      </c>
      <c r="AJ15" s="24" t="n">
        <v>4500</v>
      </c>
      <c r="AK15" s="17" t="s">
        <v>11</v>
      </c>
      <c r="AL15" s="18" t="s">
        <v>27</v>
      </c>
      <c r="AM15" s="25" t="n">
        <v>50000</v>
      </c>
      <c r="AN15" s="20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customFormat="false" ht="18.75" hidden="false" customHeight="true" outlineLevel="0" collapsed="false">
      <c r="A16" s="9" t="s">
        <v>17</v>
      </c>
      <c r="B16" s="67" t="n">
        <v>0.0432</v>
      </c>
      <c r="C16" s="11"/>
      <c r="D16" s="12" t="s">
        <v>17</v>
      </c>
      <c r="E16" s="68" t="n">
        <v>0.1598</v>
      </c>
      <c r="F16" s="14"/>
      <c r="G16" s="15" t="s">
        <v>17</v>
      </c>
      <c r="H16" s="69" t="n">
        <v>0.0256</v>
      </c>
      <c r="I16" s="17" t="s">
        <v>31</v>
      </c>
      <c r="J16" s="18" t="s">
        <v>17</v>
      </c>
      <c r="K16" s="70" t="n">
        <v>0.0688</v>
      </c>
      <c r="L16" s="25" t="s">
        <v>14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  <c r="AA16" s="6"/>
      <c r="AB16" s="6"/>
      <c r="AC16" s="22" t="s">
        <v>17</v>
      </c>
      <c r="AD16" s="67" t="n">
        <v>0.129</v>
      </c>
      <c r="AE16" s="11"/>
      <c r="AF16" s="12" t="s">
        <v>17</v>
      </c>
      <c r="AG16" s="71" t="n">
        <v>0.084</v>
      </c>
      <c r="AH16" s="14"/>
      <c r="AI16" s="15" t="s">
        <v>17</v>
      </c>
      <c r="AJ16" s="72" t="n">
        <v>0.0688</v>
      </c>
      <c r="AK16" s="17" t="s">
        <v>31</v>
      </c>
      <c r="AL16" s="18" t="s">
        <v>17</v>
      </c>
      <c r="AM16" s="73" t="n">
        <v>0.08</v>
      </c>
      <c r="AN16" s="25" t="s">
        <v>14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customFormat="false" ht="18.75" hidden="false" customHeight="true" outlineLevel="0" collapsed="false">
      <c r="A17" s="9"/>
      <c r="B17" s="67"/>
      <c r="C17" s="11"/>
      <c r="D17" s="12"/>
      <c r="E17" s="68"/>
      <c r="F17" s="14"/>
      <c r="G17" s="15" t="s">
        <v>15</v>
      </c>
      <c r="H17" s="74" t="n">
        <f aca="false">H16/H14</f>
        <v>0.0128</v>
      </c>
      <c r="I17" s="27" t="s">
        <v>16</v>
      </c>
      <c r="J17" s="75" t="s">
        <v>15</v>
      </c>
      <c r="K17" s="76" t="n">
        <f aca="false">K16/K14</f>
        <v>0.0086</v>
      </c>
      <c r="L17" s="25" t="s">
        <v>16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  <c r="AA17" s="6"/>
      <c r="AB17" s="6"/>
      <c r="AC17" s="22"/>
      <c r="AD17" s="67"/>
      <c r="AE17" s="11"/>
      <c r="AF17" s="12"/>
      <c r="AG17" s="71"/>
      <c r="AH17" s="14"/>
      <c r="AI17" s="15" t="s">
        <v>15</v>
      </c>
      <c r="AJ17" s="77" t="n">
        <f aca="false">AJ16/AJ14</f>
        <v>0.0086</v>
      </c>
      <c r="AK17" s="27" t="s">
        <v>16</v>
      </c>
      <c r="AL17" s="75" t="s">
        <v>15</v>
      </c>
      <c r="AM17" s="78" t="n">
        <f aca="false">AM16/AM14</f>
        <v>0.04</v>
      </c>
      <c r="AN17" s="25" t="s">
        <v>16</v>
      </c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customFormat="false" ht="18.75" hidden="false" customHeight="true" outlineLevel="0" collapsed="false">
      <c r="A18" s="9" t="s">
        <v>8</v>
      </c>
      <c r="B18" s="79" t="n">
        <v>11</v>
      </c>
      <c r="C18" s="11"/>
      <c r="D18" s="12" t="s">
        <v>8</v>
      </c>
      <c r="E18" s="80" t="n">
        <v>2</v>
      </c>
      <c r="F18" s="14"/>
      <c r="G18" s="15" t="s">
        <v>8</v>
      </c>
      <c r="H18" s="81" t="n">
        <v>9</v>
      </c>
      <c r="I18" s="17" t="s">
        <v>18</v>
      </c>
      <c r="J18" s="18" t="s">
        <v>8</v>
      </c>
      <c r="K18" s="82" t="n">
        <v>4</v>
      </c>
      <c r="L18" s="2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  <c r="AA18" s="6"/>
      <c r="AB18" s="6"/>
      <c r="AC18" s="22" t="s">
        <v>8</v>
      </c>
      <c r="AD18" s="79" t="n">
        <v>22.74</v>
      </c>
      <c r="AE18" s="11"/>
      <c r="AF18" s="12" t="s">
        <v>8</v>
      </c>
      <c r="AG18" s="83" t="n">
        <v>16</v>
      </c>
      <c r="AH18" s="14"/>
      <c r="AI18" s="15" t="s">
        <v>8</v>
      </c>
      <c r="AJ18" s="84" t="n">
        <v>0.8</v>
      </c>
      <c r="AK18" s="17" t="s">
        <v>18</v>
      </c>
      <c r="AL18" s="18" t="s">
        <v>8</v>
      </c>
      <c r="AM18" s="85" t="n">
        <v>10</v>
      </c>
      <c r="AN18" s="20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customFormat="false" ht="18.75" hidden="false" customHeight="true" outlineLevel="0" collapsed="false">
      <c r="A19" s="86" t="s">
        <v>19</v>
      </c>
      <c r="B19" s="87" t="n">
        <f aca="false">1+B16</f>
        <v>1.0432</v>
      </c>
      <c r="C19" s="10" t="s">
        <v>20</v>
      </c>
      <c r="D19" s="88" t="s">
        <v>19</v>
      </c>
      <c r="E19" s="89" t="n">
        <f aca="false">1+E16</f>
        <v>1.1598</v>
      </c>
      <c r="F19" s="23" t="s">
        <v>20</v>
      </c>
      <c r="G19" s="90" t="s">
        <v>19</v>
      </c>
      <c r="H19" s="91" t="n">
        <f aca="false">H17+1</f>
        <v>1.0128</v>
      </c>
      <c r="I19" s="24" t="s">
        <v>21</v>
      </c>
      <c r="J19" s="92" t="s">
        <v>19</v>
      </c>
      <c r="K19" s="93" t="n">
        <f aca="false">K17+1</f>
        <v>1.0086</v>
      </c>
      <c r="L19" s="25" t="s">
        <v>21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  <c r="AA19" s="6"/>
      <c r="AB19" s="6"/>
      <c r="AC19" s="94" t="s">
        <v>19</v>
      </c>
      <c r="AD19" s="87" t="n">
        <f aca="false">1+AD16</f>
        <v>1.129</v>
      </c>
      <c r="AE19" s="10" t="s">
        <v>20</v>
      </c>
      <c r="AF19" s="88" t="s">
        <v>19</v>
      </c>
      <c r="AG19" s="95" t="n">
        <f aca="false">1+AG16</f>
        <v>1.084</v>
      </c>
      <c r="AH19" s="23" t="s">
        <v>20</v>
      </c>
      <c r="AI19" s="90" t="s">
        <v>19</v>
      </c>
      <c r="AJ19" s="96" t="n">
        <f aca="false">AJ17+1</f>
        <v>1.0086</v>
      </c>
      <c r="AK19" s="24" t="s">
        <v>21</v>
      </c>
      <c r="AL19" s="92" t="s">
        <v>19</v>
      </c>
      <c r="AM19" s="97" t="n">
        <f aca="false">AM17+1</f>
        <v>1.04</v>
      </c>
      <c r="AN19" s="25" t="s">
        <v>21</v>
      </c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customFormat="false" ht="18.75" hidden="false" customHeight="true" outlineLevel="0" collapsed="false">
      <c r="A20" s="31" t="s">
        <v>22</v>
      </c>
      <c r="B20" s="50" t="n">
        <f aca="false">1/B19</f>
        <v>0.958588957055215</v>
      </c>
      <c r="C20" s="10" t="s">
        <v>23</v>
      </c>
      <c r="D20" s="33" t="s">
        <v>22</v>
      </c>
      <c r="E20" s="51" t="n">
        <f aca="false">1/E19</f>
        <v>0.862217623728229</v>
      </c>
      <c r="F20" s="23" t="s">
        <v>23</v>
      </c>
      <c r="G20" s="35" t="s">
        <v>22</v>
      </c>
      <c r="H20" s="98" t="n">
        <f aca="false">1/H19</f>
        <v>0.987361769352291</v>
      </c>
      <c r="I20" s="24" t="s">
        <v>23</v>
      </c>
      <c r="J20" s="37" t="s">
        <v>22</v>
      </c>
      <c r="K20" s="53" t="n">
        <f aca="false">1/K19</f>
        <v>0.99147332936744</v>
      </c>
      <c r="L20" s="25" t="s">
        <v>23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  <c r="AA20" s="6"/>
      <c r="AB20" s="6"/>
      <c r="AC20" s="39" t="s">
        <v>22</v>
      </c>
      <c r="AD20" s="50" t="n">
        <f aca="false">1/AD19</f>
        <v>0.885739592559787</v>
      </c>
      <c r="AE20" s="10" t="s">
        <v>23</v>
      </c>
      <c r="AF20" s="33" t="s">
        <v>22</v>
      </c>
      <c r="AG20" s="54" t="n">
        <f aca="false">1/AG19</f>
        <v>0.922509225092251</v>
      </c>
      <c r="AH20" s="23" t="s">
        <v>23</v>
      </c>
      <c r="AI20" s="35" t="s">
        <v>22</v>
      </c>
      <c r="AJ20" s="55" t="n">
        <f aca="false">1/AJ19</f>
        <v>0.99147332936744</v>
      </c>
      <c r="AK20" s="24" t="s">
        <v>23</v>
      </c>
      <c r="AL20" s="37" t="s">
        <v>22</v>
      </c>
      <c r="AM20" s="56" t="n">
        <f aca="false">1/AM19</f>
        <v>0.961538461538461</v>
      </c>
      <c r="AN20" s="25" t="s">
        <v>23</v>
      </c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customFormat="false" ht="18.75" hidden="false" customHeight="true" outlineLevel="0" collapsed="false">
      <c r="A21" s="99" t="s">
        <v>12</v>
      </c>
      <c r="B21" s="100" t="n">
        <f aca="false">B15*B16/(1-B20^B18)/B19^B13</f>
        <v>228.658876559474</v>
      </c>
      <c r="C21" s="101" t="s">
        <v>32</v>
      </c>
      <c r="D21" s="102" t="s">
        <v>12</v>
      </c>
      <c r="E21" s="103" t="n">
        <f aca="false">E15*E16/(1-E20^E18)/E19^(E13+1)</f>
        <v>1265.15825539402</v>
      </c>
      <c r="F21" s="104" t="s">
        <v>33</v>
      </c>
      <c r="G21" s="105" t="s">
        <v>12</v>
      </c>
      <c r="H21" s="106" t="n">
        <f aca="false">H15/((1-H20^(H18*H14))/H17)</f>
        <v>61.8837622085969</v>
      </c>
      <c r="I21" s="107" t="s">
        <v>34</v>
      </c>
      <c r="J21" s="108" t="s">
        <v>12</v>
      </c>
      <c r="K21" s="109" t="n">
        <f aca="false">K15*K17/((1-K20^(K18*K14))*K19^(K13*K14+1))</f>
        <v>72.5735172428213</v>
      </c>
      <c r="L21" s="25" t="s">
        <v>35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  <c r="AA21" s="6"/>
      <c r="AB21" s="6"/>
      <c r="AC21" s="99" t="s">
        <v>12</v>
      </c>
      <c r="AD21" s="110" t="n">
        <f aca="false">AD15*AD16/(1-AD20^AD18)/AD19^AD13</f>
        <v>276.826694122316</v>
      </c>
      <c r="AE21" s="101" t="s">
        <v>32</v>
      </c>
      <c r="AF21" s="102" t="s">
        <v>12</v>
      </c>
      <c r="AG21" s="111" t="n">
        <f aca="false">AG15*AG16/(1-AG20^AG18)/AG19^(AG13+1)</f>
        <v>2.67255981020848</v>
      </c>
      <c r="AH21" s="104" t="s">
        <v>33</v>
      </c>
      <c r="AI21" s="105" t="s">
        <v>12</v>
      </c>
      <c r="AJ21" s="112" t="n">
        <f aca="false">AJ15*AJ17/((1-AJ20^(AJ18*AJ14))*AJ19^(AJ13*AJ14))</f>
        <v>725.670858673572</v>
      </c>
      <c r="AK21" s="107" t="s">
        <v>34</v>
      </c>
      <c r="AL21" s="108" t="s">
        <v>12</v>
      </c>
      <c r="AM21" s="113" t="n">
        <f aca="false">AM15*AM17/((1-AM20^(AM18*AM14))*AM19^(AM13*AM14+1))</f>
        <v>3537.58415041485</v>
      </c>
      <c r="AN21" s="25" t="s">
        <v>35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customFormat="false" ht="18.75" hidden="false" customHeight="true" outlineLevel="0" collapsed="false">
      <c r="A22" s="1" t="s">
        <v>36</v>
      </c>
      <c r="B22" s="1"/>
      <c r="C22" s="1"/>
      <c r="D22" s="2" t="s">
        <v>36</v>
      </c>
      <c r="E22" s="2"/>
      <c r="F22" s="2"/>
      <c r="G22" s="3" t="s">
        <v>36</v>
      </c>
      <c r="H22" s="3"/>
      <c r="I22" s="3"/>
      <c r="J22" s="4" t="s">
        <v>36</v>
      </c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  <c r="AA22" s="6"/>
      <c r="AB22" s="6"/>
      <c r="AC22" s="1" t="s">
        <v>36</v>
      </c>
      <c r="AD22" s="1"/>
      <c r="AE22" s="1"/>
      <c r="AF22" s="2" t="s">
        <v>36</v>
      </c>
      <c r="AG22" s="2"/>
      <c r="AH22" s="2"/>
      <c r="AI22" s="3" t="s">
        <v>36</v>
      </c>
      <c r="AJ22" s="3"/>
      <c r="AK22" s="3"/>
      <c r="AL22" s="4" t="s">
        <v>36</v>
      </c>
      <c r="AM22" s="4"/>
      <c r="AN22" s="4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customFormat="false" ht="18.75" hidden="false" customHeight="true" outlineLevel="0" collapsed="false">
      <c r="A23" s="9" t="s">
        <v>5</v>
      </c>
      <c r="B23" s="10" t="n">
        <v>5</v>
      </c>
      <c r="C23" s="10"/>
      <c r="D23" s="12" t="s">
        <v>5</v>
      </c>
      <c r="E23" s="13" t="n">
        <v>0</v>
      </c>
      <c r="F23" s="23"/>
      <c r="G23" s="15" t="s">
        <v>5</v>
      </c>
      <c r="H23" s="114" t="n">
        <v>5.9072</v>
      </c>
      <c r="I23" s="115" t="s">
        <v>6</v>
      </c>
      <c r="J23" s="75" t="s">
        <v>5</v>
      </c>
      <c r="K23" s="19" t="n">
        <v>0</v>
      </c>
      <c r="L23" s="2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  <c r="AA23" s="6"/>
      <c r="AB23" s="6"/>
      <c r="AC23" s="22" t="s">
        <v>5</v>
      </c>
      <c r="AD23" s="10" t="n">
        <v>0</v>
      </c>
      <c r="AE23" s="10"/>
      <c r="AF23" s="12" t="s">
        <v>5</v>
      </c>
      <c r="AG23" s="23" t="n">
        <v>0</v>
      </c>
      <c r="AH23" s="23"/>
      <c r="AI23" s="15" t="s">
        <v>5</v>
      </c>
      <c r="AJ23" s="116" t="n">
        <v>0</v>
      </c>
      <c r="AK23" s="115" t="s">
        <v>6</v>
      </c>
      <c r="AL23" s="75" t="s">
        <v>5</v>
      </c>
      <c r="AM23" s="25" t="n">
        <v>0</v>
      </c>
      <c r="AN23" s="25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customFormat="false" ht="18.75" hidden="false" customHeight="true" outlineLevel="0" collapsed="false">
      <c r="A24" s="9"/>
      <c r="B24" s="10"/>
      <c r="C24" s="10"/>
      <c r="D24" s="12"/>
      <c r="E24" s="13"/>
      <c r="F24" s="23"/>
      <c r="G24" s="15" t="s">
        <v>10</v>
      </c>
      <c r="H24" s="117" t="n">
        <v>3</v>
      </c>
      <c r="I24" s="118" t="s">
        <v>9</v>
      </c>
      <c r="J24" s="75" t="s">
        <v>10</v>
      </c>
      <c r="K24" s="19" t="n">
        <v>2</v>
      </c>
      <c r="L24" s="2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  <c r="AA24" s="6"/>
      <c r="AB24" s="6"/>
      <c r="AC24" s="22"/>
      <c r="AD24" s="10"/>
      <c r="AE24" s="10"/>
      <c r="AF24" s="12"/>
      <c r="AG24" s="23"/>
      <c r="AH24" s="23"/>
      <c r="AI24" s="15" t="s">
        <v>10</v>
      </c>
      <c r="AJ24" s="116" t="n">
        <v>4</v>
      </c>
      <c r="AK24" s="118" t="s">
        <v>9</v>
      </c>
      <c r="AL24" s="75" t="s">
        <v>10</v>
      </c>
      <c r="AM24" s="25" t="n">
        <v>2</v>
      </c>
      <c r="AN24" s="25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customFormat="false" ht="18.75" hidden="false" customHeight="true" outlineLevel="0" collapsed="false">
      <c r="A25" s="9" t="s">
        <v>24</v>
      </c>
      <c r="B25" s="10" t="n">
        <v>5000</v>
      </c>
      <c r="C25" s="119"/>
      <c r="D25" s="12" t="s">
        <v>24</v>
      </c>
      <c r="E25" s="13" t="n">
        <v>15000</v>
      </c>
      <c r="F25" s="23"/>
      <c r="G25" s="15" t="s">
        <v>27</v>
      </c>
      <c r="H25" s="117" t="n">
        <v>4400.15</v>
      </c>
      <c r="I25" s="118" t="s">
        <v>11</v>
      </c>
      <c r="J25" s="75" t="s">
        <v>27</v>
      </c>
      <c r="K25" s="19" t="n">
        <v>43000</v>
      </c>
      <c r="L25" s="2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22" t="s">
        <v>24</v>
      </c>
      <c r="AD25" s="10" t="n">
        <v>45700</v>
      </c>
      <c r="AE25" s="119"/>
      <c r="AF25" s="12" t="s">
        <v>24</v>
      </c>
      <c r="AG25" s="23" t="n">
        <v>15000</v>
      </c>
      <c r="AH25" s="23"/>
      <c r="AI25" s="15" t="s">
        <v>27</v>
      </c>
      <c r="AJ25" s="116" t="n">
        <v>15000</v>
      </c>
      <c r="AK25" s="118" t="s">
        <v>11</v>
      </c>
      <c r="AL25" s="75" t="s">
        <v>27</v>
      </c>
      <c r="AM25" s="25" t="n">
        <v>43000</v>
      </c>
      <c r="AN25" s="25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customFormat="false" ht="18.75" hidden="false" customHeight="true" outlineLevel="0" collapsed="false">
      <c r="A26" s="9" t="s">
        <v>17</v>
      </c>
      <c r="B26" s="67" t="n">
        <v>0.04</v>
      </c>
      <c r="C26" s="10"/>
      <c r="D26" s="12" t="s">
        <v>17</v>
      </c>
      <c r="E26" s="68" t="n">
        <v>0.075</v>
      </c>
      <c r="F26" s="23"/>
      <c r="G26" s="15" t="s">
        <v>17</v>
      </c>
      <c r="H26" s="120" t="n">
        <v>0.0426</v>
      </c>
      <c r="I26" s="118" t="s">
        <v>31</v>
      </c>
      <c r="J26" s="75" t="s">
        <v>17</v>
      </c>
      <c r="K26" s="70" t="n">
        <v>0.11</v>
      </c>
      <c r="L26" s="25" t="s">
        <v>14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  <c r="AA26" s="6"/>
      <c r="AB26" s="6"/>
      <c r="AC26" s="22" t="s">
        <v>17</v>
      </c>
      <c r="AD26" s="67" t="n">
        <v>0.129</v>
      </c>
      <c r="AE26" s="10"/>
      <c r="AF26" s="12" t="s">
        <v>17</v>
      </c>
      <c r="AG26" s="71" t="n">
        <v>0.075</v>
      </c>
      <c r="AH26" s="23"/>
      <c r="AI26" s="15" t="s">
        <v>17</v>
      </c>
      <c r="AJ26" s="121" t="n">
        <v>0.14</v>
      </c>
      <c r="AK26" s="118" t="s">
        <v>31</v>
      </c>
      <c r="AL26" s="75" t="s">
        <v>17</v>
      </c>
      <c r="AM26" s="73" t="n">
        <v>0.11</v>
      </c>
      <c r="AN26" s="25" t="s">
        <v>14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customFormat="false" ht="18.75" hidden="false" customHeight="true" outlineLevel="0" collapsed="false">
      <c r="A27" s="9"/>
      <c r="B27" s="67"/>
      <c r="C27" s="10"/>
      <c r="D27" s="12"/>
      <c r="E27" s="68"/>
      <c r="F27" s="23"/>
      <c r="G27" s="15" t="s">
        <v>15</v>
      </c>
      <c r="H27" s="122" t="n">
        <f aca="false">H26/H24</f>
        <v>0.0142</v>
      </c>
      <c r="I27" s="27" t="s">
        <v>16</v>
      </c>
      <c r="J27" s="75" t="s">
        <v>15</v>
      </c>
      <c r="K27" s="46" t="n">
        <f aca="false">K26/K24</f>
        <v>0.055</v>
      </c>
      <c r="L27" s="25" t="s">
        <v>16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  <c r="AA27" s="6"/>
      <c r="AB27" s="6"/>
      <c r="AC27" s="22"/>
      <c r="AD27" s="67"/>
      <c r="AE27" s="10"/>
      <c r="AF27" s="12"/>
      <c r="AG27" s="71"/>
      <c r="AH27" s="23"/>
      <c r="AI27" s="15" t="s">
        <v>15</v>
      </c>
      <c r="AJ27" s="123" t="n">
        <f aca="false">AJ26/AJ24</f>
        <v>0.035</v>
      </c>
      <c r="AK27" s="27" t="s">
        <v>16</v>
      </c>
      <c r="AL27" s="75" t="s">
        <v>15</v>
      </c>
      <c r="AM27" s="49" t="n">
        <f aca="false">AM26/AM24</f>
        <v>0.055</v>
      </c>
      <c r="AN27" s="25" t="s">
        <v>16</v>
      </c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customFormat="false" ht="18.75" hidden="false" customHeight="true" outlineLevel="0" collapsed="false">
      <c r="A28" s="9" t="s">
        <v>12</v>
      </c>
      <c r="B28" s="124" t="n">
        <v>200</v>
      </c>
      <c r="C28" s="10"/>
      <c r="D28" s="12" t="s">
        <v>12</v>
      </c>
      <c r="E28" s="44" t="n">
        <v>3195.67</v>
      </c>
      <c r="F28" s="23"/>
      <c r="G28" s="15" t="s">
        <v>12</v>
      </c>
      <c r="H28" s="125" t="n">
        <v>217.03</v>
      </c>
      <c r="I28" s="118" t="s">
        <v>18</v>
      </c>
      <c r="J28" s="75" t="s">
        <v>12</v>
      </c>
      <c r="K28" s="126" t="n">
        <v>2407.24</v>
      </c>
      <c r="L28" s="2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22" t="s">
        <v>12</v>
      </c>
      <c r="AD28" s="124" t="n">
        <v>2010</v>
      </c>
      <c r="AE28" s="10"/>
      <c r="AF28" s="12" t="s">
        <v>12</v>
      </c>
      <c r="AG28" s="47" t="n">
        <v>3195.67</v>
      </c>
      <c r="AH28" s="23"/>
      <c r="AI28" s="15" t="s">
        <v>12</v>
      </c>
      <c r="AJ28" s="127" t="n">
        <v>849.03</v>
      </c>
      <c r="AK28" s="118" t="s">
        <v>18</v>
      </c>
      <c r="AL28" s="75" t="s">
        <v>12</v>
      </c>
      <c r="AM28" s="128" t="n">
        <v>2407.24</v>
      </c>
      <c r="AN28" s="20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customFormat="false" ht="18.75" hidden="false" customHeight="true" outlineLevel="0" collapsed="false">
      <c r="A29" s="86" t="s">
        <v>19</v>
      </c>
      <c r="B29" s="87" t="n">
        <f aca="false">1+B26</f>
        <v>1.04</v>
      </c>
      <c r="C29" s="10" t="s">
        <v>20</v>
      </c>
      <c r="D29" s="88" t="s">
        <v>19</v>
      </c>
      <c r="E29" s="89" t="n">
        <f aca="false">1+E26</f>
        <v>1.075</v>
      </c>
      <c r="F29" s="23" t="s">
        <v>20</v>
      </c>
      <c r="G29" s="90" t="s">
        <v>19</v>
      </c>
      <c r="H29" s="129" t="n">
        <f aca="false">1+H27</f>
        <v>1.0142</v>
      </c>
      <c r="I29" s="24" t="s">
        <v>21</v>
      </c>
      <c r="J29" s="92" t="s">
        <v>19</v>
      </c>
      <c r="K29" s="93" t="n">
        <f aca="false">K27+1</f>
        <v>1.055</v>
      </c>
      <c r="L29" s="25" t="s">
        <v>21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94" t="s">
        <v>19</v>
      </c>
      <c r="AD29" s="87" t="n">
        <f aca="false">1+AD26</f>
        <v>1.129</v>
      </c>
      <c r="AE29" s="10" t="s">
        <v>20</v>
      </c>
      <c r="AF29" s="88" t="s">
        <v>19</v>
      </c>
      <c r="AG29" s="95" t="n">
        <f aca="false">1+AG26</f>
        <v>1.075</v>
      </c>
      <c r="AH29" s="23" t="s">
        <v>20</v>
      </c>
      <c r="AI29" s="90" t="s">
        <v>19</v>
      </c>
      <c r="AJ29" s="96" t="n">
        <f aca="false">1+AJ27</f>
        <v>1.035</v>
      </c>
      <c r="AK29" s="24" t="s">
        <v>21</v>
      </c>
      <c r="AL29" s="92" t="s">
        <v>19</v>
      </c>
      <c r="AM29" s="97" t="n">
        <f aca="false">AM27+1</f>
        <v>1.055</v>
      </c>
      <c r="AN29" s="25" t="s">
        <v>21</v>
      </c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customFormat="false" ht="18.75" hidden="false" customHeight="true" outlineLevel="0" collapsed="false">
      <c r="A30" s="31" t="s">
        <v>22</v>
      </c>
      <c r="B30" s="50" t="n">
        <f aca="false">1/B29</f>
        <v>0.961538461538461</v>
      </c>
      <c r="C30" s="10" t="s">
        <v>23</v>
      </c>
      <c r="D30" s="33" t="s">
        <v>22</v>
      </c>
      <c r="E30" s="51" t="n">
        <f aca="false">1/E29</f>
        <v>0.930232558139535</v>
      </c>
      <c r="F30" s="23" t="s">
        <v>23</v>
      </c>
      <c r="G30" s="35" t="s">
        <v>22</v>
      </c>
      <c r="H30" s="52" t="n">
        <f aca="false">1/H29</f>
        <v>0.98599881680142</v>
      </c>
      <c r="I30" s="24" t="s">
        <v>23</v>
      </c>
      <c r="J30" s="37" t="s">
        <v>22</v>
      </c>
      <c r="K30" s="130" t="n">
        <f aca="false">1/K29</f>
        <v>0.947867298578199</v>
      </c>
      <c r="L30" s="131" t="s">
        <v>23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  <c r="AA30" s="6"/>
      <c r="AB30" s="6"/>
      <c r="AC30" s="39" t="s">
        <v>22</v>
      </c>
      <c r="AD30" s="50" t="n">
        <f aca="false">1/AD29</f>
        <v>0.885739592559787</v>
      </c>
      <c r="AE30" s="10" t="s">
        <v>23</v>
      </c>
      <c r="AF30" s="33" t="s">
        <v>22</v>
      </c>
      <c r="AG30" s="54" t="n">
        <f aca="false">1/AG29</f>
        <v>0.930232558139535</v>
      </c>
      <c r="AH30" s="23" t="s">
        <v>23</v>
      </c>
      <c r="AI30" s="35" t="s">
        <v>22</v>
      </c>
      <c r="AJ30" s="55" t="n">
        <f aca="false">1/AJ29</f>
        <v>0.966183574879227</v>
      </c>
      <c r="AK30" s="24" t="s">
        <v>23</v>
      </c>
      <c r="AL30" s="37" t="s">
        <v>22</v>
      </c>
      <c r="AM30" s="132" t="n">
        <f aca="false">1/AM29</f>
        <v>0.947867298578199</v>
      </c>
      <c r="AN30" s="131" t="s">
        <v>23</v>
      </c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customFormat="false" ht="18.75" hidden="false" customHeight="true" outlineLevel="0" collapsed="false">
      <c r="A31" s="99" t="s">
        <v>8</v>
      </c>
      <c r="B31" s="110" t="n">
        <f aca="false">LOG10(1-B25*B26/(B28*B29^B23))/LOG10(B30)</f>
        <v>43.9961989774571</v>
      </c>
      <c r="C31" s="101" t="s">
        <v>37</v>
      </c>
      <c r="D31" s="102" t="s">
        <v>8</v>
      </c>
      <c r="E31" s="111" t="n">
        <f aca="false">LOG10(1-E25*E26/(E28*E29^(E23+1)))/LOG10(E30)</f>
        <v>5.48557561808129</v>
      </c>
      <c r="F31" s="104" t="s">
        <v>38</v>
      </c>
      <c r="G31" s="105" t="s">
        <v>8</v>
      </c>
      <c r="H31" s="112" t="n">
        <f aca="false">LOG10(1-(H25*H27)/(H28*H29^(H23*H24)) )/(H24*LOG10(H30))</f>
        <v>6.00264198922977</v>
      </c>
      <c r="I31" s="133" t="s">
        <v>39</v>
      </c>
      <c r="J31" s="108" t="s">
        <v>8</v>
      </c>
      <c r="K31" s="113" t="n">
        <f aca="false">LOG10(1-(K25*K27/K28/K29^(K23*K24+1)))/LOG10(K30^K24)</f>
        <v>25.0002069194216</v>
      </c>
      <c r="L31" s="134" t="s">
        <v>40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  <c r="AA31" s="6"/>
      <c r="AB31" s="6"/>
      <c r="AC31" s="135" t="s">
        <v>8</v>
      </c>
      <c r="AD31" s="136" t="e">
        <f aca="false">LOG10(1-AD25*AD26/(AD28*AD29^AD23))/LOG10(AD30)</f>
        <v>#VALUE!</v>
      </c>
      <c r="AE31" s="101" t="s">
        <v>37</v>
      </c>
      <c r="AF31" s="102" t="s">
        <v>8</v>
      </c>
      <c r="AG31" s="111" t="n">
        <f aca="false">LOG10(1-AG25*AG26/(AG28*AG29^(AG23+1)))/LOG10(AG30)</f>
        <v>5.48557561808129</v>
      </c>
      <c r="AH31" s="104" t="s">
        <v>38</v>
      </c>
      <c r="AI31" s="105" t="s">
        <v>8</v>
      </c>
      <c r="AJ31" s="112" t="n">
        <f aca="false">LOG10(1-(AJ25*AJ27)/(AJ28*AJ29^(AJ23*AJ24)) )/(AJ24*LOG10(AJ30))</f>
        <v>7.00013421821468</v>
      </c>
      <c r="AK31" s="133" t="s">
        <v>39</v>
      </c>
      <c r="AL31" s="108" t="s">
        <v>8</v>
      </c>
      <c r="AM31" s="113" t="n">
        <f aca="false">LOG10(1-(AM25*AM27/AM28/AM29^(AM23*AM24+1)))/LOG10(AM30^AM24)</f>
        <v>25.0002069194216</v>
      </c>
      <c r="AN31" s="134" t="s">
        <v>40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customFormat="false" ht="18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customFormat="false" ht="18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137"/>
      <c r="AL33" s="137"/>
      <c r="AM33" s="5"/>
      <c r="AN33" s="137"/>
      <c r="AO33" s="137"/>
      <c r="AP33" s="5"/>
      <c r="AQ33" s="137"/>
      <c r="AR33" s="137"/>
      <c r="AS33" s="5"/>
      <c r="AT33" s="137"/>
      <c r="AU33" s="137"/>
      <c r="AV33" s="5"/>
      <c r="AW33" s="137"/>
      <c r="AX33" s="137"/>
      <c r="AY33" s="5"/>
      <c r="AZ33" s="137"/>
      <c r="BA33" s="137"/>
      <c r="BB33" s="5"/>
      <c r="BC33" s="137"/>
      <c r="BD33" s="137"/>
      <c r="BE33" s="5"/>
      <c r="BF33" s="137"/>
      <c r="BG33" s="137"/>
      <c r="BH33" s="137"/>
    </row>
    <row r="34" customFormat="false" ht="18.75" hidden="false" customHeight="true" outlineLevel="0" collapsed="false">
      <c r="A34" s="138" t="s">
        <v>41</v>
      </c>
      <c r="B34" s="138"/>
      <c r="C34" s="138"/>
      <c r="D34" s="5"/>
      <c r="E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customFormat="false" ht="18.75" hidden="false" customHeight="true" outlineLevel="0" collapsed="false">
      <c r="A35" s="5" t="s">
        <v>42</v>
      </c>
      <c r="B35" s="5"/>
      <c r="C35" s="5"/>
      <c r="D35" s="5"/>
      <c r="E35" s="5"/>
      <c r="F35" s="139" t="s">
        <v>43</v>
      </c>
      <c r="G35" s="13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customFormat="false" ht="18.75" hidden="false" customHeight="true" outlineLevel="0" collapsed="false">
      <c r="A36" s="140" t="s">
        <v>44</v>
      </c>
      <c r="B36" s="141" t="n">
        <v>859.125</v>
      </c>
      <c r="C36" s="5"/>
      <c r="D36" s="5"/>
      <c r="E36" s="5"/>
      <c r="F36" s="142" t="s">
        <v>45</v>
      </c>
      <c r="G36" s="143" t="n">
        <v>437.97</v>
      </c>
      <c r="H36" s="5"/>
      <c r="I36" s="5"/>
      <c r="J36" s="5"/>
      <c r="K36" s="5"/>
      <c r="L36" s="144" t="s">
        <v>46</v>
      </c>
      <c r="M36" s="145" t="n">
        <v>1522.6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customFormat="false" ht="18.75" hidden="false" customHeight="true" outlineLevel="0" collapsed="false">
      <c r="A37" s="140" t="s">
        <v>47</v>
      </c>
      <c r="B37" s="141" t="n">
        <v>6873</v>
      </c>
      <c r="C37" s="5"/>
      <c r="D37" s="5"/>
      <c r="E37" s="5"/>
      <c r="F37" s="142" t="s">
        <v>47</v>
      </c>
      <c r="G37" s="143"/>
      <c r="H37" s="5"/>
      <c r="I37" s="5"/>
      <c r="J37" s="5"/>
      <c r="K37" s="5"/>
      <c r="L37" s="142" t="s">
        <v>47</v>
      </c>
      <c r="M37" s="145" t="n">
        <v>6614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customFormat="false" ht="18.75" hidden="false" customHeight="true" outlineLevel="0" collapsed="false">
      <c r="A38" s="140" t="s">
        <v>48</v>
      </c>
      <c r="B38" s="141" t="n">
        <v>8</v>
      </c>
      <c r="C38" s="146" t="s">
        <v>49</v>
      </c>
      <c r="D38" s="146"/>
      <c r="E38" s="146"/>
      <c r="F38" s="142" t="s">
        <v>48</v>
      </c>
      <c r="G38" s="143" t="n">
        <v>13</v>
      </c>
      <c r="H38" s="139"/>
      <c r="I38" s="147" t="s">
        <v>50</v>
      </c>
      <c r="J38" s="5"/>
      <c r="K38" s="5"/>
      <c r="L38" s="142" t="s">
        <v>48</v>
      </c>
      <c r="M38" s="145" t="n">
        <v>5</v>
      </c>
      <c r="N38" s="139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customFormat="false" ht="18.75" hidden="false" customHeight="true" outlineLevel="0" collapsed="false">
      <c r="A39" s="140" t="s">
        <v>51</v>
      </c>
      <c r="B39" s="148" t="s">
        <v>52</v>
      </c>
      <c r="C39" s="149" t="s">
        <v>53</v>
      </c>
      <c r="D39" s="149"/>
      <c r="E39" s="5"/>
      <c r="F39" s="142" t="s">
        <v>51</v>
      </c>
      <c r="G39" s="150" t="n">
        <v>0.0978</v>
      </c>
      <c r="H39" s="5"/>
      <c r="I39" s="5"/>
      <c r="J39" s="5"/>
      <c r="K39" s="5"/>
      <c r="L39" s="142" t="s">
        <v>51</v>
      </c>
      <c r="M39" s="151" t="n">
        <v>0.0488</v>
      </c>
      <c r="N39" s="5"/>
      <c r="O39" s="152" t="s">
        <v>54</v>
      </c>
      <c r="P39" s="152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customFormat="false" ht="18.75" hidden="false" customHeight="true" outlineLevel="0" collapsed="false">
      <c r="A40" s="141" t="s">
        <v>55</v>
      </c>
      <c r="B40" s="153" t="n">
        <f aca="false">B37/B38</f>
        <v>859.125</v>
      </c>
      <c r="C40" s="5"/>
      <c r="D40" s="5"/>
      <c r="E40" s="5"/>
      <c r="F40" s="142" t="s">
        <v>56</v>
      </c>
      <c r="G40" s="154" t="n">
        <f aca="false">1+G39</f>
        <v>1.0978</v>
      </c>
      <c r="H40" s="5"/>
      <c r="I40" s="5"/>
      <c r="J40" s="5"/>
      <c r="K40" s="5"/>
      <c r="L40" s="142" t="s">
        <v>56</v>
      </c>
      <c r="M40" s="155" t="n">
        <f aca="false">1+M39</f>
        <v>1.0488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customFormat="false" ht="18.75" hidden="false" customHeight="true" outlineLevel="0" collapsed="false">
      <c r="A41" s="141" t="s">
        <v>57</v>
      </c>
      <c r="B41" s="153" t="n">
        <f aca="false">B36*B38</f>
        <v>6873</v>
      </c>
      <c r="C41" s="5"/>
      <c r="D41" s="5"/>
      <c r="E41" s="5"/>
      <c r="F41" s="142" t="s">
        <v>58</v>
      </c>
      <c r="G41" s="156" t="n">
        <f aca="false">1/G40</f>
        <v>0.910912734560029</v>
      </c>
      <c r="H41" s="5"/>
      <c r="I41" s="157"/>
      <c r="J41" s="5"/>
      <c r="K41" s="5"/>
      <c r="L41" s="142" t="s">
        <v>58</v>
      </c>
      <c r="M41" s="158" t="n">
        <f aca="false">1/M40</f>
        <v>0.9534706331045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customFormat="false" ht="18.75" hidden="false" customHeight="true" outlineLevel="0" collapsed="false">
      <c r="A42" s="141" t="s">
        <v>59</v>
      </c>
      <c r="B42" s="153" t="n">
        <f aca="false">B37/B36</f>
        <v>8</v>
      </c>
      <c r="C42" s="5"/>
      <c r="D42" s="5"/>
      <c r="E42" s="5"/>
      <c r="F42" s="143" t="s">
        <v>60</v>
      </c>
      <c r="G42" s="159" t="n">
        <f aca="false">G37*G39/(1-G41^G38)</f>
        <v>0</v>
      </c>
      <c r="H42" s="5"/>
      <c r="I42" s="5"/>
      <c r="J42" s="5"/>
      <c r="K42" s="5"/>
      <c r="L42" s="160" t="s">
        <v>60</v>
      </c>
      <c r="M42" s="159" t="n">
        <f aca="false">M37*M39/(1-M41^M38)</f>
        <v>1522.60331121162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customFormat="false" ht="18.75" hidden="false" customHeight="true" outlineLevel="0" collapsed="false">
      <c r="F43" s="143" t="s">
        <v>61</v>
      </c>
      <c r="G43" s="161" t="n">
        <f aca="false">G36*(1-G41^G38)/G39</f>
        <v>3146.83615004702</v>
      </c>
      <c r="K43" s="5"/>
      <c r="L43" s="160" t="s">
        <v>61</v>
      </c>
      <c r="M43" s="159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customFormat="false" ht="18.75" hidden="false" customHeight="true" outlineLevel="0" collapsed="false">
      <c r="A44" s="162" t="s">
        <v>62</v>
      </c>
      <c r="B44" s="162" t="s">
        <v>63</v>
      </c>
      <c r="C44" s="162" t="s">
        <v>64</v>
      </c>
      <c r="D44" s="162" t="s">
        <v>65</v>
      </c>
      <c r="E44" s="162" t="s">
        <v>66</v>
      </c>
      <c r="F44" s="160" t="s">
        <v>62</v>
      </c>
      <c r="G44" s="160" t="s">
        <v>63</v>
      </c>
      <c r="H44" s="160" t="s">
        <v>64</v>
      </c>
      <c r="I44" s="160" t="s">
        <v>65</v>
      </c>
      <c r="J44" s="160" t="s">
        <v>66</v>
      </c>
      <c r="K44" s="5"/>
      <c r="L44" s="160" t="s">
        <v>62</v>
      </c>
      <c r="M44" s="160" t="s">
        <v>63</v>
      </c>
      <c r="N44" s="160" t="s">
        <v>64</v>
      </c>
      <c r="O44" s="160" t="s">
        <v>65</v>
      </c>
      <c r="P44" s="160" t="s">
        <v>66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customFormat="false" ht="18.75" hidden="false" customHeight="true" outlineLevel="0" collapsed="false">
      <c r="A45" s="141" t="n">
        <v>1</v>
      </c>
      <c r="B45" s="153" t="n">
        <f aca="false">IF(B37&gt;0, B37, B41)</f>
        <v>6873</v>
      </c>
      <c r="C45" s="153" t="n">
        <f aca="false">B45*$B$39</f>
        <v>274.2327</v>
      </c>
      <c r="D45" s="153" t="n">
        <f aca="false">IF($B$36&gt;0,$B$36,$B$40)</f>
        <v>859.125</v>
      </c>
      <c r="E45" s="153" t="n">
        <f aca="false">D45+C45</f>
        <v>1133.3577</v>
      </c>
      <c r="F45" s="143" t="n">
        <v>1</v>
      </c>
      <c r="G45" s="161" t="n">
        <f aca="false">IF(G37,G37,G43)</f>
        <v>3146.83615004702</v>
      </c>
      <c r="H45" s="143" t="n">
        <f aca="false">G45*$G$39</f>
        <v>307.760575474598</v>
      </c>
      <c r="I45" s="143" t="n">
        <f aca="false">J45-H45</f>
        <v>130.209424525402</v>
      </c>
      <c r="J45" s="143" t="n">
        <f aca="false">IF($G$36&gt;0,$G36,G42)</f>
        <v>437.97</v>
      </c>
      <c r="K45" s="5"/>
      <c r="L45" s="163" t="n">
        <v>1</v>
      </c>
      <c r="M45" s="164" t="n">
        <f aca="false">IF(M37,M37,M43)</f>
        <v>6614</v>
      </c>
      <c r="N45" s="165" t="n">
        <f aca="false">$M$36*(1-$M$41^($M$38+1-L45))</f>
        <v>322.762498085555</v>
      </c>
      <c r="O45" s="165" t="n">
        <f aca="false">$M$36*($M$41^($M$38+1-L45))</f>
        <v>1199.83750191445</v>
      </c>
      <c r="P45" s="165" t="n">
        <f aca="false">IF($M$36,$M$36,$M$42)</f>
        <v>1522.6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customFormat="false" ht="18.75" hidden="false" customHeight="true" outlineLevel="0" collapsed="false">
      <c r="A46" s="141" t="n">
        <v>2</v>
      </c>
      <c r="B46" s="153" t="n">
        <f aca="false">B45-D46</f>
        <v>6013.875</v>
      </c>
      <c r="C46" s="153" t="n">
        <f aca="false">B46*$B$39</f>
        <v>239.9536125</v>
      </c>
      <c r="D46" s="153" t="n">
        <f aca="false">IF($B$36&gt;0,$B$36,$B$40)</f>
        <v>859.125</v>
      </c>
      <c r="E46" s="153" t="n">
        <f aca="false">D46+C46</f>
        <v>1099.0786125</v>
      </c>
      <c r="F46" s="143" t="n">
        <v>2</v>
      </c>
      <c r="G46" s="166" t="n">
        <f aca="false">G45-I45</f>
        <v>3016.62672552162</v>
      </c>
      <c r="H46" s="166" t="n">
        <f aca="false">G46*$G$39</f>
        <v>295.026093756014</v>
      </c>
      <c r="I46" s="166" t="n">
        <f aca="false">J46-H46</f>
        <v>142.943906243986</v>
      </c>
      <c r="J46" s="143" t="n">
        <f aca="false">IF($G$36&gt;0,$G36,G42)</f>
        <v>437.97</v>
      </c>
      <c r="K46" s="5"/>
      <c r="L46" s="163" t="n">
        <v>2</v>
      </c>
      <c r="M46" s="165" t="n">
        <f aca="false">$M$36*(1-$M$41^($M$38+1-L46))/$M$39</f>
        <v>5414.14811459283</v>
      </c>
      <c r="N46" s="165" t="n">
        <f aca="false">$M$36*(1-$M$41^($M$38+1-L46))</f>
        <v>264.21042799213</v>
      </c>
      <c r="O46" s="165" t="n">
        <f aca="false">$M$36*($M$41^($M$38+1-L46))</f>
        <v>1258.38957200787</v>
      </c>
      <c r="P46" s="165" t="n">
        <f aca="false">IF($M$36,$M$36,$M$42)</f>
        <v>1522.6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customFormat="false" ht="18.75" hidden="false" customHeight="true" outlineLevel="0" collapsed="false">
      <c r="A47" s="141" t="n">
        <v>3</v>
      </c>
      <c r="B47" s="153" t="n">
        <f aca="false">B46-D47</f>
        <v>5154.75</v>
      </c>
      <c r="C47" s="153" t="n">
        <f aca="false">B47*$B$39</f>
        <v>205.674525</v>
      </c>
      <c r="D47" s="153" t="n">
        <f aca="false">IF($B$36&gt;0,$B$36,$B$40)</f>
        <v>859.125</v>
      </c>
      <c r="E47" s="153" t="n">
        <f aca="false">D47+C47</f>
        <v>1064.799525</v>
      </c>
      <c r="F47" s="143" t="n">
        <v>3</v>
      </c>
      <c r="G47" s="166" t="n">
        <f aca="false">G46-I46</f>
        <v>2873.68281927763</v>
      </c>
      <c r="H47" s="166" t="n">
        <f aca="false">G47*$G$39</f>
        <v>281.046179725352</v>
      </c>
      <c r="I47" s="166" t="n">
        <f aca="false">J47-H47</f>
        <v>156.923820274648</v>
      </c>
      <c r="J47" s="143" t="n">
        <f aca="false">IF($G$36&gt;0,$G36,G42)</f>
        <v>437.97</v>
      </c>
      <c r="K47" s="5"/>
      <c r="L47" s="163" t="n">
        <v>3</v>
      </c>
      <c r="M47" s="165" t="n">
        <f aca="false">$M$36*(1-$M$41^($M$38+1-L47))/$M$39</f>
        <v>4155.75854258496</v>
      </c>
      <c r="N47" s="165" t="n">
        <f aca="false">$M$36*(1-$M$41^($M$38+1-L47))</f>
        <v>202.801016878146</v>
      </c>
      <c r="O47" s="165" t="n">
        <f aca="false">$M$36*($M$41^($M$38+1-L47))</f>
        <v>1319.79898312185</v>
      </c>
      <c r="P47" s="165" t="n">
        <f aca="false">IF($M$36,$M$36,$M$42)</f>
        <v>1522.6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customFormat="false" ht="18.75" hidden="false" customHeight="true" outlineLevel="0" collapsed="false">
      <c r="A48" s="141" t="n">
        <v>4</v>
      </c>
      <c r="B48" s="153" t="n">
        <f aca="false">B47-D48</f>
        <v>4295.625</v>
      </c>
      <c r="C48" s="153" t="n">
        <f aca="false">B48*$B$39</f>
        <v>171.3954375</v>
      </c>
      <c r="D48" s="153" t="n">
        <f aca="false">IF($B$36&gt;0,$B$36,$B$40)</f>
        <v>859.125</v>
      </c>
      <c r="E48" s="153" t="n">
        <f aca="false">D48+C48</f>
        <v>1030.5204375</v>
      </c>
      <c r="F48" s="143" t="n">
        <v>4</v>
      </c>
      <c r="G48" s="166" t="n">
        <f aca="false">G47-I47</f>
        <v>2716.75899900298</v>
      </c>
      <c r="H48" s="166" t="n">
        <f aca="false">G48*$G$39</f>
        <v>265.699030102492</v>
      </c>
      <c r="I48" s="166" t="n">
        <f aca="false">J48-H48</f>
        <v>172.270969897508</v>
      </c>
      <c r="J48" s="143" t="n">
        <f aca="false">IF($G$36&gt;0,$G36,G42)</f>
        <v>437.97</v>
      </c>
      <c r="K48" s="5"/>
      <c r="L48" s="163" t="n">
        <v>4</v>
      </c>
      <c r="M48" s="165" t="n">
        <f aca="false">$M$36*(1-$M$41^($M$38+1-L48))/$M$39</f>
        <v>2835.95955946311</v>
      </c>
      <c r="N48" s="165" t="n">
        <f aca="false">$M$36*(1-$M$41^($M$38+1-L48))</f>
        <v>138.3948265018</v>
      </c>
      <c r="O48" s="165" t="n">
        <f aca="false">$M$36*($M$41^($M$38+1-L48))</f>
        <v>1384.2051734982</v>
      </c>
      <c r="P48" s="165" t="n">
        <f aca="false">IF($M$36,$M$36,$M$42)</f>
        <v>1522.6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customFormat="false" ht="18.75" hidden="false" customHeight="true" outlineLevel="0" collapsed="false">
      <c r="A49" s="141" t="n">
        <v>5</v>
      </c>
      <c r="B49" s="153" t="n">
        <f aca="false">B48-D49</f>
        <v>3436.5</v>
      </c>
      <c r="C49" s="153" t="n">
        <f aca="false">B49*$B$39</f>
        <v>137.11635</v>
      </c>
      <c r="D49" s="153" t="n">
        <f aca="false">IF($B$36&gt;0,$B$36,$B$40)</f>
        <v>859.125</v>
      </c>
      <c r="E49" s="153" t="n">
        <f aca="false">D49+C49</f>
        <v>996.24135</v>
      </c>
      <c r="F49" s="143" t="n">
        <v>5</v>
      </c>
      <c r="G49" s="166" t="n">
        <f aca="false">G48-I48</f>
        <v>2544.48802910547</v>
      </c>
      <c r="H49" s="166" t="n">
        <f aca="false">G49*$G$39</f>
        <v>248.850929246515</v>
      </c>
      <c r="I49" s="166" t="n">
        <f aca="false">J49-H49</f>
        <v>189.119070753485</v>
      </c>
      <c r="J49" s="143" t="n">
        <f aca="false">IF($G$36&gt;0,$G36,G42)</f>
        <v>437.97</v>
      </c>
      <c r="K49" s="5"/>
      <c r="L49" s="163" t="n">
        <v>5</v>
      </c>
      <c r="M49" s="165" t="n">
        <f aca="false">$M$36*(1-$M$41^($M$38+1-L49))/$M$39</f>
        <v>1451.75438596491</v>
      </c>
      <c r="N49" s="165" t="n">
        <f aca="false">$M$36*(1-$M$41^($M$38+1-L49))</f>
        <v>70.8456140350877</v>
      </c>
      <c r="O49" s="165" t="n">
        <f aca="false">$M$36*($M$41^($M$38+1-L49))</f>
        <v>1451.75438596491</v>
      </c>
      <c r="P49" s="165" t="n">
        <f aca="false">IF($M$36,$M$36,$M$42)</f>
        <v>1522.6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customFormat="false" ht="18.75" hidden="false" customHeight="true" outlineLevel="0" collapsed="false">
      <c r="A50" s="141" t="n">
        <v>6</v>
      </c>
      <c r="B50" s="153" t="n">
        <f aca="false">B49-D50</f>
        <v>2577.375</v>
      </c>
      <c r="C50" s="153" t="n">
        <f aca="false">B50*$B$39</f>
        <v>102.8372625</v>
      </c>
      <c r="D50" s="153" t="n">
        <f aca="false">IF($B$36&gt;0,$B$36,$B$40)</f>
        <v>859.125</v>
      </c>
      <c r="E50" s="153" t="n">
        <f aca="false">D50+C50</f>
        <v>961.9622625</v>
      </c>
      <c r="F50" s="143" t="n">
        <v>6</v>
      </c>
      <c r="G50" s="166" t="n">
        <f aca="false">G49-I49</f>
        <v>2355.36895835199</v>
      </c>
      <c r="H50" s="166" t="n">
        <f aca="false">G50*$G$39</f>
        <v>230.355084126825</v>
      </c>
      <c r="I50" s="166" t="n">
        <f aca="false">J50-H50</f>
        <v>207.614915873175</v>
      </c>
      <c r="J50" s="143" t="n">
        <f aca="false">IF($G$36&gt;0,$G36,G42)</f>
        <v>437.97</v>
      </c>
      <c r="K50" s="5"/>
      <c r="L50" s="163" t="n">
        <v>6</v>
      </c>
      <c r="M50" s="165" t="n">
        <f aca="false">$M$36*(1-$M$41^($M$38+1-L50))/$M$39</f>
        <v>0</v>
      </c>
      <c r="N50" s="165" t="n">
        <f aca="false">$M$36*(1-$M$41^($M$38+1-L50))</f>
        <v>0</v>
      </c>
      <c r="O50" s="165" t="n">
        <f aca="false">$M$36*($M$41^($M$38+1-L50))</f>
        <v>1522.6</v>
      </c>
      <c r="P50" s="165" t="n">
        <f aca="false">IF($M$36,$M$36,$M$42)</f>
        <v>1522.6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customFormat="false" ht="18.75" hidden="false" customHeight="true" outlineLevel="0" collapsed="false">
      <c r="A51" s="141" t="n">
        <v>7</v>
      </c>
      <c r="B51" s="153" t="n">
        <f aca="false">B50-D51</f>
        <v>1718.25</v>
      </c>
      <c r="C51" s="153" t="n">
        <f aca="false">B51*$B$39</f>
        <v>68.558175</v>
      </c>
      <c r="D51" s="153" t="n">
        <f aca="false">IF($B$36&gt;0,$B$36,$B$40)</f>
        <v>859.125</v>
      </c>
      <c r="E51" s="153" t="n">
        <f aca="false">D51+C51</f>
        <v>927.683175</v>
      </c>
      <c r="F51" s="143" t="n">
        <v>7</v>
      </c>
      <c r="G51" s="166" t="n">
        <f aca="false">G50-I50</f>
        <v>2147.75404247881</v>
      </c>
      <c r="H51" s="166" t="n">
        <f aca="false">G51*$G$39</f>
        <v>210.050345354428</v>
      </c>
      <c r="I51" s="166" t="n">
        <f aca="false">J51-H51</f>
        <v>227.919654645572</v>
      </c>
      <c r="J51" s="143" t="n">
        <f aca="false">IF($G$36&gt;0,$G36,G42)</f>
        <v>437.97</v>
      </c>
      <c r="K51" s="5"/>
      <c r="L51" s="163" t="n">
        <v>7</v>
      </c>
      <c r="M51" s="165" t="n">
        <f aca="false">$M$36*(1-$M$41^($M$38+1-L51))/$M$39</f>
        <v>-1522.6</v>
      </c>
      <c r="N51" s="165" t="n">
        <f aca="false">$M$36*(1-$M$41^($M$38+1-L51))</f>
        <v>-74.3028799999999</v>
      </c>
      <c r="O51" s="165" t="n">
        <f aca="false">$M$36*($M$41^($M$38+1-L51))</f>
        <v>1596.90288</v>
      </c>
      <c r="P51" s="165" t="n">
        <f aca="false">IF($M$36,$M$36,$M$42)</f>
        <v>1522.6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customFormat="false" ht="18.75" hidden="false" customHeight="true" outlineLevel="0" collapsed="false">
      <c r="A52" s="141" t="n">
        <v>8</v>
      </c>
      <c r="B52" s="153" t="n">
        <f aca="false">B51-D52</f>
        <v>859.125</v>
      </c>
      <c r="C52" s="153" t="n">
        <f aca="false">B52*$B$39</f>
        <v>34.2790875</v>
      </c>
      <c r="D52" s="153" t="n">
        <f aca="false">IF($B$36&gt;0,$B$36,$B$40)</f>
        <v>859.125</v>
      </c>
      <c r="E52" s="153" t="n">
        <f aca="false">D52+C52</f>
        <v>893.4040875</v>
      </c>
      <c r="F52" s="143" t="n">
        <v>8</v>
      </c>
      <c r="G52" s="166" t="n">
        <f aca="false">G51-I51</f>
        <v>1919.83438783324</v>
      </c>
      <c r="H52" s="166" t="n">
        <f aca="false">G52*$G$39</f>
        <v>187.759803130091</v>
      </c>
      <c r="I52" s="166" t="n">
        <f aca="false">J52-H52</f>
        <v>250.210196869909</v>
      </c>
      <c r="J52" s="143" t="n">
        <f aca="false">IF($G$36&gt;0,$G36,G42)</f>
        <v>437.97</v>
      </c>
      <c r="K52" s="5"/>
      <c r="L52" s="163" t="n">
        <v>8</v>
      </c>
      <c r="M52" s="165" t="n">
        <f aca="false">$M$36*(1-$M$41^($M$38+1-L52))/$M$39</f>
        <v>-3119.50288</v>
      </c>
      <c r="N52" s="165" t="n">
        <f aca="false">$M$36*(1-$M$41^($M$38+1-L52))</f>
        <v>-152.231740544</v>
      </c>
      <c r="O52" s="165" t="n">
        <f aca="false">$M$36*($M$41^($M$38+1-L52))</f>
        <v>1674.831740544</v>
      </c>
      <c r="P52" s="165" t="n">
        <f aca="false">IF($M$36,$M$36,$M$42)</f>
        <v>1522.6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customFormat="false" ht="18.75" hidden="false" customHeight="true" outlineLevel="0" collapsed="false">
      <c r="A53" s="141" t="n">
        <v>9</v>
      </c>
      <c r="B53" s="153" t="n">
        <f aca="false">B52-D53</f>
        <v>0</v>
      </c>
      <c r="C53" s="153" t="n">
        <f aca="false">B53*$B$39</f>
        <v>0</v>
      </c>
      <c r="D53" s="153" t="n">
        <f aca="false">IF($B$36&gt;0,$B$36,$B$40)</f>
        <v>859.125</v>
      </c>
      <c r="E53" s="153" t="n">
        <f aca="false">D53+C53</f>
        <v>859.125</v>
      </c>
      <c r="F53" s="143" t="n">
        <v>9</v>
      </c>
      <c r="G53" s="166" t="n">
        <f aca="false">G52-I52</f>
        <v>1669.62419096333</v>
      </c>
      <c r="H53" s="166" t="n">
        <f aca="false">G53*$G$39</f>
        <v>163.289245876214</v>
      </c>
      <c r="I53" s="166" t="n">
        <f aca="false">J53-H53</f>
        <v>274.680754123786</v>
      </c>
      <c r="J53" s="143" t="n">
        <f aca="false">IF($G$36&gt;0,$G36,G42)</f>
        <v>437.97</v>
      </c>
      <c r="K53" s="5"/>
      <c r="L53" s="163" t="n">
        <v>9</v>
      </c>
      <c r="M53" s="165" t="n">
        <f aca="false">$M$36*(1-$M$41^($M$38+1-L53))/$M$39</f>
        <v>-4794.334620544</v>
      </c>
      <c r="N53" s="165" t="n">
        <f aca="false">$M$36*(1-$M$41^($M$38+1-L53))</f>
        <v>-233.963529482547</v>
      </c>
      <c r="O53" s="165" t="n">
        <f aca="false">$M$36*($M$41^($M$38+1-L53))</f>
        <v>1756.56352948255</v>
      </c>
      <c r="P53" s="165" t="n">
        <f aca="false">IF($M$36,$M$36,$M$42)</f>
        <v>1522.6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customFormat="false" ht="18.75" hidden="false" customHeight="true" outlineLevel="0" collapsed="false">
      <c r="A54" s="141" t="n">
        <v>10</v>
      </c>
      <c r="B54" s="153" t="n">
        <f aca="false">B53-D54</f>
        <v>-859.125</v>
      </c>
      <c r="C54" s="153" t="n">
        <f aca="false">B54*$B$39</f>
        <v>-34.2790875</v>
      </c>
      <c r="D54" s="153" t="n">
        <f aca="false">IF($B$36&gt;0,$B$36,$B$40)</f>
        <v>859.125</v>
      </c>
      <c r="E54" s="153" t="n">
        <f aca="false">D54+C54</f>
        <v>824.8459125</v>
      </c>
      <c r="F54" s="143" t="n">
        <v>10</v>
      </c>
      <c r="G54" s="166" t="n">
        <f aca="false">G53-I53</f>
        <v>1394.94343683955</v>
      </c>
      <c r="H54" s="166" t="n">
        <f aca="false">G54*$G$39</f>
        <v>136.425468122908</v>
      </c>
      <c r="I54" s="166" t="n">
        <f aca="false">J54-H54</f>
        <v>301.544531877092</v>
      </c>
      <c r="J54" s="143" t="n">
        <f aca="false">IF($G$36&gt;0,$G36,G42)</f>
        <v>437.97</v>
      </c>
      <c r="K54" s="5"/>
      <c r="L54" s="163" t="n">
        <v>10</v>
      </c>
      <c r="M54" s="165" t="n">
        <f aca="false">$M$36*(1-$M$41^($M$38+1-L54))/$M$39</f>
        <v>-6550.89815002654</v>
      </c>
      <c r="N54" s="165" t="n">
        <f aca="false">$M$36*(1-$M$41^($M$38+1-L54))</f>
        <v>-319.683829721295</v>
      </c>
      <c r="O54" s="165" t="n">
        <f aca="false">$M$36*($M$41^($M$38+1-L54))</f>
        <v>1842.2838297213</v>
      </c>
      <c r="P54" s="165" t="n">
        <f aca="false">IF($M$36,$M$36,$M$42)</f>
        <v>1522.6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customFormat="false" ht="18.75" hidden="false" customHeight="true" outlineLevel="0" collapsed="false">
      <c r="A55" s="152" t="s">
        <v>67</v>
      </c>
      <c r="B55" s="152"/>
      <c r="C55" s="152"/>
      <c r="D55" s="152"/>
      <c r="E55" s="152"/>
      <c r="F55" s="15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customFormat="false" ht="18.75" hidden="false" customHeight="true" outlineLevel="0" collapsed="false">
      <c r="A56" s="167" t="s">
        <v>68</v>
      </c>
      <c r="B56" s="167"/>
      <c r="C56" s="167"/>
      <c r="D56" s="167"/>
      <c r="E56" s="167"/>
      <c r="F56" s="16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customFormat="false" ht="18.75" hidden="false" customHeight="true" outlineLevel="0" collapsed="false">
      <c r="A57" s="5"/>
      <c r="B57" s="5"/>
      <c r="C57" s="5" t="n">
        <f aca="false">SUM(C45:C52)</f>
        <v>1234.04715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customFormat="false" ht="18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customFormat="false" ht="18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customFormat="false" ht="18.75" hidden="false" customHeight="true" outlineLevel="0" collapsed="false">
      <c r="A60" s="5"/>
      <c r="B60" s="5"/>
      <c r="C60" s="8" t="s">
        <v>69</v>
      </c>
      <c r="D60" s="5"/>
      <c r="E60" s="5"/>
      <c r="F60" s="5"/>
      <c r="G60" s="5"/>
      <c r="H60" s="5"/>
      <c r="I60" s="5"/>
      <c r="J60" s="5"/>
      <c r="K60" s="5"/>
      <c r="L60" s="144" t="s">
        <v>46</v>
      </c>
      <c r="M60" s="145" t="n">
        <v>1226.72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customFormat="false" ht="18.75" hidden="false" customHeight="true" outlineLevel="0" collapsed="false">
      <c r="A61" s="5"/>
      <c r="B61" s="5"/>
      <c r="C61" s="5"/>
      <c r="D61" s="5"/>
      <c r="E61" s="5"/>
      <c r="K61" s="5"/>
      <c r="L61" s="142" t="s">
        <v>47</v>
      </c>
      <c r="M61" s="145" t="n">
        <v>5545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customFormat="false" ht="18.75" hidden="false" customHeight="true" outlineLevel="0" collapsed="false">
      <c r="A62" s="140" t="s">
        <v>44</v>
      </c>
      <c r="B62" s="141"/>
      <c r="C62" s="5"/>
      <c r="D62" s="5"/>
      <c r="E62" s="5"/>
      <c r="K62" s="5"/>
      <c r="L62" s="142" t="s">
        <v>48</v>
      </c>
      <c r="M62" s="145" t="n">
        <v>5</v>
      </c>
      <c r="N62" s="139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customFormat="false" ht="18.75" hidden="false" customHeight="true" outlineLevel="0" collapsed="false">
      <c r="A63" s="140" t="s">
        <v>47</v>
      </c>
      <c r="B63" s="141" t="n">
        <v>3014.1</v>
      </c>
      <c r="C63" s="5"/>
      <c r="D63" s="5"/>
      <c r="E63" s="5"/>
      <c r="K63" s="5"/>
      <c r="L63" s="142" t="s">
        <v>51</v>
      </c>
      <c r="M63" s="151" t="n">
        <v>0.0625</v>
      </c>
      <c r="N63" s="5"/>
      <c r="O63" s="152" t="s">
        <v>54</v>
      </c>
      <c r="P63" s="15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customFormat="false" ht="18.75" hidden="false" customHeight="true" outlineLevel="0" collapsed="false">
      <c r="A64" s="140" t="s">
        <v>48</v>
      </c>
      <c r="B64" s="141" t="n">
        <v>6</v>
      </c>
      <c r="C64" s="146" t="s">
        <v>49</v>
      </c>
      <c r="D64" s="146"/>
      <c r="E64" s="146"/>
      <c r="K64" s="5"/>
      <c r="L64" s="142" t="s">
        <v>56</v>
      </c>
      <c r="M64" s="155" t="n">
        <f aca="false">1+M63</f>
        <v>1.0625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customFormat="false" ht="18.75" hidden="false" customHeight="true" outlineLevel="0" collapsed="false">
      <c r="A65" s="140" t="s">
        <v>51</v>
      </c>
      <c r="B65" s="168" t="n">
        <v>0.0786</v>
      </c>
      <c r="C65" s="149" t="s">
        <v>53</v>
      </c>
      <c r="D65" s="149"/>
      <c r="E65" s="5"/>
      <c r="K65" s="5"/>
      <c r="L65" s="142" t="s">
        <v>58</v>
      </c>
      <c r="M65" s="158" t="n">
        <f aca="false">1/M64</f>
        <v>0.941176470588235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customFormat="false" ht="18.75" hidden="false" customHeight="true" outlineLevel="0" collapsed="false">
      <c r="A66" s="141" t="s">
        <v>55</v>
      </c>
      <c r="B66" s="153" t="n">
        <f aca="false">B63/B64</f>
        <v>502.35</v>
      </c>
      <c r="C66" s="5"/>
      <c r="D66" s="5"/>
      <c r="E66" s="5"/>
      <c r="K66" s="5"/>
      <c r="L66" s="160" t="s">
        <v>60</v>
      </c>
      <c r="M66" s="159" t="n">
        <f aca="false">M61*M63/(1-M65^M62)</f>
        <v>1325.32823269303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customFormat="false" ht="18.75" hidden="false" customHeight="true" outlineLevel="0" collapsed="false">
      <c r="A67" s="141" t="s">
        <v>57</v>
      </c>
      <c r="B67" s="153" t="n">
        <f aca="false">B62*B64</f>
        <v>0</v>
      </c>
      <c r="C67" s="5"/>
      <c r="D67" s="5"/>
      <c r="E67" s="5"/>
      <c r="K67" s="5"/>
      <c r="L67" s="160" t="s">
        <v>61</v>
      </c>
      <c r="M67" s="159" t="e">
        <f aca="false">G60*(1-G65^G62)/G63</f>
        <v>#DIV/0!</v>
      </c>
      <c r="N67" s="169"/>
      <c r="O67" s="169"/>
      <c r="P67" s="169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customFormat="false" ht="18.75" hidden="false" customHeight="true" outlineLevel="0" collapsed="false">
      <c r="A68" s="141" t="s">
        <v>59</v>
      </c>
      <c r="B68" s="153" t="e">
        <f aca="false">B63/B62</f>
        <v>#DIV/0!</v>
      </c>
      <c r="C68" s="5"/>
      <c r="D68" s="5"/>
      <c r="E68" s="5"/>
      <c r="K68" s="5"/>
      <c r="L68" s="160" t="s">
        <v>62</v>
      </c>
      <c r="M68" s="160" t="s">
        <v>63</v>
      </c>
      <c r="N68" s="160" t="s">
        <v>64</v>
      </c>
      <c r="O68" s="160" t="s">
        <v>65</v>
      </c>
      <c r="P68" s="160" t="s">
        <v>66</v>
      </c>
      <c r="Q68" s="170" t="s">
        <v>70</v>
      </c>
      <c r="R68" s="171" t="s">
        <v>71</v>
      </c>
      <c r="S68" s="171" t="s">
        <v>72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customFormat="false" ht="18.75" hidden="false" customHeight="true" outlineLevel="0" collapsed="false">
      <c r="A69" s="169"/>
      <c r="B69" s="169"/>
      <c r="C69" s="169"/>
      <c r="D69" s="169"/>
      <c r="E69" s="169"/>
      <c r="K69" s="5"/>
      <c r="L69" s="163" t="n">
        <v>1</v>
      </c>
      <c r="M69" s="164" t="n">
        <f aca="false">IF(M61,M61,M67)</f>
        <v>5545</v>
      </c>
      <c r="N69" s="165" t="n">
        <f aca="false">$M$36*(1-$M$41^($M$38+1-L69))</f>
        <v>322.762498085555</v>
      </c>
      <c r="O69" s="165" t="n">
        <f aca="false">$M$36*($M$41^($M$38+1-L69))</f>
        <v>1199.83750191445</v>
      </c>
      <c r="P69" s="165" t="n">
        <f aca="false">IF($M$36,$M$36,$M$42)</f>
        <v>1522.6</v>
      </c>
      <c r="Q69" s="172" t="n">
        <v>0</v>
      </c>
      <c r="R69" s="172" t="n">
        <f aca="false">Q69*$B$87</f>
        <v>0</v>
      </c>
      <c r="S69" s="172" t="n">
        <f aca="false">SUM(P69:R69)</f>
        <v>1522.6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customFormat="false" ht="18.75" hidden="false" customHeight="true" outlineLevel="0" collapsed="false">
      <c r="A70" s="162" t="s">
        <v>62</v>
      </c>
      <c r="B70" s="162" t="s">
        <v>63</v>
      </c>
      <c r="C70" s="162" t="s">
        <v>64</v>
      </c>
      <c r="D70" s="162" t="s">
        <v>65</v>
      </c>
      <c r="E70" s="162" t="s">
        <v>66</v>
      </c>
      <c r="F70" s="170" t="s">
        <v>70</v>
      </c>
      <c r="G70" s="171" t="s">
        <v>71</v>
      </c>
      <c r="H70" s="171" t="s">
        <v>72</v>
      </c>
      <c r="K70" s="5"/>
      <c r="L70" s="163" t="n">
        <v>2</v>
      </c>
      <c r="M70" s="165" t="n">
        <f aca="false">$M$36*(1-$M$41^($M$38+1-L70))/$M$39</f>
        <v>5414.14811459283</v>
      </c>
      <c r="N70" s="165" t="n">
        <f aca="false">$M$36*(1-$M$41^($M$38+1-L70))</f>
        <v>264.21042799213</v>
      </c>
      <c r="O70" s="165" t="n">
        <f aca="false">$M$36*($M$41^($M$38+1-L70))</f>
        <v>1258.38957200787</v>
      </c>
      <c r="P70" s="165" t="n">
        <f aca="false">IF($M$36,$M$36,$M$42)</f>
        <v>1522.6</v>
      </c>
      <c r="Q70" s="172" t="n">
        <f aca="false">S69</f>
        <v>1522.6</v>
      </c>
      <c r="R70" s="172" t="n">
        <f aca="false">Q70*$B$87</f>
        <v>71.10542</v>
      </c>
      <c r="S70" s="172" t="n">
        <f aca="false">SUM(P70:R70)</f>
        <v>3116.30542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customFormat="false" ht="18.75" hidden="false" customHeight="true" outlineLevel="0" collapsed="false">
      <c r="A71" s="141" t="n">
        <v>1</v>
      </c>
      <c r="B71" s="153" t="n">
        <f aca="false">IF(B63&gt;0, B63, B67)</f>
        <v>3014.1</v>
      </c>
      <c r="C71" s="153" t="n">
        <f aca="false">B71*$B$65</f>
        <v>236.90826</v>
      </c>
      <c r="D71" s="153" t="n">
        <f aca="false">IF($B$62&gt;0,$B$62,$B$66)</f>
        <v>502.35</v>
      </c>
      <c r="E71" s="153" t="n">
        <f aca="false">D71+C71</f>
        <v>739.25826</v>
      </c>
      <c r="F71" s="173" t="n">
        <v>0</v>
      </c>
      <c r="G71" s="173" t="n">
        <f aca="false">F71*$B$65</f>
        <v>0</v>
      </c>
      <c r="H71" s="173" t="n">
        <f aca="false">SUM(E71:G71)</f>
        <v>739.25826</v>
      </c>
      <c r="K71" s="5"/>
      <c r="L71" s="163" t="n">
        <v>3</v>
      </c>
      <c r="M71" s="165" t="n">
        <f aca="false">$M$36*(1-$M$41^($M$38+1-L71))/$M$39</f>
        <v>4155.75854258496</v>
      </c>
      <c r="N71" s="165" t="n">
        <f aca="false">$M$36*(1-$M$41^($M$38+1-L71))</f>
        <v>202.801016878146</v>
      </c>
      <c r="O71" s="165" t="n">
        <f aca="false">$M$36*($M$41^($M$38+1-L71))</f>
        <v>1319.79898312185</v>
      </c>
      <c r="P71" s="165" t="n">
        <f aca="false">IF($M$36,$M$36,$M$42)</f>
        <v>1522.6</v>
      </c>
      <c r="Q71" s="172" t="n">
        <f aca="false">S70</f>
        <v>3116.30542</v>
      </c>
      <c r="R71" s="172" t="n">
        <f aca="false">Q71*$B$87</f>
        <v>145.531463114</v>
      </c>
      <c r="S71" s="172" t="n">
        <f aca="false">SUM(P71:R71)</f>
        <v>4784.436883114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customFormat="false" ht="18.75" hidden="false" customHeight="true" outlineLevel="0" collapsed="false">
      <c r="A72" s="141" t="n">
        <v>2</v>
      </c>
      <c r="B72" s="153" t="n">
        <f aca="false">B71-D72</f>
        <v>2511.75</v>
      </c>
      <c r="C72" s="153" t="n">
        <f aca="false">B72*$B$65</f>
        <v>197.42355</v>
      </c>
      <c r="D72" s="153" t="n">
        <f aca="false">IF($B$62&gt;0,$B$62,$B$66)</f>
        <v>502.35</v>
      </c>
      <c r="E72" s="153" t="n">
        <f aca="false">D72+C72</f>
        <v>699.77355</v>
      </c>
      <c r="F72" s="173" t="n">
        <f aca="false">H71</f>
        <v>739.25826</v>
      </c>
      <c r="G72" s="173" t="n">
        <f aca="false">F72*$B$65</f>
        <v>58.105699236</v>
      </c>
      <c r="H72" s="173" t="n">
        <f aca="false">SUM(E72:G72)</f>
        <v>1497.137509236</v>
      </c>
      <c r="K72" s="5"/>
      <c r="L72" s="163" t="n">
        <v>4</v>
      </c>
      <c r="M72" s="165" t="n">
        <f aca="false">$M$36*(1-$M$41^($M$38+1-L72))/$M$39</f>
        <v>2835.95955946311</v>
      </c>
      <c r="N72" s="165" t="n">
        <f aca="false">$M$36*(1-$M$41^($M$38+1-L72))</f>
        <v>138.3948265018</v>
      </c>
      <c r="O72" s="165" t="n">
        <f aca="false">$M$36*($M$41^($M$38+1-L72))</f>
        <v>1384.2051734982</v>
      </c>
      <c r="P72" s="165" t="n">
        <f aca="false">IF($M$36,$M$36,$M$42)</f>
        <v>1522.6</v>
      </c>
      <c r="Q72" s="172" t="n">
        <f aca="false">S71</f>
        <v>4784.436883114</v>
      </c>
      <c r="R72" s="172" t="n">
        <f aca="false">Q72*$B$87</f>
        <v>223.433202441424</v>
      </c>
      <c r="S72" s="174" t="n">
        <f aca="false">SUM(P72:R72)</f>
        <v>6530.47008555542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customFormat="false" ht="18.75" hidden="false" customHeight="true" outlineLevel="0" collapsed="false">
      <c r="A73" s="141" t="n">
        <v>3</v>
      </c>
      <c r="B73" s="153" t="n">
        <f aca="false">B72-D73</f>
        <v>2009.4</v>
      </c>
      <c r="C73" s="153" t="n">
        <f aca="false">B73*$B$65</f>
        <v>157.93884</v>
      </c>
      <c r="D73" s="153" t="n">
        <f aca="false">IF($B$62&gt;0,$B$62,$B$66)</f>
        <v>502.35</v>
      </c>
      <c r="E73" s="153" t="n">
        <f aca="false">D73+C73</f>
        <v>660.28884</v>
      </c>
      <c r="F73" s="173" t="n">
        <f aca="false">H72</f>
        <v>1497.137509236</v>
      </c>
      <c r="G73" s="173" t="n">
        <f aca="false">F73*$B$65</f>
        <v>117.67500822595</v>
      </c>
      <c r="H73" s="173" t="n">
        <f aca="false">SUM(E73:G73)</f>
        <v>2275.10135746195</v>
      </c>
      <c r="K73" s="5"/>
      <c r="L73" s="163" t="n">
        <v>5</v>
      </c>
      <c r="M73" s="165" t="n">
        <f aca="false">$M$36*(1-$M$41^($M$38+1-L73))/$M$39</f>
        <v>1451.75438596491</v>
      </c>
      <c r="N73" s="165" t="n">
        <f aca="false">$M$36*(1-$M$41^($M$38+1-L73))</f>
        <v>70.8456140350877</v>
      </c>
      <c r="O73" s="165" t="n">
        <f aca="false">$M$36*($M$41^($M$38+1-L73))</f>
        <v>1451.75438596491</v>
      </c>
      <c r="P73" s="165" t="n">
        <f aca="false">IF($M$36,$M$36,$M$42)</f>
        <v>1522.6</v>
      </c>
      <c r="Q73" s="172" t="n">
        <f aca="false">S72</f>
        <v>6530.47008555542</v>
      </c>
      <c r="R73" s="172" t="n">
        <f aca="false">Q73*$B$87</f>
        <v>304.972952995438</v>
      </c>
      <c r="S73" s="172" t="n">
        <f aca="false">SUM(P73:R73)</f>
        <v>8358.04303855086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customFormat="false" ht="18.75" hidden="false" customHeight="true" outlineLevel="0" collapsed="false">
      <c r="A74" s="141" t="n">
        <v>4</v>
      </c>
      <c r="B74" s="153" t="n">
        <f aca="false">B73-D74</f>
        <v>1507.05</v>
      </c>
      <c r="C74" s="153" t="n">
        <f aca="false">B74*$B$65</f>
        <v>118.45413</v>
      </c>
      <c r="D74" s="153" t="n">
        <f aca="false">IF($B$62&gt;0,$B$62,$B$66)</f>
        <v>502.35</v>
      </c>
      <c r="E74" s="153" t="n">
        <f aca="false">D74+C74</f>
        <v>620.80413</v>
      </c>
      <c r="F74" s="173" t="n">
        <f aca="false">H73</f>
        <v>2275.10135746195</v>
      </c>
      <c r="G74" s="173" t="n">
        <f aca="false">F74*$B$65</f>
        <v>178.822966696509</v>
      </c>
      <c r="H74" s="173" t="n">
        <f aca="false">SUM(E74:G74)</f>
        <v>3074.72845415846</v>
      </c>
      <c r="K74" s="5"/>
      <c r="L74" s="163" t="n">
        <v>6</v>
      </c>
      <c r="M74" s="165" t="n">
        <f aca="false">$M$36*(1-$M$41^($M$38+1-L74))/$M$39</f>
        <v>0</v>
      </c>
      <c r="N74" s="165" t="n">
        <f aca="false">$M$36*(1-$M$41^($M$38+1-L74))</f>
        <v>0</v>
      </c>
      <c r="O74" s="165" t="n">
        <f aca="false">$M$36*($M$41^($M$38+1-L74))</f>
        <v>1522.6</v>
      </c>
      <c r="P74" s="165" t="n">
        <f aca="false">IF($M$36,$M$36,$M$42)</f>
        <v>1522.6</v>
      </c>
      <c r="Q74" s="172" t="n">
        <f aca="false">S73</f>
        <v>8358.04303855086</v>
      </c>
      <c r="R74" s="172" t="n">
        <f aca="false">Q74*$B$87</f>
        <v>390.320609900325</v>
      </c>
      <c r="S74" s="172" t="n">
        <f aca="false">SUM(P74:R74)</f>
        <v>10270.9636484512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customFormat="false" ht="18.75" hidden="false" customHeight="true" outlineLevel="0" collapsed="false">
      <c r="A75" s="141" t="n">
        <v>5</v>
      </c>
      <c r="B75" s="153" t="n">
        <f aca="false">B74-D75</f>
        <v>1004.7</v>
      </c>
      <c r="C75" s="153" t="n">
        <f aca="false">B75*$B$65</f>
        <v>78.96942</v>
      </c>
      <c r="D75" s="153" t="n">
        <f aca="false">IF($B$62&gt;0,$B$62,$B$66)</f>
        <v>502.35</v>
      </c>
      <c r="E75" s="153" t="n">
        <f aca="false">D75+C75</f>
        <v>581.31942</v>
      </c>
      <c r="F75" s="173" t="n">
        <f aca="false">H74</f>
        <v>3074.72845415846</v>
      </c>
      <c r="G75" s="173" t="n">
        <f aca="false">F75*$B$65</f>
        <v>241.673656496855</v>
      </c>
      <c r="H75" s="173" t="n">
        <f aca="false">SUM(E75:G75)</f>
        <v>3897.72153065531</v>
      </c>
      <c r="K75" s="5"/>
      <c r="L75" s="163" t="n">
        <v>7</v>
      </c>
      <c r="M75" s="165" t="n">
        <f aca="false">$M$36*(1-$M$41^($M$38+1-L75))/$M$39</f>
        <v>-1522.6</v>
      </c>
      <c r="N75" s="165" t="n">
        <f aca="false">$M$36*(1-$M$41^($M$38+1-L75))</f>
        <v>-74.3028799999999</v>
      </c>
      <c r="O75" s="165" t="n">
        <f aca="false">$M$36*($M$41^($M$38+1-L75))</f>
        <v>1596.90288</v>
      </c>
      <c r="P75" s="165" t="n">
        <f aca="false">IF($M$36,$M$36,$M$42)</f>
        <v>1522.6</v>
      </c>
      <c r="Q75" s="172" t="n">
        <f aca="false">S74</f>
        <v>10270.9636484512</v>
      </c>
      <c r="R75" s="172" t="n">
        <f aca="false">Q75*$B$87</f>
        <v>479.65400238267</v>
      </c>
      <c r="S75" s="172" t="n">
        <f aca="false">SUM(P75:R75)</f>
        <v>12273.2176508339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customFormat="false" ht="18.75" hidden="false" customHeight="true" outlineLevel="0" collapsed="false">
      <c r="A76" s="141" t="n">
        <v>6</v>
      </c>
      <c r="B76" s="153" t="n">
        <f aca="false">B75-D76</f>
        <v>502.35</v>
      </c>
      <c r="C76" s="153" t="n">
        <f aca="false">B76*$B$65</f>
        <v>39.48471</v>
      </c>
      <c r="D76" s="153" t="n">
        <f aca="false">IF($B$62&gt;0,$B$62,$B$66)</f>
        <v>502.35</v>
      </c>
      <c r="E76" s="153" t="n">
        <f aca="false">D76+C76</f>
        <v>541.83471</v>
      </c>
      <c r="F76" s="173" t="n">
        <f aca="false">H75</f>
        <v>3897.72153065531</v>
      </c>
      <c r="G76" s="173" t="n">
        <f aca="false">F76*$B$65</f>
        <v>306.360912309508</v>
      </c>
      <c r="H76" s="173" t="n">
        <f aca="false">SUM(E76:G76)</f>
        <v>4745.91715296482</v>
      </c>
      <c r="K76" s="5"/>
      <c r="L76" s="163" t="n">
        <v>8</v>
      </c>
      <c r="M76" s="165" t="n">
        <f aca="false">$M$36*(1-$M$41^($M$38+1-L76))/$M$39</f>
        <v>-3119.50288</v>
      </c>
      <c r="N76" s="165" t="n">
        <f aca="false">$M$36*(1-$M$41^($M$38+1-L76))</f>
        <v>-152.231740544</v>
      </c>
      <c r="O76" s="165" t="n">
        <f aca="false">$M$36*($M$41^($M$38+1-L76))</f>
        <v>1674.831740544</v>
      </c>
      <c r="P76" s="165" t="n">
        <f aca="false">IF($M$36,$M$36,$M$42)</f>
        <v>1522.6</v>
      </c>
      <c r="Q76" s="172" t="n">
        <f aca="false">S75</f>
        <v>12273.2176508339</v>
      </c>
      <c r="R76" s="172" t="n">
        <f aca="false">Q76*$B$87</f>
        <v>573.159264293941</v>
      </c>
      <c r="S76" s="172" t="n">
        <f aca="false">SUM(P76:R76)</f>
        <v>14368.9769151278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customFormat="false" ht="18.75" hidden="false" customHeight="true" outlineLevel="0" collapsed="false">
      <c r="A77" s="141" t="n">
        <v>7</v>
      </c>
      <c r="B77" s="153" t="n">
        <f aca="false">B76-D77</f>
        <v>0</v>
      </c>
      <c r="C77" s="153" t="n">
        <f aca="false">B77*$B$65</f>
        <v>0</v>
      </c>
      <c r="D77" s="153" t="n">
        <f aca="false">IF($B$62&gt;0,$B$62,$B$66)</f>
        <v>502.35</v>
      </c>
      <c r="E77" s="153" t="n">
        <f aca="false">D77+C77</f>
        <v>502.35</v>
      </c>
      <c r="F77" s="173" t="n">
        <f aca="false">H76</f>
        <v>4745.91715296482</v>
      </c>
      <c r="G77" s="173" t="n">
        <f aca="false">F77*$B$65</f>
        <v>373.029088223035</v>
      </c>
      <c r="H77" s="173" t="n">
        <f aca="false">SUM(E77:G77)</f>
        <v>5621.29624118786</v>
      </c>
      <c r="K77" s="5"/>
      <c r="L77" s="163" t="n">
        <v>9</v>
      </c>
      <c r="M77" s="165" t="n">
        <f aca="false">$M$36*(1-$M$41^($M$38+1-L77))/$M$39</f>
        <v>-4794.334620544</v>
      </c>
      <c r="N77" s="165" t="n">
        <f aca="false">$M$36*(1-$M$41^($M$38+1-L77))</f>
        <v>-233.963529482547</v>
      </c>
      <c r="O77" s="165" t="n">
        <f aca="false">$M$36*($M$41^($M$38+1-L77))</f>
        <v>1756.56352948255</v>
      </c>
      <c r="P77" s="165" t="n">
        <f aca="false">IF($M$36,$M$36,$M$42)</f>
        <v>1522.6</v>
      </c>
      <c r="Q77" s="172" t="n">
        <f aca="false">S76</f>
        <v>14368.9769151278</v>
      </c>
      <c r="R77" s="172" t="n">
        <f aca="false">Q77*$B$87</f>
        <v>671.031221936468</v>
      </c>
      <c r="S77" s="172" t="n">
        <f aca="false">SUM(P77:R77)</f>
        <v>16562.6081370643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customFormat="false" ht="18.75" hidden="false" customHeight="true" outlineLevel="0" collapsed="false">
      <c r="A78" s="141" t="n">
        <v>8</v>
      </c>
      <c r="B78" s="153" t="n">
        <f aca="false">B77-D78</f>
        <v>-502.35</v>
      </c>
      <c r="C78" s="153" t="n">
        <f aca="false">B78*$B$65</f>
        <v>-39.48471</v>
      </c>
      <c r="D78" s="153" t="n">
        <f aca="false">IF($B$62&gt;0,$B$62,$B$66)</f>
        <v>502.35</v>
      </c>
      <c r="E78" s="153" t="n">
        <f aca="false">D78+C78</f>
        <v>462.86529</v>
      </c>
      <c r="F78" s="173" t="n">
        <f aca="false">H77</f>
        <v>5621.29624118786</v>
      </c>
      <c r="G78" s="173" t="n">
        <f aca="false">F78*$B$65</f>
        <v>441.833884557366</v>
      </c>
      <c r="H78" s="173" t="n">
        <f aca="false">SUM(E78:G78)</f>
        <v>6525.99541574522</v>
      </c>
      <c r="K78" s="5"/>
      <c r="L78" s="163" t="n">
        <v>10</v>
      </c>
      <c r="M78" s="165" t="n">
        <f aca="false">$M$36*(1-$M$41^($M$38+1-L78))/$M$39</f>
        <v>-6550.89815002654</v>
      </c>
      <c r="N78" s="165" t="n">
        <f aca="false">$M$36*(1-$M$41^($M$38+1-L78))</f>
        <v>-319.683829721295</v>
      </c>
      <c r="O78" s="165" t="n">
        <f aca="false">$M$36*($M$41^($M$38+1-L78))</f>
        <v>1842.2838297213</v>
      </c>
      <c r="P78" s="165" t="n">
        <f aca="false">IF($M$36,$M$36,$M$42)</f>
        <v>1522.6</v>
      </c>
      <c r="Q78" s="172" t="n">
        <f aca="false">S77</f>
        <v>16562.6081370643</v>
      </c>
      <c r="R78" s="172" t="n">
        <f aca="false">Q78*$B$87</f>
        <v>773.473800000901</v>
      </c>
      <c r="S78" s="172" t="n">
        <f aca="false">SUM(P78:R78)</f>
        <v>18858.6819370652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customFormat="false" ht="18.75" hidden="false" customHeight="true" outlineLevel="0" collapsed="false">
      <c r="A79" s="141" t="n">
        <v>9</v>
      </c>
      <c r="B79" s="153" t="n">
        <f aca="false">B78-D79</f>
        <v>-1004.7</v>
      </c>
      <c r="C79" s="153" t="n">
        <f aca="false">B79*$B$65</f>
        <v>-78.96942</v>
      </c>
      <c r="D79" s="153" t="n">
        <f aca="false">IF($B$62&gt;0,$B$62,$B$66)</f>
        <v>502.35</v>
      </c>
      <c r="E79" s="153" t="n">
        <f aca="false">D79+C79</f>
        <v>423.38058</v>
      </c>
      <c r="F79" s="173" t="n">
        <f aca="false">H78</f>
        <v>6525.99541574522</v>
      </c>
      <c r="G79" s="173" t="n">
        <f aca="false">F79*$B$65</f>
        <v>512.943239677575</v>
      </c>
      <c r="H79" s="173" t="n">
        <f aca="false">SUM(E79:G79)</f>
        <v>7462.3192354228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customFormat="false" ht="18.75" hidden="false" customHeight="true" outlineLevel="0" collapsed="false">
      <c r="A80" s="141" t="n">
        <v>10</v>
      </c>
      <c r="B80" s="153" t="n">
        <f aca="false">B79-D80</f>
        <v>-1507.05</v>
      </c>
      <c r="C80" s="153" t="n">
        <f aca="false">B80*$B$65</f>
        <v>-118.45413</v>
      </c>
      <c r="D80" s="153" t="n">
        <f aca="false">IF($B$62&gt;0,$B$62,$B$66)</f>
        <v>502.35</v>
      </c>
      <c r="E80" s="153" t="n">
        <f aca="false">D80+C80</f>
        <v>383.89587</v>
      </c>
      <c r="F80" s="173" t="n">
        <f aca="false">H79</f>
        <v>7462.3192354228</v>
      </c>
      <c r="G80" s="173" t="n">
        <f aca="false">F80*$B$65</f>
        <v>586.538291904232</v>
      </c>
      <c r="H80" s="173" t="n">
        <f aca="false">SUM(E80:G80)</f>
        <v>8432.75339732703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customFormat="false" ht="18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customFormat="false" ht="18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customFormat="false" ht="18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customFormat="false" ht="18.75" hidden="false" customHeight="true" outlineLevel="0" collapsed="false">
      <c r="A84" s="142" t="s">
        <v>45</v>
      </c>
      <c r="B84" s="175" t="n">
        <v>689.842584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customFormat="false" ht="18.75" hidden="false" customHeight="true" outlineLevel="0" collapsed="false">
      <c r="A85" s="142" t="s">
        <v>47</v>
      </c>
      <c r="B85" s="143" t="n">
        <v>3014.1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customFormat="false" ht="18.75" hidden="false" customHeight="true" outlineLevel="0" collapsed="false">
      <c r="A86" s="142" t="s">
        <v>48</v>
      </c>
      <c r="B86" s="143" t="n">
        <v>5</v>
      </c>
      <c r="C86" s="139"/>
      <c r="D86" s="147" t="s">
        <v>50</v>
      </c>
      <c r="E86" s="5"/>
      <c r="F86" s="152" t="s">
        <v>73</v>
      </c>
      <c r="G86" s="15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customFormat="false" ht="18.75" hidden="false" customHeight="true" outlineLevel="0" collapsed="false">
      <c r="A87" s="142" t="s">
        <v>51</v>
      </c>
      <c r="B87" s="150" t="n">
        <v>0.0467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customFormat="false" ht="18.75" hidden="false" customHeight="true" outlineLevel="0" collapsed="false">
      <c r="A88" s="142" t="s">
        <v>56</v>
      </c>
      <c r="B88" s="154" t="n">
        <f aca="false">1+B87</f>
        <v>1.0467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customFormat="false" ht="18.75" hidden="false" customHeight="true" outlineLevel="0" collapsed="false">
      <c r="A89" s="142" t="s">
        <v>58</v>
      </c>
      <c r="B89" s="156" t="n">
        <f aca="false">1/B88</f>
        <v>0.955383586509984</v>
      </c>
      <c r="C89" s="5"/>
      <c r="D89" s="15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customFormat="false" ht="18.75" hidden="false" customHeight="true" outlineLevel="0" collapsed="false">
      <c r="A90" s="143" t="s">
        <v>60</v>
      </c>
      <c r="B90" s="159" t="n">
        <f aca="false">B85*B87/(1-B89^B86)</f>
        <v>689.842584407205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customFormat="false" ht="18.75" hidden="false" customHeight="true" outlineLevel="0" collapsed="false">
      <c r="A91" s="143" t="s">
        <v>61</v>
      </c>
      <c r="B91" s="161" t="n">
        <f aca="false">B84*(1-B89^B86)/B87</f>
        <v>3014.09999822082</v>
      </c>
      <c r="C91" s="169"/>
      <c r="D91" s="169"/>
      <c r="E91" s="16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customFormat="false" ht="18.75" hidden="false" customHeight="true" outlineLevel="0" collapsed="false">
      <c r="A92" s="160" t="s">
        <v>62</v>
      </c>
      <c r="B92" s="160" t="s">
        <v>63</v>
      </c>
      <c r="C92" s="160" t="s">
        <v>64</v>
      </c>
      <c r="D92" s="160" t="s">
        <v>65</v>
      </c>
      <c r="E92" s="160" t="s">
        <v>66</v>
      </c>
      <c r="F92" s="170" t="s">
        <v>70</v>
      </c>
      <c r="G92" s="171" t="s">
        <v>71</v>
      </c>
      <c r="H92" s="171" t="s">
        <v>72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customFormat="false" ht="18.75" hidden="false" customHeight="true" outlineLevel="0" collapsed="false">
      <c r="A93" s="143" t="n">
        <v>1</v>
      </c>
      <c r="B93" s="159" t="n">
        <f aca="false">IF(B85,B85,B91)</f>
        <v>3014.1</v>
      </c>
      <c r="C93" s="143" t="n">
        <f aca="false">B93*$G$39</f>
        <v>294.77898</v>
      </c>
      <c r="D93" s="143" t="n">
        <f aca="false">E93-C93</f>
        <v>395.063604</v>
      </c>
      <c r="E93" s="143" t="n">
        <f aca="false">IF($B$84&gt;0,$B$84,B90)</f>
        <v>689.842584</v>
      </c>
      <c r="F93" s="172" t="n">
        <v>0</v>
      </c>
      <c r="G93" s="172" t="n">
        <f aca="false">F93*$B$87</f>
        <v>0</v>
      </c>
      <c r="H93" s="172" t="n">
        <f aca="false">SUM(E93:G93)</f>
        <v>689.842584</v>
      </c>
      <c r="I93" s="147" t="s">
        <v>74</v>
      </c>
      <c r="J93" s="5" t="n">
        <f aca="false">SUM(E71:E75)+SUM(E93:E96)-B71</f>
        <v>3046.714536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customFormat="false" ht="18.75" hidden="false" customHeight="true" outlineLevel="0" collapsed="false">
      <c r="A94" s="143" t="n">
        <v>2</v>
      </c>
      <c r="B94" s="166" t="n">
        <f aca="false">B93-D93</f>
        <v>2619.036396</v>
      </c>
      <c r="C94" s="166" t="n">
        <f aca="false">B94*$G$39</f>
        <v>256.1417595288</v>
      </c>
      <c r="D94" s="176" t="n">
        <f aca="false">E94-C94</f>
        <v>433.7008244712</v>
      </c>
      <c r="E94" s="143" t="n">
        <f aca="false">IF($B$84&gt;0,$B$84,B91)</f>
        <v>689.842584</v>
      </c>
      <c r="F94" s="172" t="n">
        <f aca="false">H93</f>
        <v>689.842584</v>
      </c>
      <c r="G94" s="172" t="n">
        <f aca="false">F94*$B$87</f>
        <v>32.2156486728</v>
      </c>
      <c r="H94" s="172" t="n">
        <f aca="false">SUM(E94:G94)</f>
        <v>1411.9008166728</v>
      </c>
      <c r="I94" s="147" t="s">
        <v>75</v>
      </c>
      <c r="J94" s="5" t="n">
        <f aca="false">SUM(E71:E75)+SUM(E93:E96)</f>
        <v>6060.814536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customFormat="false" ht="18.75" hidden="false" customHeight="true" outlineLevel="0" collapsed="false">
      <c r="A95" s="143" t="n">
        <v>3</v>
      </c>
      <c r="B95" s="166" t="n">
        <f aca="false">B94-D94</f>
        <v>2185.3355715288</v>
      </c>
      <c r="C95" s="166" t="n">
        <f aca="false">B95*$G$39</f>
        <v>213.725818895517</v>
      </c>
      <c r="D95" s="176" t="n">
        <f aca="false">E95-C95</f>
        <v>476.116765104483</v>
      </c>
      <c r="E95" s="143" t="n">
        <f aca="false">IF($B$84&gt;0,$B$84,B92)</f>
        <v>689.842584</v>
      </c>
      <c r="F95" s="172" t="n">
        <f aca="false">H94</f>
        <v>1411.9008166728</v>
      </c>
      <c r="G95" s="172" t="n">
        <f aca="false">F95*$B$87</f>
        <v>65.9357681386198</v>
      </c>
      <c r="H95" s="172" t="n">
        <f aca="false">SUM(E95:G95)</f>
        <v>2167.67916881142</v>
      </c>
      <c r="I95" s="147" t="s">
        <v>76</v>
      </c>
      <c r="J95" s="177" t="n">
        <f aca="false">SUM(C71:C76)-SUM(G93:G96)</f>
        <v>629.796876005087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customFormat="false" ht="18.75" hidden="false" customHeight="true" outlineLevel="0" collapsed="false">
      <c r="A96" s="143" t="n">
        <v>4</v>
      </c>
      <c r="B96" s="166" t="n">
        <f aca="false">B95-D95</f>
        <v>1709.21880642432</v>
      </c>
      <c r="C96" s="166" t="n">
        <f aca="false">B96*$G$39</f>
        <v>167.161599268298</v>
      </c>
      <c r="D96" s="176" t="n">
        <f aca="false">E96-C96</f>
        <v>522.680984731702</v>
      </c>
      <c r="E96" s="143" t="n">
        <f aca="false">IF($B$84&gt;0,$B$84,B93)</f>
        <v>689.842584</v>
      </c>
      <c r="F96" s="172" t="n">
        <f aca="false">H95</f>
        <v>2167.67916881142</v>
      </c>
      <c r="G96" s="172" t="n">
        <f aca="false">F96*$B$87</f>
        <v>101.230617183493</v>
      </c>
      <c r="H96" s="172" t="n">
        <f aca="false">SUM(E96:G96)</f>
        <v>2958.75236999491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customFormat="false" ht="18.75" hidden="false" customHeight="true" outlineLevel="0" collapsed="false">
      <c r="A97" s="143" t="n">
        <v>5</v>
      </c>
      <c r="B97" s="166" t="n">
        <f aca="false">B96-D96</f>
        <v>1186.53782169261</v>
      </c>
      <c r="C97" s="166" t="n">
        <f aca="false">B97*$G$39</f>
        <v>116.043398961538</v>
      </c>
      <c r="D97" s="176" t="n">
        <f aca="false">E97-C97</f>
        <v>573.799185038462</v>
      </c>
      <c r="E97" s="143" t="n">
        <f aca="false">IF($B$84&gt;0,$B$84,B94)</f>
        <v>689.842584</v>
      </c>
      <c r="F97" s="172" t="n">
        <f aca="false">H96</f>
        <v>2958.75236999491</v>
      </c>
      <c r="G97" s="172" t="n">
        <f aca="false">F97*$B$87</f>
        <v>138.173735678762</v>
      </c>
      <c r="H97" s="172" t="n">
        <f aca="false">SUM(E97:G97)</f>
        <v>3786.76868967368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customFormat="false" ht="18.75" hidden="false" customHeight="true" outlineLevel="0" collapsed="false">
      <c r="A98" s="143" t="n">
        <v>6</v>
      </c>
      <c r="B98" s="166" t="n">
        <f aca="false">B97-D97</f>
        <v>612.738636654152</v>
      </c>
      <c r="C98" s="166" t="n">
        <f aca="false">B98*$G$39</f>
        <v>59.9258386647761</v>
      </c>
      <c r="D98" s="176" t="n">
        <f aca="false">E98-C98</f>
        <v>629.916745335224</v>
      </c>
      <c r="E98" s="143" t="n">
        <f aca="false">IF($B$84&gt;0,$B$84,B95)</f>
        <v>689.842584</v>
      </c>
      <c r="F98" s="172" t="n">
        <f aca="false">H97</f>
        <v>3786.76868967368</v>
      </c>
      <c r="G98" s="172" t="n">
        <f aca="false">F98*$B$87</f>
        <v>176.842097807761</v>
      </c>
      <c r="H98" s="172" t="n">
        <f aca="false">SUM(E98:G98)</f>
        <v>4653.45337148144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customFormat="false" ht="18.75" hidden="false" customHeight="true" outlineLevel="0" collapsed="false">
      <c r="A99" s="143" t="n">
        <v>7</v>
      </c>
      <c r="B99" s="166" t="n">
        <f aca="false">B98-D98</f>
        <v>-17.1781086810715</v>
      </c>
      <c r="C99" s="166" t="n">
        <f aca="false">B99*$G$39</f>
        <v>-1.6800190290088</v>
      </c>
      <c r="D99" s="176" t="n">
        <f aca="false">E99-C99</f>
        <v>691.522603029009</v>
      </c>
      <c r="E99" s="143" t="n">
        <f aca="false">IF($B$84&gt;0,$B$84,B96)</f>
        <v>689.842584</v>
      </c>
      <c r="F99" s="172" t="n">
        <f aca="false">H98</f>
        <v>4653.45337148144</v>
      </c>
      <c r="G99" s="172" t="n">
        <f aca="false">F99*$B$87</f>
        <v>217.316272448183</v>
      </c>
      <c r="H99" s="172" t="n">
        <f aca="false">SUM(E99:G99)</f>
        <v>5560.61222792962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customFormat="false" ht="18.75" hidden="false" customHeight="true" outlineLevel="0" collapsed="false">
      <c r="A100" s="143" t="n">
        <v>8</v>
      </c>
      <c r="B100" s="166" t="n">
        <f aca="false">B99-D99</f>
        <v>-708.70071171008</v>
      </c>
      <c r="C100" s="166" t="n">
        <f aca="false">B100*$G$39</f>
        <v>-69.3109296052459</v>
      </c>
      <c r="D100" s="176" t="n">
        <f aca="false">E100-C100</f>
        <v>759.153513605246</v>
      </c>
      <c r="E100" s="143" t="n">
        <f aca="false">IF($B$84&gt;0,$B$84,B97)</f>
        <v>689.842584</v>
      </c>
      <c r="F100" s="172" t="n">
        <f aca="false">H99</f>
        <v>5560.61222792962</v>
      </c>
      <c r="G100" s="172" t="n">
        <f aca="false">F100*$B$87</f>
        <v>259.680591044313</v>
      </c>
      <c r="H100" s="172" t="n">
        <f aca="false">SUM(E100:G100)</f>
        <v>6510.13540297393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customFormat="false" ht="18.75" hidden="false" customHeight="true" outlineLevel="0" collapsed="false">
      <c r="A101" s="143" t="n">
        <v>9</v>
      </c>
      <c r="B101" s="166" t="n">
        <f aca="false">B100-D100</f>
        <v>-1467.85422531533</v>
      </c>
      <c r="C101" s="166" t="n">
        <f aca="false">B101*$G$39</f>
        <v>-143.556143235839</v>
      </c>
      <c r="D101" s="176" t="n">
        <f aca="false">E101-C101</f>
        <v>833.398727235839</v>
      </c>
      <c r="E101" s="143" t="n">
        <f aca="false">IF($B$84&gt;0,$B$84,B98)</f>
        <v>689.842584</v>
      </c>
      <c r="F101" s="172" t="n">
        <f aca="false">H100</f>
        <v>6510.13540297393</v>
      </c>
      <c r="G101" s="172" t="n">
        <f aca="false">F101*$B$87</f>
        <v>304.023323318883</v>
      </c>
      <c r="H101" s="172" t="n">
        <f aca="false">SUM(E101:G101)</f>
        <v>7504.00131029282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customFormat="false" ht="18.75" hidden="false" customHeight="true" outlineLevel="0" collapsed="false">
      <c r="A102" s="143" t="n">
        <v>10</v>
      </c>
      <c r="B102" s="166" t="n">
        <f aca="false">B101-D101</f>
        <v>-2301.25295255116</v>
      </c>
      <c r="C102" s="166" t="n">
        <f aca="false">B102*$G$39</f>
        <v>-225.062538759504</v>
      </c>
      <c r="D102" s="176" t="n">
        <f aca="false">E102-C102</f>
        <v>914.905122759504</v>
      </c>
      <c r="E102" s="143" t="n">
        <f aca="false">IF($B$84&gt;0,$B$84,B99)</f>
        <v>689.842584</v>
      </c>
      <c r="F102" s="172" t="n">
        <f aca="false">H101</f>
        <v>7504.00131029282</v>
      </c>
      <c r="G102" s="172" t="n">
        <f aca="false">F102*$B$87</f>
        <v>350.436861190674</v>
      </c>
      <c r="H102" s="172" t="n">
        <f aca="false">SUM(E102:G102)</f>
        <v>8544.28075548349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customFormat="false" ht="18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customFormat="false" ht="18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customFormat="false" ht="18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customFormat="false" ht="18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customFormat="false" ht="18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customFormat="false" ht="18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customFormat="false" ht="18.75" hidden="false" customHeight="true" outlineLevel="0" collapsed="false">
      <c r="A109" s="5"/>
      <c r="B109" s="5"/>
      <c r="C109" s="5"/>
      <c r="D109" s="178" t="s">
        <v>47</v>
      </c>
      <c r="E109" s="179" t="n">
        <v>6320.64</v>
      </c>
      <c r="F109" s="180" t="s">
        <v>77</v>
      </c>
      <c r="G109" s="179" t="n">
        <v>223</v>
      </c>
      <c r="H109" s="180" t="s">
        <v>45</v>
      </c>
      <c r="I109" s="181" t="n">
        <v>0.0682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customFormat="false" ht="18.75" hidden="false" customHeight="true" outlineLevel="0" collapsed="false">
      <c r="A110" s="5"/>
      <c r="B110" s="5"/>
      <c r="C110" s="5"/>
      <c r="D110" s="182"/>
      <c r="E110" s="183"/>
      <c r="F110" s="183"/>
      <c r="G110" s="183"/>
      <c r="H110" s="183"/>
      <c r="I110" s="18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customFormat="false" ht="18.75" hidden="false" customHeight="true" outlineLevel="0" collapsed="false">
      <c r="A111" s="5"/>
      <c r="B111" s="5"/>
      <c r="C111" s="5"/>
      <c r="D111" s="182"/>
      <c r="E111" s="183"/>
      <c r="F111" s="183"/>
      <c r="G111" s="183"/>
      <c r="H111" s="183"/>
      <c r="I111" s="18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customFormat="false" ht="18.75" hidden="false" customHeight="true" outlineLevel="0" collapsed="false">
      <c r="A112" s="5"/>
      <c r="B112" s="5"/>
      <c r="C112" s="5"/>
      <c r="D112" s="182"/>
      <c r="E112" s="183"/>
      <c r="F112" s="183"/>
      <c r="G112" s="183"/>
      <c r="H112" s="183"/>
      <c r="I112" s="18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customFormat="false" ht="18.75" hidden="false" customHeight="true" outlineLevel="0" collapsed="false">
      <c r="A113" s="5"/>
      <c r="B113" s="5"/>
      <c r="C113" s="5"/>
      <c r="D113" s="185"/>
      <c r="E113" s="186"/>
      <c r="F113" s="187" t="s">
        <v>78</v>
      </c>
      <c r="G113" s="188" t="n">
        <f aca="false">E109*(1+I109*G109/360)</f>
        <v>6587.66245973333</v>
      </c>
      <c r="H113" s="186"/>
      <c r="I113" s="189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customFormat="false" ht="18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customFormat="false" ht="18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customFormat="false" ht="18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customFormat="false" ht="18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customFormat="false" ht="18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customFormat="false" ht="18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customFormat="false" ht="18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customFormat="false" ht="18.75" hidden="false" customHeight="true" outlineLevel="0" collapsed="false">
      <c r="A121" s="5"/>
      <c r="B121" s="5"/>
      <c r="C121" s="5"/>
      <c r="D121" s="190" t="s">
        <v>51</v>
      </c>
      <c r="E121" s="191" t="n">
        <v>0.0504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customFormat="false" ht="18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customFormat="false" ht="18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customFormat="false" ht="18.75" hidden="false" customHeight="true" outlineLevel="0" collapsed="false">
      <c r="A124" s="5"/>
      <c r="B124" s="5"/>
      <c r="C124" s="162" t="s">
        <v>62</v>
      </c>
      <c r="D124" s="162" t="s">
        <v>66</v>
      </c>
      <c r="E124" s="170" t="s">
        <v>70</v>
      </c>
      <c r="F124" s="171" t="s">
        <v>71</v>
      </c>
      <c r="G124" s="171" t="s">
        <v>72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customFormat="false" ht="18.75" hidden="false" customHeight="true" outlineLevel="0" collapsed="false">
      <c r="A125" s="5"/>
      <c r="B125" s="5"/>
      <c r="C125" s="141" t="n">
        <v>1</v>
      </c>
      <c r="D125" s="192" t="n">
        <v>302.3</v>
      </c>
      <c r="E125" s="173" t="n">
        <v>0</v>
      </c>
      <c r="F125" s="173" t="n">
        <f aca="false">E125*$B$65</f>
        <v>0</v>
      </c>
      <c r="G125" s="173" t="n">
        <f aca="false">SUM(D125:F125)</f>
        <v>302.3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customFormat="false" ht="18.75" hidden="false" customHeight="true" outlineLevel="0" collapsed="false">
      <c r="A126" s="5"/>
      <c r="B126" s="5"/>
      <c r="C126" s="141" t="n">
        <v>2</v>
      </c>
      <c r="D126" s="192" t="n">
        <v>256.3</v>
      </c>
      <c r="E126" s="173" t="n">
        <f aca="false">G125</f>
        <v>302.3</v>
      </c>
      <c r="F126" s="173" t="n">
        <f aca="false">E126*$E$121</f>
        <v>15.23592</v>
      </c>
      <c r="G126" s="173" t="n">
        <f aca="false">SUM(D126:F126)</f>
        <v>573.83592</v>
      </c>
      <c r="H126" s="5"/>
      <c r="I126" s="5" t="n">
        <f aca="false">D127-F127</f>
        <v>271.378669632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customFormat="false" ht="18.75" hidden="false" customHeight="true" outlineLevel="0" collapsed="false">
      <c r="A127" s="5"/>
      <c r="B127" s="5"/>
      <c r="C127" s="141" t="n">
        <v>3</v>
      </c>
      <c r="D127" s="192" t="n">
        <v>300.3</v>
      </c>
      <c r="E127" s="173" t="n">
        <f aca="false">G126</f>
        <v>573.83592</v>
      </c>
      <c r="F127" s="173" t="n">
        <f aca="false">E127*$E$121</f>
        <v>28.921330368</v>
      </c>
      <c r="G127" s="173" t="n">
        <f aca="false">SUM(D127:F127)</f>
        <v>903.057250368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customFormat="false" ht="18.75" hidden="false" customHeight="true" outlineLevel="0" collapsed="false">
      <c r="A128" s="5"/>
      <c r="B128" s="5"/>
      <c r="C128" s="141" t="n">
        <v>4</v>
      </c>
      <c r="D128" s="192" t="n">
        <v>296</v>
      </c>
      <c r="E128" s="173" t="n">
        <f aca="false">G127</f>
        <v>903.057250368</v>
      </c>
      <c r="F128" s="173" t="n">
        <f aca="false">E128*$E$121</f>
        <v>45.5140854185472</v>
      </c>
      <c r="G128" s="173" t="n">
        <f aca="false">SUM(D128:F128)</f>
        <v>1244.57133578655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customFormat="false" ht="18.75" hidden="false" customHeight="true" outlineLevel="0" collapsed="false">
      <c r="A129" s="5"/>
      <c r="B129" s="5"/>
      <c r="C129" s="141" t="n">
        <v>5</v>
      </c>
      <c r="D129" s="192" t="n">
        <v>246.2</v>
      </c>
      <c r="E129" s="173" t="n">
        <f aca="false">G128</f>
        <v>1244.57133578655</v>
      </c>
      <c r="F129" s="173" t="n">
        <f aca="false">E129*$E$121</f>
        <v>62.726395323642</v>
      </c>
      <c r="G129" s="173" t="n">
        <f aca="false">SUM(D129:F129)</f>
        <v>1553.49773111019</v>
      </c>
      <c r="H129" s="5"/>
      <c r="I129" s="5" t="n">
        <f aca="false">G129/5</f>
        <v>310.699546222038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customFormat="false" ht="18.75" hidden="false" customHeight="true" outlineLevel="0" collapsed="false">
      <c r="A130" s="5"/>
      <c r="B130" s="5"/>
      <c r="C130" s="141" t="n">
        <v>6</v>
      </c>
      <c r="D130" s="192"/>
      <c r="E130" s="173" t="n">
        <f aca="false">G129</f>
        <v>1553.49773111019</v>
      </c>
      <c r="F130" s="173" t="n">
        <f aca="false">E130*$E$121</f>
        <v>78.2962856479535</v>
      </c>
      <c r="G130" s="173" t="n">
        <f aca="false">SUM(D130:F130)</f>
        <v>1631.79401675814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customFormat="false" ht="18.75" hidden="false" customHeight="true" outlineLevel="0" collapsed="false">
      <c r="A131" s="5"/>
      <c r="B131" s="5"/>
      <c r="C131" s="141" t="n">
        <v>7</v>
      </c>
      <c r="D131" s="192"/>
      <c r="E131" s="173" t="n">
        <f aca="false">G130</f>
        <v>1631.79401675814</v>
      </c>
      <c r="F131" s="173" t="n">
        <f aca="false">E131*$E$121</f>
        <v>82.2424184446104</v>
      </c>
      <c r="G131" s="173" t="n">
        <f aca="false">SUM(D131:F131)</f>
        <v>1714.03643520275</v>
      </c>
      <c r="H131" s="5"/>
      <c r="I131" s="5" t="n">
        <f aca="false">G129-E129</f>
        <v>308.926395323642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customFormat="false" ht="18.75" hidden="false" customHeight="true" outlineLevel="0" collapsed="false">
      <c r="A132" s="5"/>
      <c r="B132" s="5"/>
      <c r="C132" s="141" t="n">
        <v>8</v>
      </c>
      <c r="D132" s="192"/>
      <c r="E132" s="173" t="n">
        <f aca="false">G131</f>
        <v>1714.03643520275</v>
      </c>
      <c r="F132" s="173" t="n">
        <f aca="false">E132*$E$121</f>
        <v>86.3874363342188</v>
      </c>
      <c r="G132" s="173" t="n">
        <f aca="false">SUM(D132:F132)</f>
        <v>1800.42387153697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customFormat="false" ht="18.75" hidden="false" customHeight="true" outlineLevel="0" collapsed="false">
      <c r="A133" s="5"/>
      <c r="B133" s="5"/>
      <c r="C133" s="141" t="n">
        <v>9</v>
      </c>
      <c r="D133" s="192"/>
      <c r="E133" s="173" t="n">
        <f aca="false">G132</f>
        <v>1800.42387153697</v>
      </c>
      <c r="F133" s="173" t="n">
        <f aca="false">E133*$E$121</f>
        <v>90.7413631254634</v>
      </c>
      <c r="G133" s="173" t="n">
        <f aca="false">SUM(D133:F133)</f>
        <v>1891.16523466244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customFormat="false" ht="18.75" hidden="false" customHeight="true" outlineLevel="0" collapsed="false">
      <c r="A134" s="5"/>
      <c r="B134" s="5"/>
      <c r="C134" s="141" t="n">
        <v>10</v>
      </c>
      <c r="D134" s="192"/>
      <c r="E134" s="173" t="n">
        <f aca="false">G133</f>
        <v>1891.16523466244</v>
      </c>
      <c r="F134" s="173" t="n">
        <f aca="false">E134*$E$121</f>
        <v>95.3147278269868</v>
      </c>
      <c r="G134" s="173" t="n">
        <f aca="false">SUM(D134:F134)</f>
        <v>1986.47996248942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customFormat="false" ht="18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customFormat="false" ht="18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customFormat="false" ht="18.75" hidden="false" customHeight="true" outlineLevel="0" collapsed="false">
      <c r="A137" s="5"/>
      <c r="B137" s="5"/>
      <c r="C137" s="5"/>
      <c r="D137" s="5"/>
      <c r="E137" s="190" t="s">
        <v>51</v>
      </c>
      <c r="F137" s="193" t="n">
        <v>0.0756</v>
      </c>
      <c r="G137" s="5"/>
      <c r="H137" s="167" t="s">
        <v>79</v>
      </c>
      <c r="I137" s="16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customFormat="false" ht="18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customFormat="false" ht="18.75" hidden="false" customHeight="true" outlineLevel="0" collapsed="false">
      <c r="A139" s="5"/>
      <c r="B139" s="5"/>
      <c r="C139" s="5"/>
      <c r="D139" s="162" t="s">
        <v>62</v>
      </c>
      <c r="E139" s="162" t="s">
        <v>63</v>
      </c>
      <c r="F139" s="162" t="s">
        <v>64</v>
      </c>
      <c r="G139" s="162" t="s">
        <v>65</v>
      </c>
      <c r="H139" s="162" t="s">
        <v>66</v>
      </c>
      <c r="I139" s="170" t="s">
        <v>70</v>
      </c>
      <c r="J139" s="171" t="s">
        <v>71</v>
      </c>
      <c r="K139" s="171" t="s">
        <v>72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customFormat="false" ht="18.75" hidden="false" customHeight="true" outlineLevel="0" collapsed="false">
      <c r="A140" s="5"/>
      <c r="B140" s="5"/>
      <c r="C140" s="5"/>
      <c r="D140" s="141" t="n">
        <v>1</v>
      </c>
      <c r="E140" s="153" t="n">
        <f aca="false">SUM(G140:G149)</f>
        <v>1151.3</v>
      </c>
      <c r="F140" s="153" t="n">
        <f aca="false">E140*$F$137</f>
        <v>87.03828</v>
      </c>
      <c r="G140" s="153" t="n">
        <v>282.5</v>
      </c>
      <c r="H140" s="153" t="n">
        <f aca="false">G140+F140</f>
        <v>369.53828</v>
      </c>
      <c r="I140" s="173" t="n">
        <v>0</v>
      </c>
      <c r="J140" s="173" t="n">
        <f aca="false">I140*$B$65</f>
        <v>0</v>
      </c>
      <c r="K140" s="173" t="n">
        <f aca="false">SUM(H140:J140)</f>
        <v>369.53828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customFormat="false" ht="18.75" hidden="false" customHeight="true" outlineLevel="0" collapsed="false">
      <c r="A141" s="5"/>
      <c r="B141" s="5"/>
      <c r="C141" s="5"/>
      <c r="D141" s="141" t="n">
        <v>2</v>
      </c>
      <c r="E141" s="153" t="n">
        <f aca="false">E140-G140</f>
        <v>868.8</v>
      </c>
      <c r="F141" s="153" t="n">
        <f aca="false">E141*$F$137</f>
        <v>65.68128</v>
      </c>
      <c r="G141" s="153" t="n">
        <v>246.4</v>
      </c>
      <c r="H141" s="153" t="n">
        <f aca="false">G141+F141</f>
        <v>312.08128</v>
      </c>
      <c r="I141" s="173" t="n">
        <f aca="false">K140</f>
        <v>369.53828</v>
      </c>
      <c r="J141" s="173" t="n">
        <f aca="false">I141*$F$137</f>
        <v>27.937093968</v>
      </c>
      <c r="K141" s="173" t="n">
        <f aca="false">SUM(H141:J141)</f>
        <v>709.556653968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customFormat="false" ht="18.75" hidden="false" customHeight="true" outlineLevel="0" collapsed="false">
      <c r="A142" s="5"/>
      <c r="B142" s="5"/>
      <c r="C142" s="5"/>
      <c r="D142" s="141" t="n">
        <v>3</v>
      </c>
      <c r="E142" s="153" t="n">
        <f aca="false">E141-G141</f>
        <v>622.4</v>
      </c>
      <c r="F142" s="153" t="n">
        <f aca="false">E142*$F$137</f>
        <v>47.05344</v>
      </c>
      <c r="G142" s="153" t="n">
        <v>314.2</v>
      </c>
      <c r="H142" s="153" t="n">
        <f aca="false">G142+F142</f>
        <v>361.25344</v>
      </c>
      <c r="I142" s="173" t="n">
        <f aca="false">K141</f>
        <v>709.556653968</v>
      </c>
      <c r="J142" s="173" t="n">
        <f aca="false">I142*$F$137</f>
        <v>53.6424830399808</v>
      </c>
      <c r="K142" s="173" t="n">
        <f aca="false">SUM(H142:J142)</f>
        <v>1124.45257700798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customFormat="false" ht="18.75" hidden="false" customHeight="true" outlineLevel="0" collapsed="false">
      <c r="A143" s="5"/>
      <c r="B143" s="5"/>
      <c r="C143" s="5"/>
      <c r="D143" s="141" t="n">
        <v>4</v>
      </c>
      <c r="E143" s="153" t="n">
        <f aca="false">E142-G142</f>
        <v>308.2</v>
      </c>
      <c r="F143" s="153" t="n">
        <f aca="false">E143*$F$137</f>
        <v>23.29992</v>
      </c>
      <c r="G143" s="153" t="n">
        <v>308.2</v>
      </c>
      <c r="H143" s="153" t="n">
        <f aca="false">G143+F143</f>
        <v>331.49992</v>
      </c>
      <c r="I143" s="173" t="n">
        <f aca="false">K142</f>
        <v>1124.45257700798</v>
      </c>
      <c r="J143" s="173" t="n">
        <f aca="false">I143*$F$137</f>
        <v>85.0086148218034</v>
      </c>
      <c r="K143" s="173" t="n">
        <f aca="false">SUM(H143:J143)</f>
        <v>1540.96111182978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customFormat="false" ht="18.75" hidden="false" customHeight="true" outlineLevel="0" collapsed="false">
      <c r="A144" s="5"/>
      <c r="B144" s="5"/>
      <c r="C144" s="5"/>
      <c r="D144" s="141" t="n">
        <v>5</v>
      </c>
      <c r="E144" s="153" t="n">
        <f aca="false">E143-G143</f>
        <v>0</v>
      </c>
      <c r="F144" s="153" t="n">
        <f aca="false">E144*$F$137</f>
        <v>0</v>
      </c>
      <c r="G144" s="153"/>
      <c r="H144" s="153" t="n">
        <f aca="false">G144+F144</f>
        <v>0</v>
      </c>
      <c r="I144" s="173" t="n">
        <f aca="false">K143</f>
        <v>1540.96111182978</v>
      </c>
      <c r="J144" s="173" t="n">
        <f aca="false">I144*$F$137</f>
        <v>116.496660054332</v>
      </c>
      <c r="K144" s="173" t="n">
        <f aca="false">SUM(H144:J144)</f>
        <v>1657.45777188412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customFormat="false" ht="18.75" hidden="false" customHeight="true" outlineLevel="0" collapsed="false">
      <c r="A145" s="5"/>
      <c r="B145" s="5"/>
      <c r="C145" s="5"/>
      <c r="D145" s="141" t="n">
        <v>6</v>
      </c>
      <c r="E145" s="153" t="n">
        <f aca="false">E144-G144</f>
        <v>0</v>
      </c>
      <c r="F145" s="153" t="n">
        <f aca="false">E145*$F$137</f>
        <v>0</v>
      </c>
      <c r="G145" s="153"/>
      <c r="H145" s="153" t="n">
        <f aca="false">G145+F145</f>
        <v>0</v>
      </c>
      <c r="I145" s="173" t="n">
        <f aca="false">K144</f>
        <v>1657.45777188412</v>
      </c>
      <c r="J145" s="173" t="n">
        <f aca="false">I145*$F$137</f>
        <v>125.303807554439</v>
      </c>
      <c r="K145" s="173" t="n">
        <f aca="false">SUM(H145:J145)</f>
        <v>1782.76157943856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customFormat="false" ht="18.75" hidden="false" customHeight="true" outlineLevel="0" collapsed="false">
      <c r="A146" s="5"/>
      <c r="B146" s="5"/>
      <c r="C146" s="5"/>
      <c r="D146" s="141" t="n">
        <v>7</v>
      </c>
      <c r="E146" s="153" t="n">
        <f aca="false">E145-G145</f>
        <v>0</v>
      </c>
      <c r="F146" s="153" t="n">
        <f aca="false">E146*$F$137</f>
        <v>0</v>
      </c>
      <c r="G146" s="153"/>
      <c r="H146" s="153" t="n">
        <f aca="false">G146+F146</f>
        <v>0</v>
      </c>
      <c r="I146" s="173" t="n">
        <f aca="false">K145</f>
        <v>1782.76157943856</v>
      </c>
      <c r="J146" s="173" t="n">
        <f aca="false">I146*$F$137</f>
        <v>134.776775405555</v>
      </c>
      <c r="K146" s="173" t="n">
        <f aca="false">SUM(H146:J146)</f>
        <v>1917.53835484411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customFormat="false" ht="18.75" hidden="false" customHeight="true" outlineLevel="0" collapsed="false">
      <c r="A147" s="5"/>
      <c r="B147" s="5"/>
      <c r="C147" s="5"/>
      <c r="D147" s="141" t="n">
        <v>8</v>
      </c>
      <c r="E147" s="153" t="n">
        <f aca="false">E146-G146</f>
        <v>0</v>
      </c>
      <c r="F147" s="153" t="n">
        <f aca="false">E147*$F$137</f>
        <v>0</v>
      </c>
      <c r="G147" s="153"/>
      <c r="H147" s="153" t="n">
        <f aca="false">G147+F147</f>
        <v>0</v>
      </c>
      <c r="I147" s="173" t="n">
        <f aca="false">K146</f>
        <v>1917.53835484411</v>
      </c>
      <c r="J147" s="173" t="n">
        <f aca="false">I147*$F$137</f>
        <v>144.965899626215</v>
      </c>
      <c r="K147" s="173" t="n">
        <f aca="false">SUM(H147:J147)</f>
        <v>2062.50425447032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customFormat="false" ht="18.75" hidden="false" customHeight="true" outlineLevel="0" collapsed="false">
      <c r="A148" s="5"/>
      <c r="B148" s="5"/>
      <c r="C148" s="5"/>
      <c r="D148" s="141" t="n">
        <v>9</v>
      </c>
      <c r="E148" s="153" t="n">
        <f aca="false">E147-G147</f>
        <v>0</v>
      </c>
      <c r="F148" s="153" t="n">
        <f aca="false">E148*$F$137</f>
        <v>0</v>
      </c>
      <c r="G148" s="153"/>
      <c r="H148" s="153" t="n">
        <f aca="false">G148+F148</f>
        <v>0</v>
      </c>
      <c r="I148" s="173" t="n">
        <f aca="false">K147</f>
        <v>2062.50425447032</v>
      </c>
      <c r="J148" s="173" t="n">
        <f aca="false">I148*$F$137</f>
        <v>155.925321637957</v>
      </c>
      <c r="K148" s="173" t="n">
        <f aca="false">SUM(H148:J148)</f>
        <v>2218.42957610828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customFormat="false" ht="18.75" hidden="false" customHeight="true" outlineLevel="0" collapsed="false">
      <c r="A149" s="5"/>
      <c r="B149" s="5"/>
      <c r="C149" s="5"/>
      <c r="D149" s="141" t="n">
        <v>10</v>
      </c>
      <c r="E149" s="153" t="n">
        <f aca="false">E148-G148</f>
        <v>0</v>
      </c>
      <c r="F149" s="153" t="n">
        <f aca="false">E149*$F$137</f>
        <v>0</v>
      </c>
      <c r="G149" s="153"/>
      <c r="H149" s="153" t="n">
        <f aca="false">G149+F149</f>
        <v>0</v>
      </c>
      <c r="I149" s="173" t="n">
        <f aca="false">K148</f>
        <v>2218.42957610828</v>
      </c>
      <c r="J149" s="173" t="n">
        <f aca="false">I149*$F$137</f>
        <v>167.713275953786</v>
      </c>
      <c r="K149" s="173" t="n">
        <f aca="false">SUM(H149:J149)</f>
        <v>2386.14285206207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customFormat="false" ht="18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customFormat="false" ht="18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customFormat="false" ht="18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customFormat="false" ht="18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customFormat="false" ht="18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customFormat="false" ht="18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customFormat="false" ht="18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customFormat="false" ht="18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customFormat="false" ht="18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customFormat="false" ht="18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customFormat="false" ht="18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customFormat="false" ht="18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customFormat="false" ht="18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customFormat="false" ht="18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customFormat="false" ht="18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customFormat="false" ht="18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customFormat="false" ht="18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customFormat="false" ht="18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customFormat="false" ht="18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customFormat="false" ht="18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customFormat="false" ht="18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customFormat="false" ht="18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customFormat="false" ht="18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customFormat="false" ht="18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customFormat="false" ht="18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customFormat="false" ht="18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customFormat="false" ht="18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customFormat="false" ht="18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customFormat="false" ht="18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customFormat="false" ht="18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customFormat="false" ht="18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customFormat="false" ht="18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customFormat="false" ht="18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customFormat="false" ht="18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customFormat="false" ht="18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customFormat="false" ht="18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customFormat="false" ht="18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customFormat="false" ht="18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customFormat="false" ht="18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customFormat="false" ht="18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customFormat="false" ht="18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customFormat="false" ht="18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customFormat="false" ht="18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customFormat="false" ht="18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customFormat="false" ht="18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customFormat="false" ht="18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customFormat="false" ht="18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customFormat="false" ht="18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customFormat="false" ht="18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customFormat="false" ht="18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customFormat="false" ht="18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customFormat="false" ht="18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customFormat="false" ht="18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customFormat="false" ht="18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customFormat="false" ht="18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customFormat="false" ht="18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customFormat="false" ht="18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customFormat="false" ht="18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customFormat="false" ht="18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customFormat="false" ht="18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customFormat="false" ht="18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customFormat="false" ht="18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customFormat="false" ht="18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customFormat="false" ht="18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customFormat="false" ht="18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customFormat="false" ht="18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customFormat="false" ht="18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customFormat="false" ht="18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customFormat="false" ht="18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customFormat="false" ht="18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customFormat="false" ht="18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customFormat="false" ht="18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customFormat="false" ht="18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customFormat="false" ht="18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customFormat="false" ht="18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customFormat="false" ht="18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customFormat="false" ht="18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customFormat="false" ht="18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customFormat="false" ht="18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customFormat="false" ht="18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customFormat="false" ht="18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customFormat="false" ht="18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customFormat="false" ht="18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customFormat="false" ht="18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customFormat="false" ht="18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customFormat="false" ht="18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customFormat="false" ht="18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customFormat="false" ht="18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customFormat="false" ht="18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customFormat="false" ht="18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customFormat="false" ht="18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customFormat="false" ht="18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customFormat="false" ht="18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customFormat="false" ht="18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customFormat="false" ht="18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customFormat="false" ht="18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customFormat="false" ht="18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customFormat="false" ht="18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customFormat="false" ht="18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customFormat="false" ht="18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customFormat="false" ht="18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customFormat="false" ht="18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customFormat="false" ht="18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customFormat="false" ht="18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customFormat="false" ht="18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customFormat="false" ht="18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customFormat="false" ht="18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customFormat="false" ht="18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customFormat="false" ht="18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customFormat="false" ht="18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customFormat="false" ht="18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customFormat="false" ht="18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customFormat="false" ht="18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customFormat="false" ht="18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customFormat="false" ht="18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customFormat="false" ht="18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customFormat="false" ht="18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customFormat="false" ht="18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customFormat="false" ht="18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customFormat="false" ht="18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customFormat="false" ht="18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customFormat="false" ht="18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customFormat="false" ht="18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customFormat="false" ht="18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customFormat="false" ht="18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customFormat="false" ht="18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customFormat="false" ht="18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customFormat="false" ht="18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customFormat="false" ht="18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customFormat="false" ht="18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customFormat="false" ht="18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customFormat="false" ht="18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customFormat="false" ht="18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customFormat="false" ht="18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customFormat="false" ht="18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customFormat="false" ht="18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customFormat="false" ht="18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customFormat="false" ht="18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customFormat="false" ht="18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customFormat="false" ht="18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customFormat="false" ht="18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customFormat="false" ht="18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customFormat="false" ht="18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customFormat="false" ht="18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customFormat="false" ht="18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customFormat="false" ht="18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customFormat="false" ht="18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customFormat="false" ht="18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customFormat="false" ht="18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customFormat="false" ht="18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customFormat="false" ht="18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customFormat="false" ht="18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customFormat="false" ht="18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customFormat="false" ht="18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customFormat="false" ht="18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customFormat="false" ht="18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customFormat="false" ht="18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customFormat="false" ht="18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customFormat="false" ht="18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customFormat="false" ht="18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customFormat="false" ht="18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customFormat="false" ht="18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customFormat="false" ht="18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customFormat="false" ht="18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customFormat="false" ht="18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customFormat="false" ht="18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customFormat="false" ht="18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customFormat="false" ht="18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customFormat="false" ht="18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customFormat="false" ht="18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customFormat="false" ht="18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customFormat="false" ht="18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customFormat="false" ht="18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customFormat="false" ht="18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customFormat="false" ht="18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customFormat="false" ht="18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customFormat="false" ht="18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customFormat="false" ht="18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customFormat="false" ht="18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customFormat="false" ht="18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customFormat="false" ht="18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customFormat="false" ht="18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customFormat="false" ht="18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customFormat="false" ht="18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customFormat="false" ht="18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customFormat="false" ht="18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customFormat="false" ht="18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customFormat="false" ht="18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customFormat="false" ht="18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customFormat="false" ht="18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customFormat="false" ht="18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customFormat="false" ht="18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customFormat="false" ht="18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customFormat="false" ht="18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customFormat="false" ht="18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customFormat="false" ht="18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customFormat="false" ht="18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customFormat="false" ht="18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customFormat="false" ht="18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customFormat="false" ht="18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customFormat="false" ht="18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customFormat="false" ht="18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customFormat="false" ht="18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customFormat="false" ht="18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customFormat="false" ht="18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customFormat="false" ht="18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customFormat="false" ht="18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customFormat="false" ht="18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customFormat="false" ht="18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customFormat="false" ht="18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customFormat="false" ht="18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customFormat="false" ht="18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customFormat="false" ht="18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customFormat="false" ht="18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customFormat="false" ht="18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customFormat="false" ht="18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customFormat="false" ht="18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customFormat="false" ht="18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customFormat="false" ht="18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customFormat="false" ht="18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customFormat="false" ht="18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customFormat="false" ht="18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customFormat="false" ht="18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customFormat="false" ht="18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customFormat="false" ht="18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customFormat="false" ht="18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customFormat="false" ht="18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customFormat="false" ht="18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customFormat="false" ht="18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customFormat="false" ht="18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customFormat="false" ht="18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customFormat="false" ht="18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customFormat="false" ht="18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customFormat="false" ht="18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customFormat="false" ht="18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customFormat="false" ht="18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customFormat="false" ht="18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customFormat="false" ht="18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customFormat="false" ht="18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customFormat="false" ht="18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customFormat="false" ht="18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customFormat="false" ht="18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customFormat="false" ht="18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customFormat="false" ht="18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customFormat="false" ht="18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customFormat="false" ht="18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customFormat="false" ht="18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customFormat="false" ht="18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customFormat="false" ht="18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customFormat="false" ht="18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customFormat="false" ht="18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customFormat="false" ht="18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customFormat="false" ht="18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customFormat="false" ht="18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customFormat="false" ht="18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customFormat="false" ht="18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customFormat="false" ht="18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customFormat="false" ht="18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customFormat="false" ht="18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customFormat="false" ht="18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customFormat="false" ht="18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customFormat="false" ht="18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customFormat="false" ht="18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customFormat="false" ht="18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customFormat="false" ht="18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customFormat="false" ht="18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customFormat="false" ht="18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customFormat="false" ht="18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customFormat="false" ht="18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customFormat="false" ht="18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customFormat="false" ht="18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customFormat="false" ht="18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customFormat="false" ht="18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customFormat="false" ht="18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customFormat="false" ht="18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customFormat="false" ht="18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customFormat="false" ht="18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customFormat="false" ht="18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customFormat="false" ht="18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customFormat="false" ht="18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customFormat="false" ht="18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customFormat="false" ht="18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customFormat="false" ht="18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customFormat="false" ht="18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customFormat="false" ht="18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customFormat="false" ht="18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customFormat="false" ht="18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customFormat="false" ht="18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  <row r="438" customFormat="false" ht="18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</row>
    <row r="439" customFormat="false" ht="18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</row>
    <row r="440" customFormat="false" ht="18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</row>
    <row r="441" customFormat="false" ht="18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</row>
    <row r="442" customFormat="false" ht="18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</row>
    <row r="443" customFormat="false" ht="18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</row>
    <row r="444" customFormat="false" ht="18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</row>
    <row r="445" customFormat="false" ht="18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</row>
    <row r="446" customFormat="false" ht="18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</row>
    <row r="447" customFormat="false" ht="18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</row>
    <row r="448" customFormat="false" ht="18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</row>
    <row r="449" customFormat="false" ht="18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</row>
    <row r="450" customFormat="false" ht="18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</row>
    <row r="451" customFormat="false" ht="18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</row>
    <row r="452" customFormat="false" ht="18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</row>
    <row r="453" customFormat="false" ht="18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</row>
    <row r="454" customFormat="false" ht="18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</row>
    <row r="455" customFormat="false" ht="18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</row>
    <row r="456" customFormat="false" ht="18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</row>
    <row r="457" customFormat="false" ht="18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</row>
    <row r="458" customFormat="false" ht="18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</row>
    <row r="459" customFormat="false" ht="18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</row>
    <row r="460" customFormat="false" ht="18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</row>
    <row r="461" customFormat="false" ht="18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</row>
    <row r="462" customFormat="false" ht="18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</row>
    <row r="463" customFormat="false" ht="18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</row>
    <row r="464" customFormat="false" ht="18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</row>
    <row r="465" customFormat="false" ht="18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</row>
    <row r="466" customFormat="false" ht="18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</row>
    <row r="467" customFormat="false" ht="18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</row>
    <row r="468" customFormat="false" ht="18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</row>
    <row r="469" customFormat="false" ht="18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</row>
    <row r="470" customFormat="false" ht="18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</row>
    <row r="471" customFormat="false" ht="18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</row>
    <row r="472" customFormat="false" ht="18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</row>
    <row r="473" customFormat="false" ht="18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</row>
    <row r="474" customFormat="false" ht="18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</row>
    <row r="475" customFormat="false" ht="18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</row>
    <row r="476" customFormat="false" ht="18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</row>
    <row r="477" customFormat="false" ht="18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</row>
    <row r="478" customFormat="false" ht="18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</row>
    <row r="479" customFormat="false" ht="18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</row>
    <row r="480" customFormat="false" ht="18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</row>
    <row r="481" customFormat="false" ht="18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</row>
    <row r="482" customFormat="false" ht="18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</row>
    <row r="483" customFormat="false" ht="18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</row>
    <row r="484" customFormat="false" ht="18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</row>
    <row r="485" customFormat="false" ht="18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</row>
    <row r="486" customFormat="false" ht="18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</row>
    <row r="487" customFormat="false" ht="18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</row>
    <row r="488" customFormat="false" ht="18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</row>
    <row r="489" customFormat="false" ht="18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</row>
    <row r="490" customFormat="false" ht="18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</row>
    <row r="491" customFormat="false" ht="18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</row>
    <row r="492" customFormat="false" ht="18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</row>
    <row r="493" customFormat="false" ht="18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</row>
    <row r="494" customFormat="false" ht="18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</row>
    <row r="495" customFormat="false" ht="18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</row>
    <row r="496" customFormat="false" ht="18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</row>
    <row r="497" customFormat="false" ht="18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</row>
    <row r="498" customFormat="false" ht="18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</row>
    <row r="499" customFormat="false" ht="18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</row>
    <row r="500" customFormat="false" ht="18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</row>
    <row r="501" customFormat="false" ht="18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</row>
    <row r="502" customFormat="false" ht="18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</row>
    <row r="503" customFormat="false" ht="18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</row>
    <row r="504" customFormat="false" ht="18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</row>
    <row r="505" customFormat="false" ht="18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</row>
    <row r="506" customFormat="false" ht="18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</row>
    <row r="507" customFormat="false" ht="18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</row>
    <row r="508" customFormat="false" ht="18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</row>
    <row r="509" customFormat="false" ht="18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</row>
    <row r="510" customFormat="false" ht="18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</row>
    <row r="511" customFormat="false" ht="18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</row>
    <row r="512" customFormat="false" ht="18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</row>
    <row r="513" customFormat="false" ht="18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</row>
    <row r="514" customFormat="false" ht="18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</row>
    <row r="515" customFormat="false" ht="18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</row>
    <row r="516" customFormat="false" ht="18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</row>
    <row r="517" customFormat="false" ht="18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</row>
    <row r="518" customFormat="false" ht="18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</row>
    <row r="519" customFormat="false" ht="18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</row>
    <row r="520" customFormat="false" ht="18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</row>
    <row r="521" customFormat="false" ht="18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</row>
    <row r="522" customFormat="false" ht="18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</row>
    <row r="523" customFormat="false" ht="18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</row>
    <row r="524" customFormat="false" ht="18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</row>
    <row r="525" customFormat="false" ht="18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</row>
    <row r="526" customFormat="false" ht="18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</row>
    <row r="527" customFormat="false" ht="18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</row>
    <row r="528" customFormat="false" ht="18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</row>
    <row r="529" customFormat="false" ht="18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</row>
    <row r="530" customFormat="false" ht="18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</row>
    <row r="531" customFormat="false" ht="18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</row>
    <row r="532" customFormat="false" ht="18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</row>
    <row r="533" customFormat="false" ht="18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</row>
    <row r="534" customFormat="false" ht="18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</row>
    <row r="535" customFormat="false" ht="18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</row>
    <row r="536" customFormat="false" ht="18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</row>
    <row r="537" customFormat="false" ht="18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</row>
    <row r="538" customFormat="false" ht="18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</row>
    <row r="539" customFormat="false" ht="18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</row>
    <row r="540" customFormat="false" ht="18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</row>
    <row r="541" customFormat="false" ht="18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</row>
    <row r="542" customFormat="false" ht="18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</row>
    <row r="543" customFormat="false" ht="18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</row>
    <row r="544" customFormat="false" ht="18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</row>
    <row r="545" customFormat="false" ht="18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</row>
    <row r="546" customFormat="false" ht="18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</row>
    <row r="547" customFormat="false" ht="18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</row>
    <row r="548" customFormat="false" ht="18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</row>
    <row r="549" customFormat="false" ht="18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</row>
    <row r="550" customFormat="false" ht="18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</row>
    <row r="551" customFormat="false" ht="18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</row>
    <row r="552" customFormat="false" ht="18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</row>
    <row r="553" customFormat="false" ht="18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</row>
    <row r="554" customFormat="false" ht="18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</row>
    <row r="555" customFormat="false" ht="18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</row>
    <row r="556" customFormat="false" ht="18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</row>
    <row r="557" customFormat="false" ht="18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</row>
    <row r="558" customFormat="false" ht="18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</row>
    <row r="559" customFormat="false" ht="18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</row>
    <row r="560" customFormat="false" ht="18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</row>
    <row r="561" customFormat="false" ht="18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</row>
    <row r="562" customFormat="false" ht="18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</row>
    <row r="563" customFormat="false" ht="18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</row>
    <row r="564" customFormat="false" ht="18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</row>
    <row r="565" customFormat="false" ht="18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</row>
    <row r="566" customFormat="false" ht="18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</row>
    <row r="567" customFormat="false" ht="18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</row>
    <row r="568" customFormat="false" ht="18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</row>
    <row r="569" customFormat="false" ht="18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</row>
    <row r="570" customFormat="false" ht="18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</row>
    <row r="571" customFormat="false" ht="18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</row>
    <row r="572" customFormat="false" ht="18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</row>
    <row r="573" customFormat="false" ht="18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</row>
    <row r="574" customFormat="false" ht="18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</row>
    <row r="575" customFormat="false" ht="18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</row>
    <row r="576" customFormat="false" ht="18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</row>
    <row r="577" customFormat="false" ht="18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</row>
    <row r="578" customFormat="false" ht="18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</row>
    <row r="579" customFormat="false" ht="18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</row>
    <row r="580" customFormat="false" ht="18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</row>
    <row r="581" customFormat="false" ht="18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</row>
    <row r="582" customFormat="false" ht="18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</row>
    <row r="583" customFormat="false" ht="18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</row>
    <row r="584" customFormat="false" ht="18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</row>
    <row r="585" customFormat="false" ht="18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</row>
    <row r="586" customFormat="false" ht="18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</row>
    <row r="587" customFormat="false" ht="18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</row>
    <row r="588" customFormat="false" ht="18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</row>
    <row r="589" customFormat="false" ht="18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</row>
    <row r="590" customFormat="false" ht="18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</row>
    <row r="591" customFormat="false" ht="18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</row>
    <row r="592" customFormat="false" ht="18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</row>
    <row r="593" customFormat="false" ht="18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</row>
    <row r="594" customFormat="false" ht="18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</row>
    <row r="595" customFormat="false" ht="18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</row>
    <row r="596" customFormat="false" ht="18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</row>
    <row r="597" customFormat="false" ht="18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</row>
    <row r="598" customFormat="false" ht="18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</row>
    <row r="599" customFormat="false" ht="18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</row>
    <row r="600" customFormat="false" ht="18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</row>
    <row r="601" customFormat="false" ht="18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</row>
    <row r="602" customFormat="false" ht="18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</row>
    <row r="603" customFormat="false" ht="18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</row>
    <row r="604" customFormat="false" ht="18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</row>
    <row r="605" customFormat="false" ht="18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</row>
    <row r="606" customFormat="false" ht="18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</row>
    <row r="607" customFormat="false" ht="18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</row>
    <row r="608" customFormat="false" ht="18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</row>
    <row r="609" customFormat="false" ht="18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</row>
    <row r="610" customFormat="false" ht="18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</row>
    <row r="611" customFormat="false" ht="18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</row>
    <row r="612" customFormat="false" ht="18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</row>
    <row r="613" customFormat="false" ht="18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</row>
    <row r="614" customFormat="false" ht="18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</row>
    <row r="615" customFormat="false" ht="18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</row>
    <row r="616" customFormat="false" ht="18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</row>
    <row r="617" customFormat="false" ht="18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</row>
    <row r="618" customFormat="false" ht="18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</row>
    <row r="619" customFormat="false" ht="18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</row>
    <row r="620" customFormat="false" ht="18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</row>
    <row r="621" customFormat="false" ht="18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</row>
    <row r="622" customFormat="false" ht="18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</row>
    <row r="623" customFormat="false" ht="18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</row>
    <row r="624" customFormat="false" ht="18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</row>
    <row r="625" customFormat="false" ht="18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</row>
    <row r="626" customFormat="false" ht="18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</row>
    <row r="627" customFormat="false" ht="18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</row>
    <row r="628" customFormat="false" ht="18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</row>
    <row r="629" customFormat="false" ht="18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</row>
    <row r="630" customFormat="false" ht="18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</row>
    <row r="631" customFormat="false" ht="18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</row>
    <row r="632" customFormat="false" ht="18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</row>
    <row r="633" customFormat="false" ht="18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</row>
    <row r="634" customFormat="false" ht="18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</row>
    <row r="635" customFormat="false" ht="18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</row>
    <row r="636" customFormat="false" ht="18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</row>
    <row r="637" customFormat="false" ht="18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</row>
    <row r="638" customFormat="false" ht="18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</row>
    <row r="639" customFormat="false" ht="18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</row>
    <row r="640" customFormat="false" ht="18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</row>
    <row r="641" customFormat="false" ht="18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</row>
    <row r="642" customFormat="false" ht="18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</row>
    <row r="643" customFormat="false" ht="18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</row>
    <row r="644" customFormat="false" ht="18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</row>
    <row r="645" customFormat="false" ht="18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</row>
    <row r="646" customFormat="false" ht="18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</row>
    <row r="647" customFormat="false" ht="18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</row>
    <row r="648" customFormat="false" ht="18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</row>
    <row r="649" customFormat="false" ht="18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</row>
    <row r="650" customFormat="false" ht="18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</row>
    <row r="651" customFormat="false" ht="18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</row>
    <row r="652" customFormat="false" ht="18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</row>
    <row r="653" customFormat="false" ht="18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</row>
    <row r="654" customFormat="false" ht="18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</row>
    <row r="655" customFormat="false" ht="18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</row>
    <row r="656" customFormat="false" ht="18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</row>
    <row r="657" customFormat="false" ht="18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</row>
    <row r="658" customFormat="false" ht="18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</row>
    <row r="659" customFormat="false" ht="18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</row>
    <row r="660" customFormat="false" ht="18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</row>
    <row r="661" customFormat="false" ht="18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</row>
    <row r="662" customFormat="false" ht="18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</row>
    <row r="663" customFormat="false" ht="18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</row>
    <row r="664" customFormat="false" ht="18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</row>
    <row r="665" customFormat="false" ht="18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</row>
    <row r="666" customFormat="false" ht="18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</row>
    <row r="667" customFormat="false" ht="18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</row>
    <row r="668" customFormat="false" ht="18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</row>
    <row r="669" customFormat="false" ht="18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</row>
    <row r="670" customFormat="false" ht="18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</row>
    <row r="671" customFormat="false" ht="18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</row>
    <row r="672" customFormat="false" ht="18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</row>
    <row r="673" customFormat="false" ht="18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</row>
    <row r="674" customFormat="false" ht="18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</row>
    <row r="675" customFormat="false" ht="18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</row>
    <row r="676" customFormat="false" ht="18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</row>
    <row r="677" customFormat="false" ht="18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</row>
    <row r="678" customFormat="false" ht="18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</row>
    <row r="679" customFormat="false" ht="18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</row>
    <row r="680" customFormat="false" ht="18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</row>
    <row r="681" customFormat="false" ht="18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</row>
    <row r="682" customFormat="false" ht="18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</row>
    <row r="683" customFormat="false" ht="18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</row>
    <row r="684" customFormat="false" ht="18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</row>
    <row r="685" customFormat="false" ht="18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</row>
    <row r="686" customFormat="false" ht="18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</row>
    <row r="687" customFormat="false" ht="18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</row>
    <row r="688" customFormat="false" ht="18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</row>
    <row r="689" customFormat="false" ht="18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</row>
    <row r="690" customFormat="false" ht="18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</row>
    <row r="691" customFormat="false" ht="18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</row>
    <row r="692" customFormat="false" ht="18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</row>
    <row r="693" customFormat="false" ht="18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</row>
    <row r="694" customFormat="false" ht="18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</row>
    <row r="695" customFormat="false" ht="18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</row>
    <row r="696" customFormat="false" ht="18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</row>
    <row r="697" customFormat="false" ht="18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</row>
    <row r="698" customFormat="false" ht="18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</row>
    <row r="699" customFormat="false" ht="18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</row>
    <row r="700" customFormat="false" ht="18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</row>
    <row r="701" customFormat="false" ht="18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</row>
    <row r="702" customFormat="false" ht="18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</row>
    <row r="703" customFormat="false" ht="18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</row>
    <row r="704" customFormat="false" ht="18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</row>
    <row r="705" customFormat="false" ht="18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</row>
    <row r="706" customFormat="false" ht="18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</row>
    <row r="707" customFormat="false" ht="18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</row>
    <row r="708" customFormat="false" ht="18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</row>
    <row r="709" customFormat="false" ht="18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</row>
    <row r="710" customFormat="false" ht="18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</row>
    <row r="711" customFormat="false" ht="18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</row>
    <row r="712" customFormat="false" ht="18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</row>
    <row r="713" customFormat="false" ht="18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</row>
    <row r="714" customFormat="false" ht="18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</row>
    <row r="715" customFormat="false" ht="18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</row>
    <row r="716" customFormat="false" ht="18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</row>
    <row r="717" customFormat="false" ht="18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</row>
    <row r="718" customFormat="false" ht="18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</row>
    <row r="719" customFormat="false" ht="18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</row>
    <row r="720" customFormat="false" ht="18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</row>
    <row r="721" customFormat="false" ht="18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</row>
    <row r="722" customFormat="false" ht="18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</row>
    <row r="723" customFormat="false" ht="18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</row>
    <row r="724" customFormat="false" ht="18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</row>
    <row r="725" customFormat="false" ht="18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</row>
    <row r="726" customFormat="false" ht="18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</row>
    <row r="727" customFormat="false" ht="18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</row>
    <row r="728" customFormat="false" ht="18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</row>
    <row r="729" customFormat="false" ht="18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</row>
    <row r="730" customFormat="false" ht="18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</row>
    <row r="731" customFormat="false" ht="18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</row>
    <row r="732" customFormat="false" ht="18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</row>
    <row r="733" customFormat="false" ht="18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</row>
    <row r="734" customFormat="false" ht="18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</row>
    <row r="735" customFormat="false" ht="18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</row>
    <row r="736" customFormat="false" ht="18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</row>
    <row r="737" customFormat="false" ht="18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</row>
    <row r="738" customFormat="false" ht="18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</row>
    <row r="739" customFormat="false" ht="18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</row>
    <row r="740" customFormat="false" ht="18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</row>
    <row r="741" customFormat="false" ht="18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</row>
    <row r="742" customFormat="false" ht="18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</row>
    <row r="743" customFormat="false" ht="18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</row>
    <row r="744" customFormat="false" ht="18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</row>
    <row r="745" customFormat="false" ht="18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</row>
    <row r="746" customFormat="false" ht="18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</row>
    <row r="747" customFormat="false" ht="18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</row>
    <row r="748" customFormat="false" ht="18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</row>
    <row r="749" customFormat="false" ht="18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</row>
    <row r="750" customFormat="false" ht="18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</row>
    <row r="751" customFormat="false" ht="18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</row>
    <row r="752" customFormat="false" ht="18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</row>
    <row r="753" customFormat="false" ht="18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</row>
    <row r="754" customFormat="false" ht="18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</row>
    <row r="755" customFormat="false" ht="18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</row>
    <row r="756" customFormat="false" ht="18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</row>
    <row r="757" customFormat="false" ht="18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</row>
    <row r="758" customFormat="false" ht="18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</row>
    <row r="759" customFormat="false" ht="18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</row>
    <row r="760" customFormat="false" ht="18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</row>
    <row r="761" customFormat="false" ht="18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</row>
    <row r="762" customFormat="false" ht="18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</row>
    <row r="763" customFormat="false" ht="18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</row>
    <row r="764" customFormat="false" ht="18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</row>
    <row r="765" customFormat="false" ht="18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</row>
    <row r="766" customFormat="false" ht="18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</row>
    <row r="767" customFormat="false" ht="18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</row>
    <row r="768" customFormat="false" ht="18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</row>
    <row r="769" customFormat="false" ht="18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</row>
    <row r="770" customFormat="false" ht="18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</row>
    <row r="771" customFormat="false" ht="18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</row>
    <row r="772" customFormat="false" ht="18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</row>
    <row r="773" customFormat="false" ht="18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</row>
    <row r="774" customFormat="false" ht="18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</row>
    <row r="775" customFormat="false" ht="18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</row>
    <row r="776" customFormat="false" ht="18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</row>
    <row r="777" customFormat="false" ht="18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</row>
    <row r="778" customFormat="false" ht="18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</row>
    <row r="779" customFormat="false" ht="18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</row>
    <row r="780" customFormat="false" ht="18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</row>
    <row r="781" customFormat="false" ht="18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</row>
    <row r="782" customFormat="false" ht="18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</row>
    <row r="783" customFormat="false" ht="18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</row>
    <row r="784" customFormat="false" ht="18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</row>
    <row r="785" customFormat="false" ht="18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</row>
    <row r="786" customFormat="false" ht="18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</row>
    <row r="787" customFormat="false" ht="18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</row>
    <row r="788" customFormat="false" ht="18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</row>
    <row r="789" customFormat="false" ht="18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</row>
    <row r="790" customFormat="false" ht="18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</row>
    <row r="791" customFormat="false" ht="18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</row>
    <row r="792" customFormat="false" ht="18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</row>
    <row r="793" customFormat="false" ht="18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</row>
    <row r="794" customFormat="false" ht="18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</row>
    <row r="795" customFormat="false" ht="18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</row>
    <row r="796" customFormat="false" ht="18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</row>
    <row r="797" customFormat="false" ht="18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</row>
    <row r="798" customFormat="false" ht="18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</row>
    <row r="799" customFormat="false" ht="18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</row>
    <row r="800" customFormat="false" ht="18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</row>
    <row r="801" customFormat="false" ht="18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</row>
    <row r="802" customFormat="false" ht="18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</row>
    <row r="803" customFormat="false" ht="18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</row>
    <row r="804" customFormat="false" ht="18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</row>
    <row r="805" customFormat="false" ht="18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</row>
    <row r="806" customFormat="false" ht="18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</row>
    <row r="807" customFormat="false" ht="18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</row>
    <row r="808" customFormat="false" ht="18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</row>
    <row r="809" customFormat="false" ht="18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</row>
    <row r="810" customFormat="false" ht="18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</row>
    <row r="811" customFormat="false" ht="18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</row>
    <row r="812" customFormat="false" ht="18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</row>
    <row r="813" customFormat="false" ht="18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</row>
    <row r="814" customFormat="false" ht="18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</row>
    <row r="815" customFormat="false" ht="18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</row>
    <row r="816" customFormat="false" ht="18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</row>
    <row r="817" customFormat="false" ht="18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</row>
    <row r="818" customFormat="false" ht="18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</row>
    <row r="819" customFormat="false" ht="18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</row>
    <row r="820" customFormat="false" ht="18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</row>
    <row r="821" customFormat="false" ht="18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</row>
    <row r="822" customFormat="false" ht="18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</row>
    <row r="823" customFormat="false" ht="18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</row>
    <row r="824" customFormat="false" ht="18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</row>
    <row r="825" customFormat="false" ht="18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</row>
    <row r="826" customFormat="false" ht="18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</row>
    <row r="827" customFormat="false" ht="18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</row>
    <row r="828" customFormat="false" ht="18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</row>
    <row r="829" customFormat="false" ht="18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</row>
    <row r="830" customFormat="false" ht="18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</row>
    <row r="831" customFormat="false" ht="18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</row>
    <row r="832" customFormat="false" ht="18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</row>
    <row r="833" customFormat="false" ht="18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</row>
    <row r="834" customFormat="false" ht="18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</row>
    <row r="835" customFormat="false" ht="18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</row>
    <row r="836" customFormat="false" ht="18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</row>
    <row r="837" customFormat="false" ht="18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</row>
    <row r="838" customFormat="false" ht="18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</row>
    <row r="839" customFormat="false" ht="18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</row>
    <row r="840" customFormat="false" ht="18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</row>
    <row r="841" customFormat="false" ht="18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</row>
    <row r="842" customFormat="false" ht="18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</row>
    <row r="843" customFormat="false" ht="18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</row>
    <row r="844" customFormat="false" ht="18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</row>
    <row r="845" customFormat="false" ht="18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</row>
    <row r="846" customFormat="false" ht="18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</row>
    <row r="847" customFormat="false" ht="18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</row>
    <row r="848" customFormat="false" ht="18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</row>
    <row r="849" customFormat="false" ht="18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</row>
    <row r="850" customFormat="false" ht="18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</row>
    <row r="851" customFormat="false" ht="18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</row>
    <row r="852" customFormat="false" ht="18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</row>
    <row r="853" customFormat="false" ht="18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</row>
    <row r="854" customFormat="false" ht="18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</row>
    <row r="855" customFormat="false" ht="18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</row>
    <row r="856" customFormat="false" ht="18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</row>
    <row r="857" customFormat="false" ht="18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</row>
    <row r="858" customFormat="false" ht="18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</row>
    <row r="859" customFormat="false" ht="18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</row>
    <row r="860" customFormat="false" ht="18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</row>
    <row r="861" customFormat="false" ht="18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</row>
    <row r="862" customFormat="false" ht="18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</row>
    <row r="863" customFormat="false" ht="18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</row>
    <row r="864" customFormat="false" ht="18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</row>
    <row r="865" customFormat="false" ht="18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</row>
    <row r="866" customFormat="false" ht="18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</row>
    <row r="867" customFormat="false" ht="18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</row>
    <row r="868" customFormat="false" ht="18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</row>
    <row r="869" customFormat="false" ht="18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</row>
    <row r="870" customFormat="false" ht="18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</row>
    <row r="871" customFormat="false" ht="18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</row>
    <row r="872" customFormat="false" ht="18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</row>
    <row r="873" customFormat="false" ht="18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</row>
    <row r="874" customFormat="false" ht="18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</row>
    <row r="875" customFormat="false" ht="18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</row>
    <row r="876" customFormat="false" ht="18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</row>
    <row r="877" customFormat="false" ht="18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</row>
    <row r="878" customFormat="false" ht="18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</row>
    <row r="879" customFormat="false" ht="18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</row>
    <row r="880" customFormat="false" ht="18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</row>
    <row r="881" customFormat="false" ht="18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</row>
    <row r="882" customFormat="false" ht="18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</row>
    <row r="883" customFormat="false" ht="18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</row>
    <row r="884" customFormat="false" ht="18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</row>
    <row r="885" customFormat="false" ht="18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</row>
    <row r="886" customFormat="false" ht="18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</row>
    <row r="887" customFormat="false" ht="18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</row>
    <row r="888" customFormat="false" ht="18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</row>
    <row r="889" customFormat="false" ht="18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</row>
    <row r="890" customFormat="false" ht="18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</row>
    <row r="891" customFormat="false" ht="18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</row>
    <row r="892" customFormat="false" ht="18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</row>
    <row r="893" customFormat="false" ht="18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</row>
    <row r="894" customFormat="false" ht="18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</row>
    <row r="895" customFormat="false" ht="18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</row>
    <row r="896" customFormat="false" ht="18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</row>
    <row r="897" customFormat="false" ht="18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</row>
    <row r="898" customFormat="false" ht="18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</row>
    <row r="899" customFormat="false" ht="18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</row>
    <row r="900" customFormat="false" ht="18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</row>
    <row r="901" customFormat="false" ht="18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</row>
    <row r="902" customFormat="false" ht="18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</row>
    <row r="903" customFormat="false" ht="18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</row>
    <row r="904" customFormat="false" ht="18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</row>
    <row r="905" customFormat="false" ht="18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</row>
    <row r="906" customFormat="false" ht="18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</row>
    <row r="907" customFormat="false" ht="18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</row>
    <row r="908" customFormat="false" ht="18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</row>
    <row r="909" customFormat="false" ht="18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</row>
    <row r="910" customFormat="false" ht="18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</row>
    <row r="911" customFormat="false" ht="18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</row>
    <row r="912" customFormat="false" ht="18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</row>
    <row r="913" customFormat="false" ht="18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</row>
    <row r="914" customFormat="false" ht="18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</row>
    <row r="915" customFormat="false" ht="18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</row>
    <row r="916" customFormat="false" ht="18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</row>
    <row r="917" customFormat="false" ht="18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</row>
    <row r="918" customFormat="false" ht="18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</row>
    <row r="919" customFormat="false" ht="18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</row>
    <row r="920" customFormat="false" ht="18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</row>
    <row r="921" customFormat="false" ht="18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</row>
    <row r="922" customFormat="false" ht="18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</row>
    <row r="923" customFormat="false" ht="18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</row>
    <row r="924" customFormat="false" ht="18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</row>
    <row r="925" customFormat="false" ht="18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</row>
    <row r="926" customFormat="false" ht="18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</row>
    <row r="927" customFormat="false" ht="18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</row>
    <row r="928" customFormat="false" ht="18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</row>
    <row r="929" customFormat="false" ht="18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</row>
    <row r="930" customFormat="false" ht="18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</row>
    <row r="931" customFormat="false" ht="18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</row>
    <row r="932" customFormat="false" ht="18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</row>
    <row r="933" customFormat="false" ht="18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</row>
    <row r="934" customFormat="false" ht="18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</row>
    <row r="935" customFormat="false" ht="18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</row>
    <row r="936" customFormat="false" ht="18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</row>
    <row r="937" customFormat="false" ht="18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</row>
    <row r="938" customFormat="false" ht="18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</row>
    <row r="939" customFormat="false" ht="18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</row>
    <row r="940" customFormat="false" ht="18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</row>
    <row r="941" customFormat="false" ht="18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</row>
    <row r="942" customFormat="false" ht="18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</row>
    <row r="943" customFormat="false" ht="18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</row>
    <row r="944" customFormat="false" ht="18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</row>
    <row r="945" customFormat="false" ht="18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</row>
    <row r="946" customFormat="false" ht="18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</row>
    <row r="947" customFormat="false" ht="18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</row>
    <row r="948" customFormat="false" ht="18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</row>
    <row r="949" customFormat="false" ht="18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</row>
    <row r="950" customFormat="false" ht="18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</row>
    <row r="951" customFormat="false" ht="18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</row>
    <row r="952" customFormat="false" ht="18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</row>
    <row r="953" customFormat="false" ht="18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</row>
    <row r="954" customFormat="false" ht="18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</row>
    <row r="955" customFormat="false" ht="18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</row>
    <row r="956" customFormat="false" ht="18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</row>
    <row r="957" customFormat="false" ht="18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</row>
    <row r="958" customFormat="false" ht="18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</row>
    <row r="959" customFormat="false" ht="18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</row>
    <row r="960" customFormat="false" ht="18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</row>
    <row r="961" customFormat="false" ht="18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</row>
    <row r="962" customFormat="false" ht="18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</row>
    <row r="963" customFormat="false" ht="18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</row>
    <row r="964" customFormat="false" ht="18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</row>
    <row r="965" customFormat="false" ht="18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</row>
    <row r="966" customFormat="false" ht="18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</row>
    <row r="967" customFormat="false" ht="18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</row>
    <row r="968" customFormat="false" ht="18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</row>
    <row r="969" customFormat="false" ht="18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</row>
    <row r="970" customFormat="false" ht="18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</row>
    <row r="971" customFormat="false" ht="18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</row>
    <row r="972" customFormat="false" ht="18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</row>
    <row r="973" customFormat="false" ht="18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</row>
    <row r="974" customFormat="false" ht="18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</row>
    <row r="975" customFormat="false" ht="18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</row>
    <row r="976" customFormat="false" ht="18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</row>
    <row r="977" customFormat="false" ht="18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</row>
    <row r="978" customFormat="false" ht="18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</row>
    <row r="979" customFormat="false" ht="18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</row>
    <row r="980" customFormat="false" ht="18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</row>
    <row r="981" customFormat="false" ht="18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</row>
    <row r="982" customFormat="false" ht="18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</row>
    <row r="983" customFormat="false" ht="18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</row>
    <row r="984" customFormat="false" ht="18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</row>
    <row r="985" customFormat="false" ht="18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</row>
    <row r="986" customFormat="false" ht="18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</row>
    <row r="987" customFormat="false" ht="18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</row>
    <row r="988" customFormat="false" ht="18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</row>
    <row r="989" customFormat="false" ht="18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</row>
    <row r="990" customFormat="false" ht="18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</row>
    <row r="991" customFormat="false" ht="18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</row>
    <row r="992" customFormat="false" ht="18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</row>
    <row r="993" customFormat="false" ht="18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</row>
    <row r="994" customFormat="false" ht="18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</row>
    <row r="995" customFormat="false" ht="18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</row>
    <row r="996" customFormat="false" ht="18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</row>
    <row r="997" customFormat="false" ht="18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</row>
    <row r="998" customFormat="false" ht="18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</row>
    <row r="999" customFormat="false" ht="18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</row>
    <row r="1000" customFormat="false" ht="18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</row>
    <row r="1001" customFormat="false" ht="18.75" hidden="false" customHeight="tru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</row>
    <row r="1002" customFormat="false" ht="18.75" hidden="false" customHeight="tru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</row>
    <row r="1003" customFormat="false" ht="18.75" hidden="false" customHeight="tru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</row>
    <row r="1004" customFormat="false" ht="18.75" hidden="false" customHeight="tru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</row>
    <row r="1005" customFormat="false" ht="18.75" hidden="false" customHeight="tru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</row>
    <row r="1006" customFormat="false" ht="18.75" hidden="false" customHeight="tru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</row>
  </sheetData>
  <mergeCells count="44">
    <mergeCell ref="A1:C1"/>
    <mergeCell ref="D1:F1"/>
    <mergeCell ref="G1:I1"/>
    <mergeCell ref="J1:L1"/>
    <mergeCell ref="AC1:AE1"/>
    <mergeCell ref="AF1:AH1"/>
    <mergeCell ref="AI1:AK1"/>
    <mergeCell ref="AL1:AN1"/>
    <mergeCell ref="A2:C2"/>
    <mergeCell ref="D2:F2"/>
    <mergeCell ref="G2:I2"/>
    <mergeCell ref="J2:L2"/>
    <mergeCell ref="AC2:AE2"/>
    <mergeCell ref="AF2:AH2"/>
    <mergeCell ref="AI2:AK2"/>
    <mergeCell ref="AL2:AN2"/>
    <mergeCell ref="N3:O5"/>
    <mergeCell ref="A12:C12"/>
    <mergeCell ref="D12:F12"/>
    <mergeCell ref="G12:I12"/>
    <mergeCell ref="J12:L12"/>
    <mergeCell ref="AC12:AE12"/>
    <mergeCell ref="AF12:AH12"/>
    <mergeCell ref="AI12:AK12"/>
    <mergeCell ref="AL12:AN12"/>
    <mergeCell ref="A22:C22"/>
    <mergeCell ref="D22:F22"/>
    <mergeCell ref="G22:I22"/>
    <mergeCell ref="J22:L22"/>
    <mergeCell ref="AC22:AE22"/>
    <mergeCell ref="AF22:AH22"/>
    <mergeCell ref="AI22:AK22"/>
    <mergeCell ref="AL22:AN22"/>
    <mergeCell ref="A34:C34"/>
    <mergeCell ref="C38:E38"/>
    <mergeCell ref="C39:D39"/>
    <mergeCell ref="O39:P39"/>
    <mergeCell ref="A55:F55"/>
    <mergeCell ref="A56:F56"/>
    <mergeCell ref="O63:P63"/>
    <mergeCell ref="C64:E64"/>
    <mergeCell ref="C65:D65"/>
    <mergeCell ref="F86:G86"/>
    <mergeCell ref="H137:I137"/>
  </mergeCells>
  <conditionalFormatting sqref="B45:E54">
    <cfRule type="cellIs" priority="2" operator="lessThanOrEqual" aboveAverage="0" equalAverage="0" bottom="0" percent="0" rank="0" text="" dxfId="0">
      <formula>0</formula>
    </cfRule>
  </conditionalFormatting>
  <conditionalFormatting sqref="F45:J54">
    <cfRule type="cellIs" priority="3" operator="lessThanOrEqual" aboveAverage="0" equalAverage="0" bottom="0" percent="0" rank="0" text="" dxfId="1">
      <formula>0</formula>
    </cfRule>
  </conditionalFormatting>
  <conditionalFormatting sqref="L45:P54">
    <cfRule type="cellIs" priority="4" operator="lessThanOrEqual" aboveAverage="0" equalAverage="0" bottom="0" percent="0" rank="0" text="" dxfId="2">
      <formula>0</formula>
    </cfRule>
  </conditionalFormatting>
  <conditionalFormatting sqref="G50:H50">
    <cfRule type="cellIs" priority="5" operator="lessThanOrEqual" aboveAverage="0" equalAverage="0" bottom="0" percent="0" rank="0" text="" dxfId="3">
      <formula>0</formula>
    </cfRule>
  </conditionalFormatting>
  <conditionalFormatting sqref="B71:E80">
    <cfRule type="cellIs" priority="6" operator="lessThanOrEqual" aboveAverage="0" equalAverage="0" bottom="0" percent="0" rank="0" text="" dxfId="4">
      <formula>0</formula>
    </cfRule>
  </conditionalFormatting>
  <conditionalFormatting sqref="A93:E102">
    <cfRule type="cellIs" priority="7" operator="lessThanOrEqual" aboveAverage="0" equalAverage="0" bottom="0" percent="0" rank="0" text="" dxfId="5">
      <formula>0</formula>
    </cfRule>
  </conditionalFormatting>
  <conditionalFormatting sqref="B98:C98">
    <cfRule type="cellIs" priority="8" operator="lessThanOrEqual" aboveAverage="0" equalAverage="0" bottom="0" percent="0" rank="0" text="" dxfId="6">
      <formula>0</formula>
    </cfRule>
  </conditionalFormatting>
  <conditionalFormatting sqref="L69:P78">
    <cfRule type="cellIs" priority="9" operator="lessThanOrEqual" aboveAverage="0" equalAverage="0" bottom="0" percent="0" rank="0" text="" dxfId="7">
      <formula>0</formula>
    </cfRule>
  </conditionalFormatting>
  <conditionalFormatting sqref="D125:D134">
    <cfRule type="cellIs" priority="10" operator="lessThanOrEqual" aboveAverage="0" equalAverage="0" bottom="0" percent="0" rank="0" text="" dxfId="8">
      <formula>0</formula>
    </cfRule>
  </conditionalFormatting>
  <conditionalFormatting sqref="E140:H149">
    <cfRule type="cellIs" priority="11" operator="lessThanOr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2022-06-07T18:40:30Z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