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TDascal\Documents\LEARNING\FSEGA\FSEGA-AN1-IE-IDFR-2021-2022\Matematici_Financiare_si_Actuariale\"/>
    </mc:Choice>
  </mc:AlternateContent>
  <xr:revisionPtr revIDLastSave="0" documentId="13_ncr:1_{45C0725F-EDA3-4DD9-AF09-D56127F20D40}" xr6:coauthVersionLast="47" xr6:coauthVersionMax="47" xr10:uidLastSave="{00000000-0000-0000-0000-000000000000}"/>
  <bookViews>
    <workbookView xWindow="195" yWindow="1980" windowWidth="16440" windowHeight="12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H17" i="1"/>
  <c r="E140" i="1" l="1"/>
  <c r="E141" i="1" s="1"/>
  <c r="E142" i="1" s="1"/>
  <c r="E143" i="1" s="1"/>
  <c r="E144" i="1" s="1"/>
  <c r="E145" i="1" s="1"/>
  <c r="E146" i="1" s="1"/>
  <c r="E147" i="1" s="1"/>
  <c r="E148" i="1" s="1"/>
  <c r="E149" i="1" s="1"/>
  <c r="J140" i="1"/>
  <c r="F141" i="1" l="1"/>
  <c r="F140" i="1"/>
  <c r="E93" i="1"/>
  <c r="G113" i="1"/>
  <c r="F125" i="1" l="1"/>
  <c r="G125" i="1" s="1"/>
  <c r="E126" i="1" s="1"/>
  <c r="F126" i="1" s="1"/>
  <c r="R69" i="1"/>
  <c r="M69" i="1"/>
  <c r="M67" i="1"/>
  <c r="M64" i="1"/>
  <c r="M65" i="1" s="1"/>
  <c r="M66" i="1" s="1"/>
  <c r="G126" i="1" l="1"/>
  <c r="E127" i="1" s="1"/>
  <c r="F127" i="1" s="1"/>
  <c r="E95" i="1"/>
  <c r="G93" i="1"/>
  <c r="B88" i="1"/>
  <c r="B89" i="1" s="1"/>
  <c r="G71" i="1"/>
  <c r="B71" i="1"/>
  <c r="C71" i="1" s="1"/>
  <c r="B68" i="1"/>
  <c r="B67" i="1"/>
  <c r="B66" i="1"/>
  <c r="D72" i="1" s="1"/>
  <c r="D78" i="1" l="1"/>
  <c r="D75" i="1"/>
  <c r="D74" i="1"/>
  <c r="D79" i="1"/>
  <c r="D71" i="1"/>
  <c r="E71" i="1" s="1"/>
  <c r="D77" i="1"/>
  <c r="D73" i="1"/>
  <c r="D80" i="1"/>
  <c r="D76" i="1"/>
  <c r="B91" i="1"/>
  <c r="B90" i="1"/>
  <c r="B72" i="1"/>
  <c r="C72" i="1" s="1"/>
  <c r="G127" i="1" l="1"/>
  <c r="E128" i="1" s="1"/>
  <c r="I126" i="1"/>
  <c r="H93" i="1"/>
  <c r="F94" i="1" s="1"/>
  <c r="H71" i="1"/>
  <c r="F72" i="1" s="1"/>
  <c r="G72" i="1" s="1"/>
  <c r="B93" i="1"/>
  <c r="E96" i="1" s="1"/>
  <c r="E94" i="1"/>
  <c r="G94" i="1"/>
  <c r="E72" i="1"/>
  <c r="B73" i="1"/>
  <c r="C73" i="1" s="1"/>
  <c r="AJ17" i="1"/>
  <c r="F128" i="1" l="1"/>
  <c r="G128" i="1" s="1"/>
  <c r="E129" i="1" s="1"/>
  <c r="H72" i="1"/>
  <c r="F73" i="1" s="1"/>
  <c r="C93" i="1"/>
  <c r="H94" i="1"/>
  <c r="F95" i="1" s="1"/>
  <c r="G95" i="1" s="1"/>
  <c r="G73" i="1"/>
  <c r="E73" i="1"/>
  <c r="B74" i="1"/>
  <c r="C74" i="1" s="1"/>
  <c r="M45" i="1"/>
  <c r="J54" i="1"/>
  <c r="J53" i="1"/>
  <c r="J52" i="1"/>
  <c r="J51" i="1"/>
  <c r="J50" i="1"/>
  <c r="J49" i="1"/>
  <c r="J48" i="1"/>
  <c r="J47" i="1"/>
  <c r="J46" i="1"/>
  <c r="J45" i="1"/>
  <c r="B40" i="1"/>
  <c r="M40" i="1"/>
  <c r="M41" i="1" s="1"/>
  <c r="B45" i="1"/>
  <c r="C45" i="1" s="1"/>
  <c r="B42" i="1"/>
  <c r="B41" i="1"/>
  <c r="G40" i="1"/>
  <c r="G41" i="1" s="1"/>
  <c r="M43" i="1" s="1"/>
  <c r="AG29" i="1"/>
  <c r="AD29" i="1"/>
  <c r="E29" i="1"/>
  <c r="B29" i="1"/>
  <c r="AM27" i="1"/>
  <c r="AJ27" i="1"/>
  <c r="K27" i="1"/>
  <c r="H27" i="1"/>
  <c r="AG19" i="1"/>
  <c r="AG20" i="1" s="1"/>
  <c r="AG21" i="1" s="1"/>
  <c r="AD19" i="1"/>
  <c r="AD20" i="1" s="1"/>
  <c r="AD21" i="1" s="1"/>
  <c r="E19" i="1"/>
  <c r="E20" i="1" s="1"/>
  <c r="E21" i="1" s="1"/>
  <c r="B19" i="1"/>
  <c r="B20" i="1" s="1"/>
  <c r="B21" i="1" s="1"/>
  <c r="AM17" i="1"/>
  <c r="AM19" i="1" s="1"/>
  <c r="AM20" i="1" s="1"/>
  <c r="K17" i="1"/>
  <c r="AG9" i="1"/>
  <c r="AG10" i="1" s="1"/>
  <c r="AG11" i="1" s="1"/>
  <c r="AD9" i="1"/>
  <c r="AD10" i="1" s="1"/>
  <c r="AD11" i="1" s="1"/>
  <c r="E9" i="1"/>
  <c r="E10" i="1" s="1"/>
  <c r="E11" i="1" s="1"/>
  <c r="B9" i="1"/>
  <c r="B10" i="1" s="1"/>
  <c r="B11" i="1" s="1"/>
  <c r="AM7" i="1"/>
  <c r="AM9" i="1" s="1"/>
  <c r="AM10" i="1" s="1"/>
  <c r="AM11" i="1" s="1"/>
  <c r="AJ7" i="1"/>
  <c r="AJ9" i="1" s="1"/>
  <c r="AJ10" i="1" s="1"/>
  <c r="AJ11" i="1" s="1"/>
  <c r="K7" i="1"/>
  <c r="K9" i="1" s="1"/>
  <c r="K10" i="1" s="1"/>
  <c r="K11" i="1" s="1"/>
  <c r="H7" i="1"/>
  <c r="H9" i="1" s="1"/>
  <c r="H10" i="1" s="1"/>
  <c r="H11" i="1" s="1"/>
  <c r="O76" i="1" l="1"/>
  <c r="O73" i="1"/>
  <c r="O70" i="1"/>
  <c r="N73" i="1"/>
  <c r="M76" i="1"/>
  <c r="M70" i="1"/>
  <c r="O69" i="1"/>
  <c r="N75" i="1"/>
  <c r="N69" i="1"/>
  <c r="M78" i="1"/>
  <c r="O77" i="1"/>
  <c r="O71" i="1"/>
  <c r="N74" i="1"/>
  <c r="N71" i="1"/>
  <c r="M74" i="1"/>
  <c r="M71" i="1"/>
  <c r="N76" i="1"/>
  <c r="N70" i="1"/>
  <c r="O72" i="1"/>
  <c r="N78" i="1"/>
  <c r="N72" i="1"/>
  <c r="M75" i="1"/>
  <c r="M73" i="1"/>
  <c r="M72" i="1"/>
  <c r="M77" i="1"/>
  <c r="O75" i="1"/>
  <c r="O74" i="1"/>
  <c r="O78" i="1"/>
  <c r="N77" i="1"/>
  <c r="F129" i="1"/>
  <c r="G129" i="1"/>
  <c r="I129" i="1" s="1"/>
  <c r="D93" i="1"/>
  <c r="B94" i="1" s="1"/>
  <c r="C94" i="1" s="1"/>
  <c r="D94" i="1" s="1"/>
  <c r="B95" i="1" s="1"/>
  <c r="E98" i="1" s="1"/>
  <c r="H73" i="1"/>
  <c r="F74" i="1" s="1"/>
  <c r="G74" i="1" s="1"/>
  <c r="E97" i="1"/>
  <c r="H95" i="1"/>
  <c r="F96" i="1" s="1"/>
  <c r="G96" i="1" s="1"/>
  <c r="E74" i="1"/>
  <c r="B75" i="1"/>
  <c r="C75" i="1" s="1"/>
  <c r="D48" i="1"/>
  <c r="D52" i="1"/>
  <c r="D51" i="1"/>
  <c r="D49" i="1"/>
  <c r="D53" i="1"/>
  <c r="D46" i="1"/>
  <c r="D50" i="1"/>
  <c r="D54" i="1"/>
  <c r="D47" i="1"/>
  <c r="D45" i="1"/>
  <c r="E45" i="1" s="1"/>
  <c r="O49" i="1"/>
  <c r="M42" i="1"/>
  <c r="N46" i="1"/>
  <c r="O52" i="1"/>
  <c r="M53" i="1"/>
  <c r="M49" i="1"/>
  <c r="N54" i="1"/>
  <c r="O48" i="1"/>
  <c r="G43" i="1"/>
  <c r="G45" i="1" s="1"/>
  <c r="N50" i="1"/>
  <c r="M48" i="1"/>
  <c r="N49" i="1"/>
  <c r="O51" i="1"/>
  <c r="O47" i="1"/>
  <c r="M46" i="1"/>
  <c r="M51" i="1"/>
  <c r="M47" i="1"/>
  <c r="N52" i="1"/>
  <c r="N48" i="1"/>
  <c r="O54" i="1"/>
  <c r="O50" i="1"/>
  <c r="O46" i="1"/>
  <c r="M52" i="1"/>
  <c r="N53" i="1"/>
  <c r="O45" i="1"/>
  <c r="M54" i="1"/>
  <c r="M50" i="1"/>
  <c r="N45" i="1"/>
  <c r="N51" i="1"/>
  <c r="N47" i="1"/>
  <c r="O53" i="1"/>
  <c r="G42" i="1"/>
  <c r="E30" i="1"/>
  <c r="E31" i="1" s="1"/>
  <c r="AG30" i="1"/>
  <c r="AG31" i="1" s="1"/>
  <c r="H19" i="1"/>
  <c r="H20" i="1" s="1"/>
  <c r="H21" i="1" s="1"/>
  <c r="AJ19" i="1"/>
  <c r="AJ20" i="1" s="1"/>
  <c r="AJ21" i="1" s="1"/>
  <c r="H29" i="1"/>
  <c r="H30" i="1" s="1"/>
  <c r="AJ29" i="1"/>
  <c r="AJ30" i="1" s="1"/>
  <c r="K19" i="1"/>
  <c r="K20" i="1" s="1"/>
  <c r="K21" i="1" s="1"/>
  <c r="AM21" i="1"/>
  <c r="K29" i="1"/>
  <c r="K30" i="1" s="1"/>
  <c r="AM29" i="1"/>
  <c r="AM30" i="1" s="1"/>
  <c r="B30" i="1"/>
  <c r="B31" i="1" s="1"/>
  <c r="AD30" i="1"/>
  <c r="AD31" i="1" s="1"/>
  <c r="P77" i="1" l="1"/>
  <c r="P78" i="1"/>
  <c r="P70" i="1"/>
  <c r="P75" i="1"/>
  <c r="P76" i="1"/>
  <c r="P73" i="1"/>
  <c r="P74" i="1"/>
  <c r="P72" i="1"/>
  <c r="P71" i="1"/>
  <c r="P69" i="1"/>
  <c r="S69" i="1" s="1"/>
  <c r="Q70" i="1" s="1"/>
  <c r="R70" i="1" s="1"/>
  <c r="S70" i="1" s="1"/>
  <c r="Q71" i="1" s="1"/>
  <c r="R71" i="1" s="1"/>
  <c r="S71" i="1" s="1"/>
  <c r="Q72" i="1" s="1"/>
  <c r="R72" i="1" s="1"/>
  <c r="S72" i="1" s="1"/>
  <c r="Q73" i="1" s="1"/>
  <c r="R73" i="1" s="1"/>
  <c r="S73" i="1" s="1"/>
  <c r="Q74" i="1" s="1"/>
  <c r="R74" i="1" s="1"/>
  <c r="S74" i="1" s="1"/>
  <c r="Q75" i="1" s="1"/>
  <c r="R75" i="1" s="1"/>
  <c r="S75" i="1" s="1"/>
  <c r="Q76" i="1" s="1"/>
  <c r="P50" i="1"/>
  <c r="P51" i="1"/>
  <c r="P52" i="1"/>
  <c r="P53" i="1"/>
  <c r="P54" i="1"/>
  <c r="P45" i="1"/>
  <c r="P47" i="1"/>
  <c r="P48" i="1"/>
  <c r="P46" i="1"/>
  <c r="P49" i="1"/>
  <c r="I131" i="1"/>
  <c r="E130" i="1"/>
  <c r="F130" i="1" s="1"/>
  <c r="G130" i="1" s="1"/>
  <c r="E131" i="1" s="1"/>
  <c r="F131" i="1" s="1"/>
  <c r="H74" i="1"/>
  <c r="F75" i="1" s="1"/>
  <c r="G75" i="1" s="1"/>
  <c r="C95" i="1"/>
  <c r="D95" i="1" s="1"/>
  <c r="B96" i="1" s="1"/>
  <c r="E99" i="1" s="1"/>
  <c r="H96" i="1"/>
  <c r="F97" i="1" s="1"/>
  <c r="G97" i="1" s="1"/>
  <c r="H97" i="1" s="1"/>
  <c r="F98" i="1" s="1"/>
  <c r="G98" i="1" s="1"/>
  <c r="E75" i="1"/>
  <c r="B76" i="1"/>
  <c r="C76" i="1" s="1"/>
  <c r="J95" i="1" s="1"/>
  <c r="H45" i="1"/>
  <c r="I45" i="1" s="1"/>
  <c r="G46" i="1" s="1"/>
  <c r="AM31" i="1"/>
  <c r="B46" i="1"/>
  <c r="AJ31" i="1"/>
  <c r="H31" i="1"/>
  <c r="K31" i="1"/>
  <c r="G131" i="1" l="1"/>
  <c r="E132" i="1" s="1"/>
  <c r="F132" i="1" s="1"/>
  <c r="G132" i="1" s="1"/>
  <c r="E133" i="1" s="1"/>
  <c r="F133" i="1" s="1"/>
  <c r="H140" i="1"/>
  <c r="K140" i="1" s="1"/>
  <c r="I141" i="1" s="1"/>
  <c r="J141" i="1" s="1"/>
  <c r="H75" i="1"/>
  <c r="F76" i="1" s="1"/>
  <c r="G76" i="1" s="1"/>
  <c r="J93" i="1"/>
  <c r="R76" i="1"/>
  <c r="S76" i="1" s="1"/>
  <c r="Q77" i="1" s="1"/>
  <c r="C96" i="1"/>
  <c r="D96" i="1" s="1"/>
  <c r="B97" i="1" s="1"/>
  <c r="E100" i="1" s="1"/>
  <c r="J94" i="1"/>
  <c r="H98" i="1"/>
  <c r="F99" i="1" s="1"/>
  <c r="G99" i="1" s="1"/>
  <c r="E76" i="1"/>
  <c r="H76" i="1" s="1"/>
  <c r="F77" i="1" s="1"/>
  <c r="G77" i="1" s="1"/>
  <c r="B77" i="1"/>
  <c r="C77" i="1" s="1"/>
  <c r="H46" i="1"/>
  <c r="I46" i="1" s="1"/>
  <c r="G47" i="1" s="1"/>
  <c r="B47" i="1"/>
  <c r="C46" i="1"/>
  <c r="E46" i="1" l="1"/>
  <c r="H141" i="1"/>
  <c r="K141" i="1" s="1"/>
  <c r="I142" i="1" s="1"/>
  <c r="J142" i="1" s="1"/>
  <c r="C97" i="1"/>
  <c r="D97" i="1" s="1"/>
  <c r="B98" i="1" s="1"/>
  <c r="C98" i="1" s="1"/>
  <c r="D98" i="1" s="1"/>
  <c r="B99" i="1" s="1"/>
  <c r="E102" i="1" s="1"/>
  <c r="G133" i="1"/>
  <c r="E134" i="1" s="1"/>
  <c r="F134" i="1" s="1"/>
  <c r="R77" i="1"/>
  <c r="S77" i="1"/>
  <c r="Q78" i="1" s="1"/>
  <c r="H99" i="1"/>
  <c r="F100" i="1" s="1"/>
  <c r="G100" i="1" s="1"/>
  <c r="E101" i="1"/>
  <c r="E77" i="1"/>
  <c r="H77" i="1" s="1"/>
  <c r="F78" i="1" s="1"/>
  <c r="G78" i="1" s="1"/>
  <c r="B78" i="1"/>
  <c r="C78" i="1" s="1"/>
  <c r="H47" i="1"/>
  <c r="I47" i="1" s="1"/>
  <c r="G48" i="1" s="1"/>
  <c r="B48" i="1"/>
  <c r="C47" i="1"/>
  <c r="E47" i="1" s="1"/>
  <c r="F143" i="1" l="1"/>
  <c r="F142" i="1"/>
  <c r="H142" i="1" s="1"/>
  <c r="K142" i="1" s="1"/>
  <c r="I143" i="1" s="1"/>
  <c r="J143" i="1" s="1"/>
  <c r="G134" i="1"/>
  <c r="R78" i="1"/>
  <c r="S78" i="1" s="1"/>
  <c r="H100" i="1"/>
  <c r="F101" i="1" s="1"/>
  <c r="G101" i="1" s="1"/>
  <c r="C99" i="1"/>
  <c r="D99" i="1" s="1"/>
  <c r="B100" i="1" s="1"/>
  <c r="E78" i="1"/>
  <c r="H78" i="1" s="1"/>
  <c r="F79" i="1" s="1"/>
  <c r="G79" i="1" s="1"/>
  <c r="B79" i="1"/>
  <c r="C79" i="1" s="1"/>
  <c r="H48" i="1"/>
  <c r="I48" i="1" s="1"/>
  <c r="G49" i="1" s="1"/>
  <c r="H49" i="1" s="1"/>
  <c r="I49" i="1" s="1"/>
  <c r="G50" i="1" s="1"/>
  <c r="H50" i="1" s="1"/>
  <c r="I50" i="1" s="1"/>
  <c r="G51" i="1" s="1"/>
  <c r="B49" i="1"/>
  <c r="C48" i="1"/>
  <c r="E48" i="1" l="1"/>
  <c r="F144" i="1"/>
  <c r="H143" i="1"/>
  <c r="K143" i="1" s="1"/>
  <c r="I144" i="1" s="1"/>
  <c r="J144" i="1" s="1"/>
  <c r="H101" i="1"/>
  <c r="F102" i="1" s="1"/>
  <c r="G102" i="1" s="1"/>
  <c r="C100" i="1"/>
  <c r="D100" i="1" s="1"/>
  <c r="B101" i="1" s="1"/>
  <c r="E79" i="1"/>
  <c r="H79" i="1" s="1"/>
  <c r="F80" i="1" s="1"/>
  <c r="G80" i="1" s="1"/>
  <c r="B80" i="1"/>
  <c r="H51" i="1"/>
  <c r="I51" i="1" s="1"/>
  <c r="G52" i="1" s="1"/>
  <c r="B50" i="1"/>
  <c r="C49" i="1"/>
  <c r="E49" i="1" s="1"/>
  <c r="H144" i="1" l="1"/>
  <c r="K144" i="1" s="1"/>
  <c r="I145" i="1" s="1"/>
  <c r="J145" i="1" s="1"/>
  <c r="F145" i="1"/>
  <c r="H102" i="1"/>
  <c r="C80" i="1"/>
  <c r="E80" i="1" s="1"/>
  <c r="H80" i="1" s="1"/>
  <c r="C101" i="1"/>
  <c r="D101" i="1" s="1"/>
  <c r="B102" i="1" s="1"/>
  <c r="C102" i="1" s="1"/>
  <c r="D102" i="1" s="1"/>
  <c r="H52" i="1"/>
  <c r="I52" i="1" s="1"/>
  <c r="G53" i="1" s="1"/>
  <c r="H53" i="1" s="1"/>
  <c r="I53" i="1" s="1"/>
  <c r="G54" i="1" s="1"/>
  <c r="H54" i="1" s="1"/>
  <c r="I54" i="1" s="1"/>
  <c r="B51" i="1"/>
  <c r="C50" i="1"/>
  <c r="E50" i="1" l="1"/>
  <c r="H145" i="1"/>
  <c r="K145" i="1" s="1"/>
  <c r="I146" i="1" s="1"/>
  <c r="J146" i="1" s="1"/>
  <c r="F146" i="1"/>
  <c r="B52" i="1"/>
  <c r="C51" i="1"/>
  <c r="E51" i="1" s="1"/>
  <c r="F147" i="1" l="1"/>
  <c r="H146" i="1"/>
  <c r="K146" i="1" s="1"/>
  <c r="I147" i="1" s="1"/>
  <c r="J147" i="1" s="1"/>
  <c r="C52" i="1"/>
  <c r="B53" i="1"/>
  <c r="E52" i="1" l="1"/>
  <c r="C57" i="1"/>
  <c r="F148" i="1"/>
  <c r="H147" i="1"/>
  <c r="K147" i="1" s="1"/>
  <c r="I148" i="1" s="1"/>
  <c r="J148" i="1" s="1"/>
  <c r="C53" i="1"/>
  <c r="E53" i="1" s="1"/>
  <c r="B54" i="1"/>
  <c r="C54" i="1" s="1"/>
  <c r="E54" i="1" s="1"/>
  <c r="H148" i="1" l="1"/>
  <c r="K148" i="1" s="1"/>
  <c r="I149" i="1" s="1"/>
  <c r="J149" i="1" s="1"/>
  <c r="F149" i="1" l="1"/>
  <c r="H149" i="1" s="1"/>
  <c r="K149" i="1" s="1"/>
</calcChain>
</file>

<file path=xl/sharedStrings.xml><?xml version="1.0" encoding="utf-8"?>
<sst xmlns="http://schemas.openxmlformats.org/spreadsheetml/2006/main" count="469" uniqueCount="80">
  <si>
    <t>Anuitate constanta intreaga posticipata</t>
  </si>
  <si>
    <t>Anuitate constanta intreaga anticipata</t>
  </si>
  <si>
    <t>Anuitate constanta fractionata posticipata</t>
  </si>
  <si>
    <t>Anuitate constanta fractionata anticipata</t>
  </si>
  <si>
    <t>Ce suma? V(t)=?</t>
  </si>
  <si>
    <t>t</t>
  </si>
  <si>
    <t>perioada</t>
  </si>
  <si>
    <t>n</t>
  </si>
  <si>
    <t>semestri2/trimestru4/lunar12</t>
  </si>
  <si>
    <t>m</t>
  </si>
  <si>
    <t>suma finala</t>
  </si>
  <si>
    <t>r</t>
  </si>
  <si>
    <t>rata anuala a dobanzii/dobanda unitara</t>
  </si>
  <si>
    <t>i=im*m</t>
  </si>
  <si>
    <t>im</t>
  </si>
  <si>
    <t>im=i/m</t>
  </si>
  <si>
    <t>i</t>
  </si>
  <si>
    <t>ani</t>
  </si>
  <si>
    <t>u</t>
  </si>
  <si>
    <t>u=1+i</t>
  </si>
  <si>
    <t>u=1+im</t>
  </si>
  <si>
    <t>v</t>
  </si>
  <si>
    <t>v=1/u</t>
  </si>
  <si>
    <t>V(t)</t>
  </si>
  <si>
    <t>V(t)=r*(1-v^n)/i*u^t</t>
  </si>
  <si>
    <t>V(t)=r*(1-v^n)/i*u^(t+1)</t>
  </si>
  <si>
    <t>Vm(t)</t>
  </si>
  <si>
    <t>V(t)=r*(1-v^(n*m))/im*u^(t*m)</t>
  </si>
  <si>
    <t>Vm(t)=r*((1-v^(n*m))/im)*u^(t*m+1)</t>
  </si>
  <si>
    <t>Ce rata? r=?</t>
  </si>
  <si>
    <t>rata anuala a dobanzii</t>
  </si>
  <si>
    <t>r=V(t)*i/(1-v^n)/u^t</t>
  </si>
  <si>
    <t>r=V(t)*i/(1-v^n)/u^(t+1)</t>
  </si>
  <si>
    <t>r=V(t)*im/((1-v^(n*m))*u^(t*m))</t>
  </si>
  <si>
    <t>r=Vm(t)*im/((1-v^(n*m))*u^(t*m+1))</t>
  </si>
  <si>
    <t>Cat timp? n=?</t>
  </si>
  <si>
    <t>n=lg(1-V(t)*i/r*u^t)/lgv</t>
  </si>
  <si>
    <t>n=lg(1-V(t)*i/r*u^(t+1))/lgv</t>
  </si>
  <si>
    <t>n=lg(1-(Vm(t)*im/r*u^(t*m)))/m*lg(v)</t>
  </si>
  <si>
    <t>n=lg(1-(Vmt*im/r/u^(t*m+1)))/lg(v^m)</t>
  </si>
  <si>
    <t>Împrumuturi. Rambursări directe întregi.</t>
  </si>
  <si>
    <t>Cote constante</t>
  </si>
  <si>
    <t>Rate constante</t>
  </si>
  <si>
    <t>Q=</t>
  </si>
  <si>
    <t>r=</t>
  </si>
  <si>
    <t>s=</t>
  </si>
  <si>
    <t>n=</t>
  </si>
  <si>
    <t>i=</t>
  </si>
  <si>
    <t>Q=s/n</t>
  </si>
  <si>
    <t>u=</t>
  </si>
  <si>
    <t>s=Q*n</t>
  </si>
  <si>
    <t>v=</t>
  </si>
  <si>
    <t>n=s/Q</t>
  </si>
  <si>
    <t>r=s*i/(1-v^n)</t>
  </si>
  <si>
    <t>s=r*(1-v^n)/i</t>
  </si>
  <si>
    <t>An</t>
  </si>
  <si>
    <t>Datorie(R)</t>
  </si>
  <si>
    <t>Dobândă(D)</t>
  </si>
  <si>
    <t>Cota(Q)</t>
  </si>
  <si>
    <t>Rata(r)</t>
  </si>
  <si>
    <t>Asta ar trebui sa fie evident tho, dar am notat sa ma asigur ca nu va bag in dubii &lt;3</t>
  </si>
  <si>
    <t>Calcule prin diferente</t>
  </si>
  <si>
    <t xml:space="preserve"> r=</t>
  </si>
  <si>
    <t>Calcule prin Formule</t>
  </si>
  <si>
    <t>Cand R = 0 sau D = 0 rezultatele respective si cele de mai jos nu se iau in calcul (aveti red cells)</t>
  </si>
  <si>
    <t>IF subperioade inmultim anii cu subperioada</t>
  </si>
  <si>
    <t>se foloseste im(if subperioade)</t>
  </si>
  <si>
    <t>Fond Acumulare</t>
  </si>
  <si>
    <t>Sin(Suma initiala)</t>
  </si>
  <si>
    <t>D'(aialalta db)</t>
  </si>
  <si>
    <t>Sfin(suma finala)</t>
  </si>
  <si>
    <t>Fond Acumulare rate constante</t>
  </si>
  <si>
    <t>Dobanda Achitata Efectiv</t>
  </si>
  <si>
    <t>Plata efectiva</t>
  </si>
  <si>
    <t>aia ce nu se achita</t>
  </si>
  <si>
    <t>t=</t>
  </si>
  <si>
    <t>dobanda totala =</t>
  </si>
  <si>
    <t>Cote descrescatoare</t>
  </si>
  <si>
    <t>daca t=0 =&gt;V(t) sau Vm(t) este IN
daca t=n =&gt; V(t) sau Vm(t) este FIN</t>
  </si>
  <si>
    <t>0.0399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</si>
</sst>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#,##0.000000"/>
    <numFmt numFmtId="166" formatCode="#,##0.0000000"/>
    <numFmt numFmtId="167" formatCode="#,##0.0000"/>
    <numFmt numFmtId="169" formatCode="0.00000000"/>
  </numFmts>
  <fonts count="14" x14ac:knownFonts="1">
    <font>
      <sz val="10"/>
      <color rgb="FF000000"/>
      <name val="Arial"/>
    </font>
    <font>
      <b/>
      <sz val="12"/>
      <color rgb="FFF3F3F3"/>
      <name val="Arial"/>
    </font>
    <font>
      <sz val="10"/>
      <name val="Arial"/>
    </font>
    <font>
      <b/>
      <sz val="12"/>
      <color theme="1"/>
      <name val="Arial"/>
    </font>
    <font>
      <b/>
      <sz val="12"/>
      <color rgb="FFEFEFEF"/>
      <name val="Arial"/>
    </font>
    <font>
      <b/>
      <sz val="12"/>
      <color rgb="FFF3F3F3"/>
      <name val="Arial"/>
    </font>
    <font>
      <b/>
      <sz val="12"/>
      <name val="Arial"/>
    </font>
    <font>
      <b/>
      <sz val="12"/>
      <color rgb="FFEFEFEF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  <charset val="238"/>
    </font>
  </fonts>
  <fills count="1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741B47"/>
        <bgColor rgb="FF741B47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0" fontId="1" fillId="2" borderId="10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0" fontId="5" fillId="3" borderId="12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0" fontId="6" fillId="4" borderId="12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0" fontId="7" fillId="5" borderId="12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10" fontId="1" fillId="3" borderId="10" xfId="0" applyNumberFormat="1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10" fontId="4" fillId="5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1" fillId="2" borderId="5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165" fontId="4" fillId="5" borderId="7" xfId="0" applyNumberFormat="1" applyFont="1" applyFill="1" applyBorder="1" applyAlignment="1">
      <alignment horizontal="center" vertical="center"/>
    </xf>
    <xf numFmtId="4" fontId="1" fillId="3" borderId="5" xfId="0" applyNumberFormat="1" applyFon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4" fillId="5" borderId="5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/>
    </xf>
    <xf numFmtId="164" fontId="3" fillId="4" borderId="12" xfId="0" applyNumberFormat="1" applyFont="1" applyFill="1" applyBorder="1" applyAlignment="1">
      <alignment horizontal="center" vertical="center"/>
    </xf>
    <xf numFmtId="164" fontId="4" fillId="5" borderId="12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164" fontId="4" fillId="5" borderId="10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2" fontId="9" fillId="7" borderId="14" xfId="0" applyNumberFormat="1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2" fontId="3" fillId="8" borderId="14" xfId="0" applyNumberFormat="1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2" fontId="9" fillId="9" borderId="14" xfId="0" applyNumberFormat="1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2" fontId="1" fillId="6" borderId="1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0" fontId="5" fillId="2" borderId="5" xfId="0" applyNumberFormat="1" applyFont="1" applyFill="1" applyBorder="1" applyAlignment="1">
      <alignment horizontal="center" vertical="center"/>
    </xf>
    <xf numFmtId="10" fontId="5" fillId="3" borderId="7" xfId="0" applyNumberFormat="1" applyFont="1" applyFill="1" applyBorder="1" applyAlignment="1">
      <alignment horizontal="center" vertical="center"/>
    </xf>
    <xf numFmtId="10" fontId="6" fillId="4" borderId="7" xfId="0" applyNumberFormat="1" applyFont="1" applyFill="1" applyBorder="1" applyAlignment="1">
      <alignment horizontal="center" vertical="center"/>
    </xf>
    <xf numFmtId="10" fontId="7" fillId="5" borderId="7" xfId="0" applyNumberFormat="1" applyFont="1" applyFill="1" applyBorder="1" applyAlignment="1">
      <alignment horizontal="center" vertical="center"/>
    </xf>
    <xf numFmtId="10" fontId="1" fillId="2" borderId="5" xfId="0" applyNumberFormat="1" applyFont="1" applyFill="1" applyBorder="1" applyAlignment="1">
      <alignment horizontal="center" vertical="center"/>
    </xf>
    <xf numFmtId="10" fontId="1" fillId="3" borderId="5" xfId="0" applyNumberFormat="1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/>
    </xf>
    <xf numFmtId="10" fontId="4" fillId="5" borderId="5" xfId="0" applyNumberFormat="1" applyFont="1" applyFill="1" applyBorder="1" applyAlignment="1">
      <alignment horizontal="center" vertical="center"/>
    </xf>
    <xf numFmtId="166" fontId="3" fillId="4" borderId="15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6" fontId="4" fillId="5" borderId="7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3" fontId="5" fillId="3" borderId="7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4" fontId="6" fillId="4" borderId="7" xfId="0" applyNumberFormat="1" applyFont="1" applyFill="1" applyBorder="1" applyAlignment="1">
      <alignment horizontal="center" vertical="center"/>
    </xf>
    <xf numFmtId="3" fontId="7" fillId="5" borderId="7" xfId="0" applyNumberFormat="1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4" fontId="3" fillId="4" borderId="5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64" fontId="1" fillId="3" borderId="17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64" fontId="3" fillId="4" borderId="17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164" fontId="4" fillId="5" borderId="17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3" fillId="4" borderId="14" xfId="0" applyNumberFormat="1" applyFont="1" applyFill="1" applyBorder="1" applyAlignment="1">
      <alignment horizontal="center" vertical="center"/>
    </xf>
    <xf numFmtId="164" fontId="4" fillId="5" borderId="14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2" fontId="9" fillId="6" borderId="3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2" fontId="9" fillId="7" borderId="3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3" fillId="8" borderId="3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2" fontId="9" fillId="9" borderId="3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0" fontId="1" fillId="2" borderId="0" xfId="0" applyFont="1" applyFill="1"/>
    <xf numFmtId="10" fontId="6" fillId="4" borderId="15" xfId="0" applyNumberFormat="1" applyFont="1" applyFill="1" applyBorder="1" applyAlignment="1">
      <alignment horizontal="center" vertical="center"/>
    </xf>
    <xf numFmtId="10" fontId="3" fillId="4" borderId="0" xfId="0" applyNumberFormat="1" applyFont="1" applyFill="1" applyAlignment="1">
      <alignment horizontal="center" vertical="center"/>
    </xf>
    <xf numFmtId="165" fontId="3" fillId="4" borderId="15" xfId="0" applyNumberFormat="1" applyFont="1" applyFill="1" applyBorder="1" applyAlignment="1">
      <alignment horizontal="center" vertical="center"/>
    </xf>
    <xf numFmtId="165" fontId="4" fillId="5" borderId="7" xfId="0" applyNumberFormat="1" applyFont="1" applyFill="1" applyBorder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165" fontId="4" fillId="5" borderId="5" xfId="0" applyNumberFormat="1" applyFont="1" applyFill="1" applyBorder="1" applyAlignment="1">
      <alignment horizontal="center" vertical="center"/>
    </xf>
    <xf numFmtId="4" fontId="5" fillId="2" borderId="5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4" fontId="6" fillId="4" borderId="15" xfId="0" applyNumberFormat="1" applyFont="1" applyFill="1" applyBorder="1" applyAlignment="1">
      <alignment horizontal="center" vertical="center"/>
    </xf>
    <xf numFmtId="4" fontId="7" fillId="5" borderId="7" xfId="0" applyNumberFormat="1" applyFont="1" applyFill="1" applyBorder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/>
    </xf>
    <xf numFmtId="4" fontId="1" fillId="3" borderId="5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4" fillId="5" borderId="5" xfId="0" applyNumberFormat="1" applyFont="1" applyFill="1" applyBorder="1" applyAlignment="1">
      <alignment horizontal="center" vertical="center"/>
    </xf>
    <xf numFmtId="164" fontId="4" fillId="5" borderId="19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164" fontId="4" fillId="5" borderId="20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2" fontId="9" fillId="6" borderId="3" xfId="0" applyNumberFormat="1" applyFont="1" applyFill="1" applyBorder="1" applyAlignment="1">
      <alignment horizontal="center" vertical="center"/>
    </xf>
    <xf numFmtId="2" fontId="9" fillId="7" borderId="3" xfId="0" applyNumberFormat="1" applyFont="1" applyFill="1" applyBorder="1" applyAlignment="1">
      <alignment horizontal="center" vertical="center"/>
    </xf>
    <xf numFmtId="2" fontId="3" fillId="8" borderId="3" xfId="0" applyNumberFormat="1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2" fontId="9" fillId="9" borderId="3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10" borderId="22" xfId="0" applyFont="1" applyFill="1" applyBorder="1" applyAlignment="1">
      <alignment horizontal="right" vertical="center"/>
    </xf>
    <xf numFmtId="0" fontId="6" fillId="10" borderId="22" xfId="0" applyFont="1" applyFill="1" applyBorder="1" applyAlignment="1">
      <alignment vertical="center"/>
    </xf>
    <xf numFmtId="0" fontId="6" fillId="11" borderId="22" xfId="0" applyFont="1" applyFill="1" applyBorder="1" applyAlignment="1">
      <alignment horizontal="right" vertical="center"/>
    </xf>
    <xf numFmtId="0" fontId="6" fillId="11" borderId="22" xfId="0" applyFont="1" applyFill="1" applyBorder="1" applyAlignment="1">
      <alignment vertical="center"/>
    </xf>
    <xf numFmtId="9" fontId="6" fillId="10" borderId="22" xfId="0" applyNumberFormat="1" applyFont="1" applyFill="1" applyBorder="1" applyAlignment="1">
      <alignment horizontal="right" vertical="center"/>
    </xf>
    <xf numFmtId="10" fontId="6" fillId="11" borderId="22" xfId="0" applyNumberFormat="1" applyFont="1" applyFill="1" applyBorder="1" applyAlignment="1">
      <alignment horizontal="right" vertical="center"/>
    </xf>
    <xf numFmtId="0" fontId="3" fillId="10" borderId="22" xfId="0" applyFont="1" applyFill="1" applyBorder="1" applyAlignment="1">
      <alignment vertical="center"/>
    </xf>
    <xf numFmtId="167" fontId="3" fillId="11" borderId="22" xfId="0" applyNumberFormat="1" applyFont="1" applyFill="1" applyBorder="1" applyAlignment="1">
      <alignment horizontal="right" vertical="center"/>
    </xf>
    <xf numFmtId="0" fontId="3" fillId="11" borderId="22" xfId="0" applyFont="1" applyFill="1" applyBorder="1" applyAlignment="1">
      <alignment horizontal="right" vertical="center"/>
    </xf>
    <xf numFmtId="0" fontId="3" fillId="11" borderId="22" xfId="0" applyFont="1" applyFill="1" applyBorder="1" applyAlignment="1">
      <alignment vertical="center"/>
    </xf>
    <xf numFmtId="0" fontId="6" fillId="10" borderId="22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vertical="center"/>
    </xf>
    <xf numFmtId="49" fontId="9" fillId="9" borderId="3" xfId="0" applyNumberFormat="1" applyFont="1" applyFill="1" applyBorder="1" applyAlignment="1">
      <alignment horizontal="center" vertical="center"/>
    </xf>
    <xf numFmtId="49" fontId="9" fillId="6" borderId="3" xfId="0" applyNumberFormat="1" applyFont="1" applyFill="1" applyBorder="1" applyAlignment="1">
      <alignment horizontal="center" vertical="center"/>
    </xf>
    <xf numFmtId="49" fontId="9" fillId="7" borderId="3" xfId="0" applyNumberFormat="1" applyFont="1" applyFill="1" applyBorder="1" applyAlignment="1">
      <alignment horizontal="center" vertical="center"/>
    </xf>
    <xf numFmtId="2" fontId="6" fillId="11" borderId="22" xfId="0" applyNumberFormat="1" applyFont="1" applyFill="1" applyBorder="1" applyAlignment="1">
      <alignment vertical="center"/>
    </xf>
    <xf numFmtId="49" fontId="6" fillId="11" borderId="22" xfId="0" applyNumberFormat="1" applyFont="1" applyFill="1" applyBorder="1" applyAlignment="1">
      <alignment horizontal="center" vertical="center"/>
    </xf>
    <xf numFmtId="2" fontId="6" fillId="11" borderId="22" xfId="0" applyNumberFormat="1" applyFont="1" applyFill="1" applyBorder="1" applyAlignment="1">
      <alignment horizontal="center" vertical="center"/>
    </xf>
    <xf numFmtId="2" fontId="3" fillId="11" borderId="22" xfId="0" applyNumberFormat="1" applyFont="1" applyFill="1" applyBorder="1" applyAlignment="1">
      <alignment horizontal="center" vertical="center"/>
    </xf>
    <xf numFmtId="2" fontId="3" fillId="11" borderId="22" xfId="0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11" borderId="22" xfId="0" applyFont="1" applyFill="1" applyBorder="1" applyAlignment="1">
      <alignment horizontal="right" vertical="center"/>
    </xf>
    <xf numFmtId="0" fontId="6" fillId="11" borderId="22" xfId="0" applyFont="1" applyFill="1" applyBorder="1" applyAlignment="1">
      <alignment horizontal="left" vertical="center"/>
    </xf>
    <xf numFmtId="10" fontId="6" fillId="11" borderId="22" xfId="0" applyNumberFormat="1" applyFont="1" applyFill="1" applyBorder="1" applyAlignment="1">
      <alignment horizontal="left" vertical="center"/>
    </xf>
    <xf numFmtId="167" fontId="3" fillId="11" borderId="22" xfId="0" applyNumberFormat="1" applyFont="1" applyFill="1" applyBorder="1" applyAlignment="1">
      <alignment horizontal="left" vertical="center"/>
    </xf>
    <xf numFmtId="0" fontId="3" fillId="11" borderId="22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49" fontId="9" fillId="6" borderId="1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12" fillId="12" borderId="22" xfId="0" applyFont="1" applyFill="1" applyBorder="1" applyAlignment="1">
      <alignment horizontal="center" vertical="center"/>
    </xf>
    <xf numFmtId="0" fontId="11" fillId="13" borderId="22" xfId="0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right" vertical="center"/>
    </xf>
    <xf numFmtId="0" fontId="11" fillId="11" borderId="22" xfId="0" applyFont="1" applyFill="1" applyBorder="1" applyAlignment="1">
      <alignment vertical="center"/>
    </xf>
    <xf numFmtId="2" fontId="12" fillId="12" borderId="22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vertical="center"/>
    </xf>
    <xf numFmtId="49" fontId="6" fillId="11" borderId="22" xfId="0" applyNumberFormat="1" applyFont="1" applyFill="1" applyBorder="1" applyAlignment="1">
      <alignment vertical="center"/>
    </xf>
    <xf numFmtId="49" fontId="12" fillId="12" borderId="22" xfId="0" applyNumberFormat="1" applyFont="1" applyFill="1" applyBorder="1" applyAlignment="1">
      <alignment horizontal="right" vertical="center"/>
    </xf>
    <xf numFmtId="0" fontId="3" fillId="14" borderId="23" xfId="0" applyFont="1" applyFill="1" applyBorder="1" applyAlignment="1">
      <alignment horizontal="right" vertical="center"/>
    </xf>
    <xf numFmtId="0" fontId="3" fillId="14" borderId="24" xfId="0" applyFont="1" applyFill="1" applyBorder="1" applyAlignment="1">
      <alignment horizontal="left" vertical="center"/>
    </xf>
    <xf numFmtId="0" fontId="3" fillId="14" borderId="24" xfId="0" applyFont="1" applyFill="1" applyBorder="1" applyAlignment="1">
      <alignment horizontal="right" vertical="center"/>
    </xf>
    <xf numFmtId="10" fontId="3" fillId="14" borderId="25" xfId="0" applyNumberFormat="1" applyFont="1" applyFill="1" applyBorder="1" applyAlignment="1">
      <alignment horizontal="left" vertical="center"/>
    </xf>
    <xf numFmtId="0" fontId="3" fillId="14" borderId="26" xfId="0" applyFont="1" applyFill="1" applyBorder="1" applyAlignment="1">
      <alignment vertical="center"/>
    </xf>
    <xf numFmtId="0" fontId="3" fillId="14" borderId="0" xfId="0" applyFont="1" applyFill="1" applyBorder="1" applyAlignment="1">
      <alignment vertical="center"/>
    </xf>
    <xf numFmtId="0" fontId="3" fillId="14" borderId="27" xfId="0" applyFont="1" applyFill="1" applyBorder="1" applyAlignment="1">
      <alignment vertical="center"/>
    </xf>
    <xf numFmtId="0" fontId="3" fillId="14" borderId="28" xfId="0" applyFont="1" applyFill="1" applyBorder="1" applyAlignment="1">
      <alignment vertical="center"/>
    </xf>
    <xf numFmtId="0" fontId="3" fillId="14" borderId="29" xfId="0" applyFont="1" applyFill="1" applyBorder="1" applyAlignment="1">
      <alignment vertical="center"/>
    </xf>
    <xf numFmtId="0" fontId="3" fillId="14" borderId="29" xfId="0" applyFont="1" applyFill="1" applyBorder="1" applyAlignment="1">
      <alignment horizontal="right" vertical="center"/>
    </xf>
    <xf numFmtId="0" fontId="3" fillId="14" borderId="29" xfId="0" applyFont="1" applyFill="1" applyBorder="1" applyAlignment="1">
      <alignment horizontal="left" vertical="center"/>
    </xf>
    <xf numFmtId="0" fontId="3" fillId="14" borderId="30" xfId="0" applyFont="1" applyFill="1" applyBorder="1" applyAlignment="1">
      <alignment vertical="center"/>
    </xf>
    <xf numFmtId="0" fontId="3" fillId="15" borderId="0" xfId="0" applyFont="1" applyFill="1" applyAlignment="1">
      <alignment horizontal="right" vertical="center"/>
    </xf>
    <xf numFmtId="10" fontId="3" fillId="15" borderId="0" xfId="0" applyNumberFormat="1" applyFont="1" applyFill="1" applyAlignment="1">
      <alignment horizontal="right" vertical="center"/>
    </xf>
    <xf numFmtId="10" fontId="3" fillId="15" borderId="0" xfId="0" applyNumberFormat="1" applyFont="1" applyFill="1" applyAlignment="1">
      <alignment vertical="center"/>
    </xf>
    <xf numFmtId="0" fontId="13" fillId="4" borderId="15" xfId="0" applyFont="1" applyFill="1" applyBorder="1" applyAlignment="1">
      <alignment horizontal="center" vertical="center"/>
    </xf>
    <xf numFmtId="49" fontId="6" fillId="10" borderId="22" xfId="0" applyNumberFormat="1" applyFont="1" applyFill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9" fontId="3" fillId="4" borderId="12" xfId="0" applyNumberFormat="1" applyFont="1" applyFill="1" applyBorder="1" applyAlignment="1">
      <alignment horizontal="center" vertical="center"/>
    </xf>
    <xf numFmtId="2" fontId="10" fillId="8" borderId="3" xfId="0" applyNumberFormat="1" applyFont="1" applyFill="1" applyBorder="1" applyAlignment="1">
      <alignment horizontal="center" vertical="center"/>
    </xf>
    <xf numFmtId="169" fontId="3" fillId="4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1006"/>
  <sheetViews>
    <sheetView tabSelected="1" topLeftCell="L25" zoomScale="85" zoomScaleNormal="85" workbookViewId="0">
      <selection activeCell="O48" sqref="O48"/>
    </sheetView>
  </sheetViews>
  <sheetFormatPr defaultColWidth="14.42578125" defaultRowHeight="15.75" customHeight="1" x14ac:dyDescent="0.2"/>
  <cols>
    <col min="1" max="1" width="14.85546875" customWidth="1"/>
    <col min="2" max="2" width="13.85546875" customWidth="1"/>
    <col min="3" max="3" width="28.42578125" customWidth="1"/>
    <col min="4" max="4" width="13.85546875" customWidth="1"/>
    <col min="5" max="5" width="23.7109375" customWidth="1"/>
    <col min="6" max="6" width="29.85546875" customWidth="1"/>
    <col min="7" max="7" width="21.140625" customWidth="1"/>
    <col min="8" max="8" width="30.28515625" customWidth="1"/>
    <col min="9" max="9" width="43.140625" customWidth="1"/>
    <col min="10" max="10" width="21.7109375" customWidth="1"/>
    <col min="11" max="11" width="25.28515625" customWidth="1"/>
    <col min="12" max="12" width="44.7109375" customWidth="1"/>
    <col min="13" max="13" width="22.5703125" customWidth="1"/>
    <col min="14" max="14" width="27.28515625" customWidth="1"/>
    <col min="15" max="15" width="25.28515625" customWidth="1"/>
    <col min="16" max="16" width="23.28515625" customWidth="1"/>
    <col min="17" max="17" width="24.7109375" customWidth="1"/>
    <col min="18" max="18" width="28.85546875" customWidth="1"/>
    <col min="19" max="19" width="27.7109375" customWidth="1"/>
    <col min="20" max="30" width="11" customWidth="1"/>
    <col min="31" max="31" width="32.28515625" customWidth="1"/>
    <col min="32" max="33" width="11" customWidth="1"/>
    <col min="34" max="34" width="31.5703125" customWidth="1"/>
    <col min="35" max="36" width="11" customWidth="1"/>
    <col min="37" max="37" width="42.85546875" customWidth="1"/>
    <col min="38" max="39" width="11" customWidth="1"/>
    <col min="40" max="40" width="44.140625" customWidth="1"/>
    <col min="41" max="60" width="11" customWidth="1"/>
  </cols>
  <sheetData>
    <row r="1" spans="1:60" ht="18.75" customHeight="1" x14ac:dyDescent="0.25">
      <c r="A1" s="217" t="s">
        <v>0</v>
      </c>
      <c r="B1" s="218"/>
      <c r="C1" s="219"/>
      <c r="D1" s="220" t="s">
        <v>1</v>
      </c>
      <c r="E1" s="218"/>
      <c r="F1" s="219"/>
      <c r="G1" s="221" t="s">
        <v>2</v>
      </c>
      <c r="H1" s="218"/>
      <c r="I1" s="219"/>
      <c r="J1" s="222" t="s">
        <v>3</v>
      </c>
      <c r="K1" s="218"/>
      <c r="L1" s="2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  <c r="AC1" s="217" t="s">
        <v>0</v>
      </c>
      <c r="AD1" s="218"/>
      <c r="AE1" s="219"/>
      <c r="AF1" s="220" t="s">
        <v>1</v>
      </c>
      <c r="AG1" s="218"/>
      <c r="AH1" s="219"/>
      <c r="AI1" s="221" t="s">
        <v>2</v>
      </c>
      <c r="AJ1" s="218"/>
      <c r="AK1" s="219"/>
      <c r="AL1" s="222" t="s">
        <v>3</v>
      </c>
      <c r="AM1" s="218"/>
      <c r="AN1" s="219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ht="18.75" customHeight="1" thickTop="1" thickBot="1" x14ac:dyDescent="0.3">
      <c r="A2" s="217" t="s">
        <v>4</v>
      </c>
      <c r="B2" s="218"/>
      <c r="C2" s="219"/>
      <c r="D2" s="220" t="s">
        <v>4</v>
      </c>
      <c r="E2" s="218"/>
      <c r="F2" s="219"/>
      <c r="G2" s="221" t="s">
        <v>4</v>
      </c>
      <c r="H2" s="218"/>
      <c r="I2" s="219"/>
      <c r="J2" s="222" t="s">
        <v>4</v>
      </c>
      <c r="K2" s="218"/>
      <c r="L2" s="21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2"/>
      <c r="AB2" s="2"/>
      <c r="AC2" s="217" t="s">
        <v>4</v>
      </c>
      <c r="AD2" s="218"/>
      <c r="AE2" s="219"/>
      <c r="AF2" s="220" t="s">
        <v>4</v>
      </c>
      <c r="AG2" s="218"/>
      <c r="AH2" s="219"/>
      <c r="AI2" s="221" t="s">
        <v>4</v>
      </c>
      <c r="AJ2" s="218"/>
      <c r="AK2" s="219"/>
      <c r="AL2" s="222" t="s">
        <v>4</v>
      </c>
      <c r="AM2" s="218"/>
      <c r="AN2" s="219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spans="1:60" ht="18.75" customHeight="1" thickTop="1" x14ac:dyDescent="0.25">
      <c r="A3" s="5" t="s">
        <v>5</v>
      </c>
      <c r="B3" s="6">
        <v>8</v>
      </c>
      <c r="C3" s="7"/>
      <c r="D3" s="8" t="s">
        <v>5</v>
      </c>
      <c r="E3" s="9">
        <v>6</v>
      </c>
      <c r="F3" s="10"/>
      <c r="G3" s="11" t="s">
        <v>5</v>
      </c>
      <c r="H3" s="12">
        <v>6</v>
      </c>
      <c r="I3" s="13" t="s">
        <v>6</v>
      </c>
      <c r="J3" s="14" t="s">
        <v>5</v>
      </c>
      <c r="K3" s="15">
        <v>0</v>
      </c>
      <c r="L3" s="16"/>
      <c r="M3" s="1"/>
      <c r="N3" s="223" t="s">
        <v>78</v>
      </c>
      <c r="O3" s="211"/>
      <c r="P3" s="1"/>
      <c r="Q3" s="1"/>
      <c r="R3" s="1"/>
      <c r="S3" s="1"/>
      <c r="T3" s="1"/>
      <c r="U3" s="1"/>
      <c r="V3" s="1"/>
      <c r="W3" s="1"/>
      <c r="X3" s="1"/>
      <c r="Y3" s="1"/>
      <c r="Z3" s="2"/>
      <c r="AA3" s="2"/>
      <c r="AB3" s="2"/>
      <c r="AC3" s="17" t="s">
        <v>5</v>
      </c>
      <c r="AD3" s="6">
        <v>0</v>
      </c>
      <c r="AE3" s="7"/>
      <c r="AF3" s="8" t="s">
        <v>5</v>
      </c>
      <c r="AG3" s="18">
        <v>0</v>
      </c>
      <c r="AH3" s="10"/>
      <c r="AI3" s="11" t="s">
        <v>5</v>
      </c>
      <c r="AJ3" s="19">
        <v>0</v>
      </c>
      <c r="AK3" s="13" t="s">
        <v>6</v>
      </c>
      <c r="AL3" s="14" t="s">
        <v>5</v>
      </c>
      <c r="AM3" s="20">
        <v>0</v>
      </c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8.75" customHeight="1" x14ac:dyDescent="0.25">
      <c r="A4" s="5" t="s">
        <v>7</v>
      </c>
      <c r="B4" s="6">
        <v>8</v>
      </c>
      <c r="C4" s="7"/>
      <c r="D4" s="8" t="s">
        <v>7</v>
      </c>
      <c r="E4" s="9">
        <v>10</v>
      </c>
      <c r="F4" s="10"/>
      <c r="G4" s="11" t="s">
        <v>7</v>
      </c>
      <c r="H4" s="12">
        <v>6</v>
      </c>
      <c r="I4" s="13" t="s">
        <v>8</v>
      </c>
      <c r="J4" s="14" t="s">
        <v>7</v>
      </c>
      <c r="K4" s="15">
        <v>10</v>
      </c>
      <c r="L4" s="16"/>
      <c r="M4" s="1"/>
      <c r="N4" s="211"/>
      <c r="O4" s="211"/>
      <c r="P4" s="1"/>
      <c r="Q4" s="1"/>
      <c r="R4" s="1"/>
      <c r="S4" s="1"/>
      <c r="T4" s="1"/>
      <c r="U4" s="1"/>
      <c r="V4" s="1"/>
      <c r="W4" s="1"/>
      <c r="X4" s="1"/>
      <c r="Y4" s="1"/>
      <c r="Z4" s="2"/>
      <c r="AA4" s="2"/>
      <c r="AB4" s="2"/>
      <c r="AC4" s="17" t="s">
        <v>7</v>
      </c>
      <c r="AD4" s="6">
        <v>22</v>
      </c>
      <c r="AE4" s="7"/>
      <c r="AF4" s="8" t="s">
        <v>7</v>
      </c>
      <c r="AG4" s="18">
        <v>8</v>
      </c>
      <c r="AH4" s="10"/>
      <c r="AI4" s="11" t="s">
        <v>7</v>
      </c>
      <c r="AJ4" s="19">
        <v>14</v>
      </c>
      <c r="AK4" s="13" t="s">
        <v>8</v>
      </c>
      <c r="AL4" s="14" t="s">
        <v>7</v>
      </c>
      <c r="AM4" s="20">
        <v>10</v>
      </c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ht="18.75" customHeight="1" x14ac:dyDescent="0.25">
      <c r="A5" s="5"/>
      <c r="B5" s="6"/>
      <c r="C5" s="7"/>
      <c r="D5" s="8"/>
      <c r="E5" s="9"/>
      <c r="F5" s="10"/>
      <c r="G5" s="11" t="s">
        <v>9</v>
      </c>
      <c r="H5" s="12">
        <v>9</v>
      </c>
      <c r="I5" s="13" t="s">
        <v>10</v>
      </c>
      <c r="J5" s="14" t="s">
        <v>9</v>
      </c>
      <c r="K5" s="15">
        <v>2</v>
      </c>
      <c r="L5" s="16"/>
      <c r="M5" s="1"/>
      <c r="N5" s="211"/>
      <c r="O5" s="211"/>
      <c r="P5" s="1"/>
      <c r="Q5" s="1"/>
      <c r="R5" s="1"/>
      <c r="S5" s="1"/>
      <c r="T5" s="1"/>
      <c r="U5" s="1"/>
      <c r="V5" s="1"/>
      <c r="W5" s="1"/>
      <c r="X5" s="1"/>
      <c r="Y5" s="1"/>
      <c r="Z5" s="2"/>
      <c r="AA5" s="2"/>
      <c r="AB5" s="2"/>
      <c r="AC5" s="17"/>
      <c r="AD5" s="6"/>
      <c r="AE5" s="7"/>
      <c r="AF5" s="8"/>
      <c r="AG5" s="18"/>
      <c r="AH5" s="10"/>
      <c r="AI5" s="11" t="s">
        <v>9</v>
      </c>
      <c r="AJ5" s="19">
        <v>12</v>
      </c>
      <c r="AK5" s="13" t="s">
        <v>10</v>
      </c>
      <c r="AL5" s="14" t="s">
        <v>9</v>
      </c>
      <c r="AM5" s="20">
        <v>2</v>
      </c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18.75" customHeight="1" x14ac:dyDescent="0.25">
      <c r="A6" s="5" t="s">
        <v>11</v>
      </c>
      <c r="B6" s="6">
        <v>395.28</v>
      </c>
      <c r="C6" s="7"/>
      <c r="D6" s="8" t="s">
        <v>11</v>
      </c>
      <c r="E6" s="9">
        <v>437.97</v>
      </c>
      <c r="F6" s="10"/>
      <c r="G6" s="11" t="s">
        <v>11</v>
      </c>
      <c r="H6" s="12">
        <v>268.956006</v>
      </c>
      <c r="I6" s="13" t="s">
        <v>12</v>
      </c>
      <c r="J6" s="14" t="s">
        <v>11</v>
      </c>
      <c r="K6" s="15">
        <v>3537.58</v>
      </c>
      <c r="L6" s="20" t="s">
        <v>13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  <c r="AA6" s="2"/>
      <c r="AB6" s="2"/>
      <c r="AC6" s="17" t="s">
        <v>11</v>
      </c>
      <c r="AD6" s="6">
        <v>2010</v>
      </c>
      <c r="AE6" s="7"/>
      <c r="AF6" s="8" t="s">
        <v>11</v>
      </c>
      <c r="AG6" s="18">
        <v>150</v>
      </c>
      <c r="AH6" s="10"/>
      <c r="AI6" s="11" t="s">
        <v>11</v>
      </c>
      <c r="AJ6" s="19">
        <v>25400</v>
      </c>
      <c r="AK6" s="13" t="s">
        <v>12</v>
      </c>
      <c r="AL6" s="14" t="s">
        <v>11</v>
      </c>
      <c r="AM6" s="20">
        <v>3537.58</v>
      </c>
      <c r="AN6" s="20" t="s">
        <v>13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ht="18.75" customHeight="1" x14ac:dyDescent="0.25">
      <c r="A7" s="5"/>
      <c r="B7" s="6"/>
      <c r="C7" s="7"/>
      <c r="D7" s="8"/>
      <c r="E7" s="9"/>
      <c r="F7" s="10"/>
      <c r="G7" s="11" t="s">
        <v>14</v>
      </c>
      <c r="H7" s="21">
        <f>H8/H5</f>
        <v>5.9888888888888891E-3</v>
      </c>
      <c r="I7" s="22" t="s">
        <v>15</v>
      </c>
      <c r="J7" s="14" t="s">
        <v>14</v>
      </c>
      <c r="K7" s="23">
        <f>K8/K5</f>
        <v>0.04</v>
      </c>
      <c r="L7" s="20" t="s">
        <v>15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2"/>
      <c r="AA7" s="2"/>
      <c r="AB7" s="2"/>
      <c r="AC7" s="17"/>
      <c r="AD7" s="6"/>
      <c r="AE7" s="7"/>
      <c r="AF7" s="8"/>
      <c r="AG7" s="18"/>
      <c r="AH7" s="10"/>
      <c r="AI7" s="11" t="s">
        <v>14</v>
      </c>
      <c r="AJ7" s="24">
        <f>AJ8/AJ5</f>
        <v>1.35E-2</v>
      </c>
      <c r="AK7" s="22" t="s">
        <v>15</v>
      </c>
      <c r="AL7" s="14" t="s">
        <v>14</v>
      </c>
      <c r="AM7" s="25">
        <f>AM8/AM5</f>
        <v>0.04</v>
      </c>
      <c r="AN7" s="20" t="s">
        <v>15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ht="18.75" customHeight="1" x14ac:dyDescent="0.25">
      <c r="A8" s="26" t="s">
        <v>16</v>
      </c>
      <c r="B8" s="27">
        <v>2.86E-2</v>
      </c>
      <c r="C8" s="7"/>
      <c r="D8" s="28" t="s">
        <v>16</v>
      </c>
      <c r="E8" s="29">
        <v>9.7799999999999998E-2</v>
      </c>
      <c r="F8" s="10"/>
      <c r="G8" s="30" t="s">
        <v>16</v>
      </c>
      <c r="H8" s="31">
        <v>5.3900000000000003E-2</v>
      </c>
      <c r="I8" s="13" t="s">
        <v>17</v>
      </c>
      <c r="J8" s="32" t="s">
        <v>16</v>
      </c>
      <c r="K8" s="33">
        <v>0.08</v>
      </c>
      <c r="L8" s="3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"/>
      <c r="AA8" s="2"/>
      <c r="AB8" s="2"/>
      <c r="AC8" s="35" t="s">
        <v>16</v>
      </c>
      <c r="AD8" s="27">
        <v>0.129</v>
      </c>
      <c r="AE8" s="7"/>
      <c r="AF8" s="28" t="s">
        <v>16</v>
      </c>
      <c r="AG8" s="36">
        <v>8.4000000000000005E-2</v>
      </c>
      <c r="AH8" s="10"/>
      <c r="AI8" s="30" t="s">
        <v>16</v>
      </c>
      <c r="AJ8" s="37">
        <v>0.16200000000000001</v>
      </c>
      <c r="AK8" s="13" t="s">
        <v>17</v>
      </c>
      <c r="AL8" s="32" t="s">
        <v>16</v>
      </c>
      <c r="AM8" s="38">
        <v>0.08</v>
      </c>
      <c r="AN8" s="34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</row>
    <row r="9" spans="1:60" ht="18.75" customHeight="1" x14ac:dyDescent="0.25">
      <c r="A9" s="5" t="s">
        <v>18</v>
      </c>
      <c r="B9" s="40">
        <f>B8+1</f>
        <v>1.0286</v>
      </c>
      <c r="C9" s="6" t="s">
        <v>19</v>
      </c>
      <c r="D9" s="8" t="s">
        <v>18</v>
      </c>
      <c r="E9" s="41">
        <f>E8+1</f>
        <v>1.0977999999999999</v>
      </c>
      <c r="F9" s="18" t="s">
        <v>19</v>
      </c>
      <c r="G9" s="11" t="s">
        <v>18</v>
      </c>
      <c r="H9" s="42">
        <f>1+H7</f>
        <v>1.0059888888888888</v>
      </c>
      <c r="I9" s="19" t="s">
        <v>20</v>
      </c>
      <c r="J9" s="14" t="s">
        <v>18</v>
      </c>
      <c r="K9" s="43">
        <f>K7+1</f>
        <v>1.04</v>
      </c>
      <c r="L9" s="20" t="s">
        <v>20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  <c r="AA9" s="2"/>
      <c r="AB9" s="2"/>
      <c r="AC9" s="17" t="s">
        <v>18</v>
      </c>
      <c r="AD9" s="40">
        <f>AD8+1</f>
        <v>1.129</v>
      </c>
      <c r="AE9" s="6" t="s">
        <v>19</v>
      </c>
      <c r="AF9" s="8" t="s">
        <v>18</v>
      </c>
      <c r="AG9" s="44">
        <f>AG8+1</f>
        <v>1.0840000000000001</v>
      </c>
      <c r="AH9" s="18" t="s">
        <v>19</v>
      </c>
      <c r="AI9" s="11" t="s">
        <v>18</v>
      </c>
      <c r="AJ9" s="45">
        <f>1+AJ7</f>
        <v>1.0135000000000001</v>
      </c>
      <c r="AK9" s="19" t="s">
        <v>20</v>
      </c>
      <c r="AL9" s="14" t="s">
        <v>18</v>
      </c>
      <c r="AM9" s="46">
        <f>AM7+1</f>
        <v>1.04</v>
      </c>
      <c r="AN9" s="20" t="s">
        <v>20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ht="18.75" customHeight="1" x14ac:dyDescent="0.25">
      <c r="A10" s="26" t="s">
        <v>21</v>
      </c>
      <c r="B10" s="47">
        <f>1/B9</f>
        <v>0.97219521679953336</v>
      </c>
      <c r="C10" s="6" t="s">
        <v>22</v>
      </c>
      <c r="D10" s="28" t="s">
        <v>21</v>
      </c>
      <c r="E10" s="48">
        <f>1/E9</f>
        <v>0.91091273456002919</v>
      </c>
      <c r="F10" s="18" t="s">
        <v>22</v>
      </c>
      <c r="G10" s="30" t="s">
        <v>21</v>
      </c>
      <c r="H10" s="49">
        <f>1/H9</f>
        <v>0.99404676437778205</v>
      </c>
      <c r="I10" s="19" t="s">
        <v>22</v>
      </c>
      <c r="J10" s="32" t="s">
        <v>21</v>
      </c>
      <c r="K10" s="50">
        <f>1/K9</f>
        <v>0.96153846153846145</v>
      </c>
      <c r="L10" s="20" t="s">
        <v>22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  <c r="AA10" s="2"/>
      <c r="AB10" s="2"/>
      <c r="AC10" s="35" t="s">
        <v>21</v>
      </c>
      <c r="AD10" s="47">
        <f>1/AD9</f>
        <v>0.8857395925597874</v>
      </c>
      <c r="AE10" s="6" t="s">
        <v>22</v>
      </c>
      <c r="AF10" s="28" t="s">
        <v>21</v>
      </c>
      <c r="AG10" s="51">
        <f>1/AG9</f>
        <v>0.92250922509225086</v>
      </c>
      <c r="AH10" s="18" t="s">
        <v>22</v>
      </c>
      <c r="AI10" s="30" t="s">
        <v>21</v>
      </c>
      <c r="AJ10" s="52">
        <f>1/AJ9</f>
        <v>0.98667982239763186</v>
      </c>
      <c r="AK10" s="19" t="s">
        <v>22</v>
      </c>
      <c r="AL10" s="32" t="s">
        <v>21</v>
      </c>
      <c r="AM10" s="53">
        <f>1/AM9</f>
        <v>0.96153846153846145</v>
      </c>
      <c r="AN10" s="20" t="s">
        <v>22</v>
      </c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ht="18.75" customHeight="1" x14ac:dyDescent="0.25">
      <c r="A11" s="54" t="s">
        <v>23</v>
      </c>
      <c r="B11" s="182">
        <f>B6*(1-B10^B4)/B8*B9^B3</f>
        <v>3497.5486415037831</v>
      </c>
      <c r="C11" s="6" t="s">
        <v>24</v>
      </c>
      <c r="D11" s="55" t="s">
        <v>23</v>
      </c>
      <c r="E11" s="56">
        <f>E6*(1-E10^E4)/E8*E9^(E3+1)</f>
        <v>5220.5192248278663</v>
      </c>
      <c r="F11" s="18" t="s">
        <v>25</v>
      </c>
      <c r="G11" s="57" t="s">
        <v>26</v>
      </c>
      <c r="H11" s="58">
        <f>H6*(1-H10^(H4*H5))/H7*H9^(H3*H5)</f>
        <v>17087.298735679284</v>
      </c>
      <c r="I11" s="19" t="s">
        <v>27</v>
      </c>
      <c r="J11" s="59" t="s">
        <v>26</v>
      </c>
      <c r="K11" s="60">
        <f>K6*((1-K10^(K4*K5))/K7)*K9^(K3*K5+1)</f>
        <v>49999.941338288118</v>
      </c>
      <c r="L11" s="20" t="s">
        <v>28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  <c r="AA11" s="2"/>
      <c r="AB11" s="2"/>
      <c r="AC11" s="61" t="s">
        <v>23</v>
      </c>
      <c r="AD11" s="62">
        <f>AD6*(1-AD10^AD4)/AD8*AD9^AD3</f>
        <v>14501.604544154739</v>
      </c>
      <c r="AE11" s="6" t="s">
        <v>24</v>
      </c>
      <c r="AF11" s="55" t="s">
        <v>23</v>
      </c>
      <c r="AG11" s="56">
        <f>AG6*(1-AG10^AG4)/AG8*AG9^(AG3+1)</f>
        <v>920.38480218675704</v>
      </c>
      <c r="AH11" s="18" t="s">
        <v>25</v>
      </c>
      <c r="AI11" s="57" t="s">
        <v>26</v>
      </c>
      <c r="AJ11" s="58">
        <f>AJ6*(1-AJ10^(AJ4*AJ5))/AJ7*AJ9^(AJ3*AJ5)</f>
        <v>1683734.6929058551</v>
      </c>
      <c r="AK11" s="19" t="s">
        <v>27</v>
      </c>
      <c r="AL11" s="59" t="s">
        <v>26</v>
      </c>
      <c r="AM11" s="60">
        <f>AM6*((1-AM10^(AM4*AM5))/AM7)*AM9^(AM3*AM5+1)</f>
        <v>49999.941338288118</v>
      </c>
      <c r="AN11" s="20" t="s">
        <v>28</v>
      </c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ht="18.75" customHeight="1" x14ac:dyDescent="0.25">
      <c r="A12" s="217" t="s">
        <v>29</v>
      </c>
      <c r="B12" s="218"/>
      <c r="C12" s="219"/>
      <c r="D12" s="220" t="s">
        <v>29</v>
      </c>
      <c r="E12" s="218"/>
      <c r="F12" s="219"/>
      <c r="G12" s="221" t="s">
        <v>29</v>
      </c>
      <c r="H12" s="218"/>
      <c r="I12" s="219"/>
      <c r="J12" s="222" t="s">
        <v>29</v>
      </c>
      <c r="K12" s="218"/>
      <c r="L12" s="21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  <c r="AA12" s="2"/>
      <c r="AB12" s="2"/>
      <c r="AC12" s="217" t="s">
        <v>29</v>
      </c>
      <c r="AD12" s="218"/>
      <c r="AE12" s="219"/>
      <c r="AF12" s="220" t="s">
        <v>29</v>
      </c>
      <c r="AG12" s="218"/>
      <c r="AH12" s="219"/>
      <c r="AI12" s="221" t="s">
        <v>29</v>
      </c>
      <c r="AJ12" s="218"/>
      <c r="AK12" s="219"/>
      <c r="AL12" s="222" t="s">
        <v>29</v>
      </c>
      <c r="AM12" s="218"/>
      <c r="AN12" s="219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ht="18.75" customHeight="1" x14ac:dyDescent="0.25">
      <c r="A13" s="63" t="s">
        <v>5</v>
      </c>
      <c r="B13" s="64">
        <v>0</v>
      </c>
      <c r="C13" s="7"/>
      <c r="D13" s="8" t="s">
        <v>5</v>
      </c>
      <c r="E13" s="9">
        <v>0</v>
      </c>
      <c r="F13" s="10"/>
      <c r="G13" s="11" t="s">
        <v>5</v>
      </c>
      <c r="H13" s="12">
        <v>7</v>
      </c>
      <c r="I13" s="13" t="s">
        <v>6</v>
      </c>
      <c r="J13" s="14" t="s">
        <v>5</v>
      </c>
      <c r="K13" s="15">
        <v>0</v>
      </c>
      <c r="L13" s="1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"/>
      <c r="AA13" s="2"/>
      <c r="AB13" s="2"/>
      <c r="AC13" s="17" t="s">
        <v>5</v>
      </c>
      <c r="AD13" s="6">
        <v>0</v>
      </c>
      <c r="AE13" s="7"/>
      <c r="AF13" s="8" t="s">
        <v>5</v>
      </c>
      <c r="AG13" s="18">
        <v>0</v>
      </c>
      <c r="AH13" s="10"/>
      <c r="AI13" s="11" t="s">
        <v>5</v>
      </c>
      <c r="AJ13" s="19">
        <v>0</v>
      </c>
      <c r="AK13" s="13" t="s">
        <v>6</v>
      </c>
      <c r="AL13" s="14" t="s">
        <v>5</v>
      </c>
      <c r="AM13" s="20">
        <v>0</v>
      </c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ht="18.75" customHeight="1" x14ac:dyDescent="0.25">
      <c r="A14" s="63"/>
      <c r="B14" s="64"/>
      <c r="C14" s="7"/>
      <c r="D14" s="8"/>
      <c r="E14" s="9"/>
      <c r="F14" s="10"/>
      <c r="G14" s="11" t="s">
        <v>9</v>
      </c>
      <c r="H14" s="12">
        <v>2</v>
      </c>
      <c r="I14" s="13" t="s">
        <v>8</v>
      </c>
      <c r="J14" s="14" t="s">
        <v>9</v>
      </c>
      <c r="K14" s="15">
        <v>8</v>
      </c>
      <c r="L14" s="1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2"/>
      <c r="AA14" s="2"/>
      <c r="AB14" s="2"/>
      <c r="AC14" s="17"/>
      <c r="AD14" s="6"/>
      <c r="AE14" s="7"/>
      <c r="AF14" s="8"/>
      <c r="AG14" s="18"/>
      <c r="AH14" s="10"/>
      <c r="AI14" s="11" t="s">
        <v>9</v>
      </c>
      <c r="AJ14" s="19">
        <v>8</v>
      </c>
      <c r="AK14" s="13" t="s">
        <v>8</v>
      </c>
      <c r="AL14" s="14" t="s">
        <v>9</v>
      </c>
      <c r="AM14" s="20">
        <v>2</v>
      </c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ht="18.75" customHeight="1" x14ac:dyDescent="0.25">
      <c r="A15" s="63" t="s">
        <v>23</v>
      </c>
      <c r="B15" s="64">
        <v>1969.03</v>
      </c>
      <c r="C15" s="7"/>
      <c r="D15" s="8" t="s">
        <v>23</v>
      </c>
      <c r="E15" s="9">
        <v>2356</v>
      </c>
      <c r="F15" s="10"/>
      <c r="G15" s="11" t="s">
        <v>26</v>
      </c>
      <c r="H15" s="12">
        <f>1948-(1948*0.57)</f>
        <v>837.6400000000001</v>
      </c>
      <c r="I15" s="13" t="s">
        <v>10</v>
      </c>
      <c r="J15" s="14" t="s">
        <v>26</v>
      </c>
      <c r="K15" s="15">
        <v>2040.05</v>
      </c>
      <c r="L15" s="1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  <c r="AA15" s="2"/>
      <c r="AB15" s="2"/>
      <c r="AC15" s="17" t="s">
        <v>23</v>
      </c>
      <c r="AD15" s="6">
        <v>2010</v>
      </c>
      <c r="AE15" s="7"/>
      <c r="AF15" s="8" t="s">
        <v>23</v>
      </c>
      <c r="AG15" s="18">
        <v>25</v>
      </c>
      <c r="AH15" s="10"/>
      <c r="AI15" s="11" t="s">
        <v>26</v>
      </c>
      <c r="AJ15" s="19">
        <v>4500</v>
      </c>
      <c r="AK15" s="13" t="s">
        <v>10</v>
      </c>
      <c r="AL15" s="14" t="s">
        <v>26</v>
      </c>
      <c r="AM15" s="20">
        <v>50000</v>
      </c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ht="18.75" customHeight="1" x14ac:dyDescent="0.25">
      <c r="A16" s="63" t="s">
        <v>16</v>
      </c>
      <c r="B16" s="65">
        <v>4.3200000000000002E-2</v>
      </c>
      <c r="C16" s="7"/>
      <c r="D16" s="8" t="s">
        <v>16</v>
      </c>
      <c r="E16" s="66">
        <v>0.1598</v>
      </c>
      <c r="F16" s="10"/>
      <c r="G16" s="11" t="s">
        <v>16</v>
      </c>
      <c r="H16" s="67">
        <v>6.7599999999999993E-2</v>
      </c>
      <c r="I16" s="13" t="s">
        <v>30</v>
      </c>
      <c r="J16" s="14" t="s">
        <v>16</v>
      </c>
      <c r="K16" s="68">
        <v>6.88E-2</v>
      </c>
      <c r="L16" s="20" t="s">
        <v>13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  <c r="AA16" s="2"/>
      <c r="AB16" s="2"/>
      <c r="AC16" s="17" t="s">
        <v>16</v>
      </c>
      <c r="AD16" s="69">
        <v>0.129</v>
      </c>
      <c r="AE16" s="7"/>
      <c r="AF16" s="8" t="s">
        <v>16</v>
      </c>
      <c r="AG16" s="70">
        <v>8.4000000000000005E-2</v>
      </c>
      <c r="AH16" s="10"/>
      <c r="AI16" s="11" t="s">
        <v>16</v>
      </c>
      <c r="AJ16" s="71">
        <v>6.88E-2</v>
      </c>
      <c r="AK16" s="13" t="s">
        <v>30</v>
      </c>
      <c r="AL16" s="14" t="s">
        <v>16</v>
      </c>
      <c r="AM16" s="72">
        <v>0.08</v>
      </c>
      <c r="AN16" s="20" t="s">
        <v>13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ht="18.75" customHeight="1" x14ac:dyDescent="0.25">
      <c r="A17" s="63"/>
      <c r="B17" s="65"/>
      <c r="C17" s="7"/>
      <c r="D17" s="8"/>
      <c r="E17" s="66"/>
      <c r="F17" s="10"/>
      <c r="G17" s="11" t="s">
        <v>14</v>
      </c>
      <c r="H17" s="73">
        <f>H16/H14</f>
        <v>3.3799999999999997E-2</v>
      </c>
      <c r="I17" s="22" t="s">
        <v>15</v>
      </c>
      <c r="J17" s="74" t="s">
        <v>14</v>
      </c>
      <c r="K17" s="75">
        <f>K16/K14</f>
        <v>8.6E-3</v>
      </c>
      <c r="L17" s="20" t="s">
        <v>15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  <c r="AA17" s="2"/>
      <c r="AB17" s="2"/>
      <c r="AC17" s="17"/>
      <c r="AD17" s="69"/>
      <c r="AE17" s="7"/>
      <c r="AF17" s="8"/>
      <c r="AG17" s="70"/>
      <c r="AH17" s="10"/>
      <c r="AI17" s="11" t="s">
        <v>14</v>
      </c>
      <c r="AJ17" s="76">
        <f>AJ16/AJ14</f>
        <v>8.6E-3</v>
      </c>
      <c r="AK17" s="22" t="s">
        <v>15</v>
      </c>
      <c r="AL17" s="74" t="s">
        <v>14</v>
      </c>
      <c r="AM17" s="77">
        <f>AM16/AM14</f>
        <v>0.04</v>
      </c>
      <c r="AN17" s="20" t="s">
        <v>15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ht="18.75" customHeight="1" x14ac:dyDescent="0.25">
      <c r="A18" s="63" t="s">
        <v>7</v>
      </c>
      <c r="B18" s="78">
        <v>11</v>
      </c>
      <c r="C18" s="79"/>
      <c r="D18" s="8" t="s">
        <v>7</v>
      </c>
      <c r="E18" s="80">
        <v>2</v>
      </c>
      <c r="F18" s="81"/>
      <c r="G18" s="11" t="s">
        <v>7</v>
      </c>
      <c r="H18" s="82">
        <v>7</v>
      </c>
      <c r="I18" s="13" t="s">
        <v>17</v>
      </c>
      <c r="J18" s="14" t="s">
        <v>7</v>
      </c>
      <c r="K18" s="83">
        <v>4</v>
      </c>
      <c r="L18" s="3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  <c r="AA18" s="2"/>
      <c r="AB18" s="2"/>
      <c r="AC18" s="17" t="s">
        <v>7</v>
      </c>
      <c r="AD18" s="84">
        <v>22.74</v>
      </c>
      <c r="AE18" s="79"/>
      <c r="AF18" s="8" t="s">
        <v>7</v>
      </c>
      <c r="AG18" s="85">
        <v>16</v>
      </c>
      <c r="AH18" s="81"/>
      <c r="AI18" s="11" t="s">
        <v>7</v>
      </c>
      <c r="AJ18" s="86">
        <v>0.8</v>
      </c>
      <c r="AK18" s="13" t="s">
        <v>17</v>
      </c>
      <c r="AL18" s="14" t="s">
        <v>7</v>
      </c>
      <c r="AM18" s="87">
        <v>10</v>
      </c>
      <c r="AN18" s="34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</row>
    <row r="19" spans="1:60" ht="18.75" customHeight="1" x14ac:dyDescent="0.25">
      <c r="A19" s="88" t="s">
        <v>18</v>
      </c>
      <c r="B19" s="89">
        <f>1+B16</f>
        <v>1.0431999999999999</v>
      </c>
      <c r="C19" s="6" t="s">
        <v>19</v>
      </c>
      <c r="D19" s="90" t="s">
        <v>18</v>
      </c>
      <c r="E19" s="91">
        <f>1+E16</f>
        <v>1.1597999999999999</v>
      </c>
      <c r="F19" s="18" t="s">
        <v>19</v>
      </c>
      <c r="G19" s="92" t="s">
        <v>18</v>
      </c>
      <c r="H19" s="226">
        <f>H17+1</f>
        <v>1.0338000000000001</v>
      </c>
      <c r="I19" s="19" t="s">
        <v>20</v>
      </c>
      <c r="J19" s="94" t="s">
        <v>18</v>
      </c>
      <c r="K19" s="95">
        <f>K17+1</f>
        <v>1.0085999999999999</v>
      </c>
      <c r="L19" s="20" t="s">
        <v>20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  <c r="AA19" s="2"/>
      <c r="AB19" s="2"/>
      <c r="AC19" s="96" t="s">
        <v>18</v>
      </c>
      <c r="AD19" s="89">
        <f>1+AD16</f>
        <v>1.129</v>
      </c>
      <c r="AE19" s="6" t="s">
        <v>19</v>
      </c>
      <c r="AF19" s="90" t="s">
        <v>18</v>
      </c>
      <c r="AG19" s="97">
        <f>1+AG16</f>
        <v>1.0840000000000001</v>
      </c>
      <c r="AH19" s="18" t="s">
        <v>19</v>
      </c>
      <c r="AI19" s="92" t="s">
        <v>18</v>
      </c>
      <c r="AJ19" s="98">
        <f>AJ17+1</f>
        <v>1.0085999999999999</v>
      </c>
      <c r="AK19" s="19" t="s">
        <v>20</v>
      </c>
      <c r="AL19" s="94" t="s">
        <v>18</v>
      </c>
      <c r="AM19" s="99">
        <f>AM17+1</f>
        <v>1.04</v>
      </c>
      <c r="AN19" s="20" t="s">
        <v>20</v>
      </c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ht="18.75" customHeight="1" x14ac:dyDescent="0.25">
      <c r="A20" s="100" t="s">
        <v>21</v>
      </c>
      <c r="B20" s="47">
        <f>1/B19</f>
        <v>0.95858895705521485</v>
      </c>
      <c r="C20" s="6" t="s">
        <v>22</v>
      </c>
      <c r="D20" s="28" t="s">
        <v>21</v>
      </c>
      <c r="E20" s="48">
        <f>1/E19</f>
        <v>0.86221762372822908</v>
      </c>
      <c r="F20" s="18" t="s">
        <v>22</v>
      </c>
      <c r="G20" s="30" t="s">
        <v>21</v>
      </c>
      <c r="H20" s="224">
        <f>1/H19</f>
        <v>0.967305088024763</v>
      </c>
      <c r="I20" s="19" t="s">
        <v>22</v>
      </c>
      <c r="J20" s="32" t="s">
        <v>21</v>
      </c>
      <c r="K20" s="50">
        <f>1/K19</f>
        <v>0.99147332936744004</v>
      </c>
      <c r="L20" s="20" t="s">
        <v>22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"/>
      <c r="AA20" s="2"/>
      <c r="AB20" s="2"/>
      <c r="AC20" s="35" t="s">
        <v>21</v>
      </c>
      <c r="AD20" s="47">
        <f>1/AD19</f>
        <v>0.8857395925597874</v>
      </c>
      <c r="AE20" s="6" t="s">
        <v>22</v>
      </c>
      <c r="AF20" s="28" t="s">
        <v>21</v>
      </c>
      <c r="AG20" s="51">
        <f>1/AG19</f>
        <v>0.92250922509225086</v>
      </c>
      <c r="AH20" s="18" t="s">
        <v>22</v>
      </c>
      <c r="AI20" s="30" t="s">
        <v>21</v>
      </c>
      <c r="AJ20" s="52">
        <f>1/AJ19</f>
        <v>0.99147332936744004</v>
      </c>
      <c r="AK20" s="19" t="s">
        <v>22</v>
      </c>
      <c r="AL20" s="32" t="s">
        <v>21</v>
      </c>
      <c r="AM20" s="53">
        <f>1/AM19</f>
        <v>0.96153846153846145</v>
      </c>
      <c r="AN20" s="20" t="s">
        <v>22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ht="18.75" customHeight="1" x14ac:dyDescent="0.25">
      <c r="A21" s="101" t="s">
        <v>11</v>
      </c>
      <c r="B21" s="164">
        <f>B15*B16/(1-B20^B18)/B19^B13</f>
        <v>228.65887655947435</v>
      </c>
      <c r="C21" s="103" t="s">
        <v>31</v>
      </c>
      <c r="D21" s="104" t="s">
        <v>11</v>
      </c>
      <c r="E21" s="165">
        <f>E15*E16/(1-E20^E18)/E19^(E13+1)</f>
        <v>1265.1582553940184</v>
      </c>
      <c r="F21" s="106" t="s">
        <v>32</v>
      </c>
      <c r="G21" s="107" t="s">
        <v>11</v>
      </c>
      <c r="H21" s="225">
        <f>H15/((1-H20^(H18*H14))/H17)</f>
        <v>76.087143218230977</v>
      </c>
      <c r="I21" s="109" t="s">
        <v>33</v>
      </c>
      <c r="J21" s="110" t="s">
        <v>11</v>
      </c>
      <c r="K21" s="163">
        <f>K15*K17/((1-K20^(K18*K14))*K19^(K13*K14+1))</f>
        <v>72.573517242821282</v>
      </c>
      <c r="L21" s="20" t="s">
        <v>34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2"/>
      <c r="AA21" s="2"/>
      <c r="AB21" s="2"/>
      <c r="AC21" s="101" t="s">
        <v>11</v>
      </c>
      <c r="AD21" s="102">
        <f>AD15*AD16/(1-AD20^AD18)/AD19^AD13</f>
        <v>276.82669412231587</v>
      </c>
      <c r="AE21" s="103" t="s">
        <v>31</v>
      </c>
      <c r="AF21" s="104" t="s">
        <v>11</v>
      </c>
      <c r="AG21" s="105">
        <f>AG15*AG16/(1-AG20^AG18)/AG19^(AG13+1)</f>
        <v>2.6725598102084751</v>
      </c>
      <c r="AH21" s="106" t="s">
        <v>32</v>
      </c>
      <c r="AI21" s="107" t="s">
        <v>11</v>
      </c>
      <c r="AJ21" s="108">
        <f>AJ15*AJ17/((1-AJ20^(AJ18*AJ14))*AJ19^(AJ13*AJ14))</f>
        <v>725.67085867357162</v>
      </c>
      <c r="AK21" s="109" t="s">
        <v>33</v>
      </c>
      <c r="AL21" s="110" t="s">
        <v>11</v>
      </c>
      <c r="AM21" s="111">
        <f>AM15*AM17/((1-AM20^(AM18*AM14))*AM19^(AM13*AM14+1))</f>
        <v>3537.5841504148439</v>
      </c>
      <c r="AN21" s="20" t="s">
        <v>34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ht="18.75" customHeight="1" x14ac:dyDescent="0.25">
      <c r="A22" s="217" t="s">
        <v>35</v>
      </c>
      <c r="B22" s="218"/>
      <c r="C22" s="219"/>
      <c r="D22" s="220" t="s">
        <v>35</v>
      </c>
      <c r="E22" s="218"/>
      <c r="F22" s="219"/>
      <c r="G22" s="221" t="s">
        <v>35</v>
      </c>
      <c r="H22" s="218"/>
      <c r="I22" s="219"/>
      <c r="J22" s="222" t="s">
        <v>35</v>
      </c>
      <c r="K22" s="218"/>
      <c r="L22" s="21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  <c r="AA22" s="2"/>
      <c r="AB22" s="2"/>
      <c r="AC22" s="217" t="s">
        <v>35</v>
      </c>
      <c r="AD22" s="218"/>
      <c r="AE22" s="219"/>
      <c r="AF22" s="220" t="s">
        <v>35</v>
      </c>
      <c r="AG22" s="218"/>
      <c r="AH22" s="219"/>
      <c r="AI22" s="221" t="s">
        <v>35</v>
      </c>
      <c r="AJ22" s="218"/>
      <c r="AK22" s="219"/>
      <c r="AL22" s="222" t="s">
        <v>35</v>
      </c>
      <c r="AM22" s="218"/>
      <c r="AN22" s="219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ht="18.75" customHeight="1" x14ac:dyDescent="0.25">
      <c r="A23" s="63" t="s">
        <v>5</v>
      </c>
      <c r="B23" s="64">
        <v>5</v>
      </c>
      <c r="C23" s="112"/>
      <c r="D23" s="8" t="s">
        <v>5</v>
      </c>
      <c r="E23" s="9">
        <v>0</v>
      </c>
      <c r="F23" s="113"/>
      <c r="G23" s="11" t="s">
        <v>5</v>
      </c>
      <c r="H23" s="208">
        <v>5.9071999999999996</v>
      </c>
      <c r="I23" s="115" t="s">
        <v>6</v>
      </c>
      <c r="J23" s="74" t="s">
        <v>5</v>
      </c>
      <c r="K23" s="15">
        <v>0</v>
      </c>
      <c r="L23" s="11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  <c r="AA23" s="2"/>
      <c r="AB23" s="2"/>
      <c r="AC23" s="17" t="s">
        <v>5</v>
      </c>
      <c r="AD23" s="6">
        <v>0</v>
      </c>
      <c r="AE23" s="112"/>
      <c r="AF23" s="8" t="s">
        <v>5</v>
      </c>
      <c r="AG23" s="18">
        <v>0</v>
      </c>
      <c r="AH23" s="113"/>
      <c r="AI23" s="11" t="s">
        <v>5</v>
      </c>
      <c r="AJ23" s="117">
        <v>0</v>
      </c>
      <c r="AK23" s="115" t="s">
        <v>6</v>
      </c>
      <c r="AL23" s="74" t="s">
        <v>5</v>
      </c>
      <c r="AM23" s="20">
        <v>0</v>
      </c>
      <c r="AN23" s="116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</row>
    <row r="24" spans="1:60" ht="18.75" customHeight="1" x14ac:dyDescent="0.25">
      <c r="A24" s="63"/>
      <c r="B24" s="64"/>
      <c r="C24" s="112"/>
      <c r="D24" s="8"/>
      <c r="E24" s="9"/>
      <c r="F24" s="113"/>
      <c r="G24" s="11" t="s">
        <v>9</v>
      </c>
      <c r="H24" s="114">
        <v>3</v>
      </c>
      <c r="I24" s="119" t="s">
        <v>8</v>
      </c>
      <c r="J24" s="74" t="s">
        <v>9</v>
      </c>
      <c r="K24" s="15">
        <v>2</v>
      </c>
      <c r="L24" s="11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  <c r="AA24" s="2"/>
      <c r="AB24" s="2"/>
      <c r="AC24" s="17"/>
      <c r="AD24" s="6"/>
      <c r="AE24" s="112"/>
      <c r="AF24" s="8"/>
      <c r="AG24" s="18"/>
      <c r="AH24" s="113"/>
      <c r="AI24" s="11" t="s">
        <v>9</v>
      </c>
      <c r="AJ24" s="117">
        <v>4</v>
      </c>
      <c r="AK24" s="119" t="s">
        <v>8</v>
      </c>
      <c r="AL24" s="74" t="s">
        <v>9</v>
      </c>
      <c r="AM24" s="20">
        <v>2</v>
      </c>
      <c r="AN24" s="116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</row>
    <row r="25" spans="1:60" ht="18.75" customHeight="1" x14ac:dyDescent="0.25">
      <c r="A25" s="63" t="s">
        <v>23</v>
      </c>
      <c r="B25" s="64">
        <v>5000</v>
      </c>
      <c r="C25" s="120"/>
      <c r="D25" s="8" t="s">
        <v>23</v>
      </c>
      <c r="E25" s="9">
        <v>15000</v>
      </c>
      <c r="F25" s="113"/>
      <c r="G25" s="11" t="s">
        <v>26</v>
      </c>
      <c r="H25" s="114">
        <v>4400.1499999999996</v>
      </c>
      <c r="I25" s="119" t="s">
        <v>10</v>
      </c>
      <c r="J25" s="74" t="s">
        <v>26</v>
      </c>
      <c r="K25" s="15">
        <v>43000</v>
      </c>
      <c r="L25" s="11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  <c r="AA25" s="2"/>
      <c r="AB25" s="2"/>
      <c r="AC25" s="17" t="s">
        <v>23</v>
      </c>
      <c r="AD25" s="6">
        <v>45700</v>
      </c>
      <c r="AE25" s="120"/>
      <c r="AF25" s="8" t="s">
        <v>23</v>
      </c>
      <c r="AG25" s="18">
        <v>15000</v>
      </c>
      <c r="AH25" s="113"/>
      <c r="AI25" s="11" t="s">
        <v>26</v>
      </c>
      <c r="AJ25" s="117">
        <v>15000</v>
      </c>
      <c r="AK25" s="119" t="s">
        <v>10</v>
      </c>
      <c r="AL25" s="74" t="s">
        <v>26</v>
      </c>
      <c r="AM25" s="20">
        <v>43000</v>
      </c>
      <c r="AN25" s="116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</row>
    <row r="26" spans="1:60" ht="18.75" customHeight="1" x14ac:dyDescent="0.25">
      <c r="A26" s="63" t="s">
        <v>16</v>
      </c>
      <c r="B26" s="65">
        <v>0.04</v>
      </c>
      <c r="C26" s="112"/>
      <c r="D26" s="8" t="s">
        <v>16</v>
      </c>
      <c r="E26" s="66">
        <v>7.4999999999999997E-2</v>
      </c>
      <c r="F26" s="113"/>
      <c r="G26" s="11" t="s">
        <v>16</v>
      </c>
      <c r="H26" s="121">
        <v>4.2599999999999999E-2</v>
      </c>
      <c r="I26" s="119" t="s">
        <v>30</v>
      </c>
      <c r="J26" s="74" t="s">
        <v>16</v>
      </c>
      <c r="K26" s="68">
        <v>0.11</v>
      </c>
      <c r="L26" s="20" t="s">
        <v>13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  <c r="AA26" s="2"/>
      <c r="AB26" s="2"/>
      <c r="AC26" s="17" t="s">
        <v>16</v>
      </c>
      <c r="AD26" s="69">
        <v>0.129</v>
      </c>
      <c r="AE26" s="112"/>
      <c r="AF26" s="8" t="s">
        <v>16</v>
      </c>
      <c r="AG26" s="70">
        <v>7.4999999999999997E-2</v>
      </c>
      <c r="AH26" s="113"/>
      <c r="AI26" s="11" t="s">
        <v>16</v>
      </c>
      <c r="AJ26" s="122">
        <v>0.14000000000000001</v>
      </c>
      <c r="AK26" s="119" t="s">
        <v>30</v>
      </c>
      <c r="AL26" s="74" t="s">
        <v>16</v>
      </c>
      <c r="AM26" s="72">
        <v>0.11</v>
      </c>
      <c r="AN26" s="20" t="s">
        <v>13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ht="18.75" customHeight="1" x14ac:dyDescent="0.25">
      <c r="A27" s="63"/>
      <c r="B27" s="65"/>
      <c r="C27" s="112"/>
      <c r="D27" s="8"/>
      <c r="E27" s="66"/>
      <c r="F27" s="113"/>
      <c r="G27" s="11" t="s">
        <v>14</v>
      </c>
      <c r="H27" s="123">
        <f>H26/H24</f>
        <v>1.4199999999999999E-2</v>
      </c>
      <c r="I27" s="22" t="s">
        <v>15</v>
      </c>
      <c r="J27" s="74" t="s">
        <v>14</v>
      </c>
      <c r="K27" s="124">
        <f>K26/K24</f>
        <v>5.5E-2</v>
      </c>
      <c r="L27" s="20" t="s">
        <v>15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  <c r="AA27" s="2"/>
      <c r="AB27" s="2"/>
      <c r="AC27" s="17"/>
      <c r="AD27" s="69"/>
      <c r="AE27" s="112"/>
      <c r="AF27" s="8"/>
      <c r="AG27" s="70"/>
      <c r="AH27" s="113"/>
      <c r="AI27" s="11" t="s">
        <v>14</v>
      </c>
      <c r="AJ27" s="125">
        <f>AJ26/AJ24</f>
        <v>3.5000000000000003E-2</v>
      </c>
      <c r="AK27" s="22" t="s">
        <v>15</v>
      </c>
      <c r="AL27" s="74" t="s">
        <v>14</v>
      </c>
      <c r="AM27" s="126">
        <f>AM26/AM24</f>
        <v>5.5E-2</v>
      </c>
      <c r="AN27" s="20" t="s">
        <v>15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ht="18.75" customHeight="1" x14ac:dyDescent="0.25">
      <c r="A28" s="63" t="s">
        <v>11</v>
      </c>
      <c r="B28" s="127">
        <v>200</v>
      </c>
      <c r="C28" s="6"/>
      <c r="D28" s="8" t="s">
        <v>11</v>
      </c>
      <c r="E28" s="128">
        <v>3195.67</v>
      </c>
      <c r="F28" s="18"/>
      <c r="G28" s="11" t="s">
        <v>11</v>
      </c>
      <c r="H28" s="129">
        <v>217.03</v>
      </c>
      <c r="I28" s="119" t="s">
        <v>17</v>
      </c>
      <c r="J28" s="74" t="s">
        <v>11</v>
      </c>
      <c r="K28" s="130">
        <v>2407.2399999999998</v>
      </c>
      <c r="L28" s="3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  <c r="AA28" s="2"/>
      <c r="AB28" s="2"/>
      <c r="AC28" s="17" t="s">
        <v>11</v>
      </c>
      <c r="AD28" s="131">
        <v>2010</v>
      </c>
      <c r="AE28" s="6"/>
      <c r="AF28" s="8" t="s">
        <v>11</v>
      </c>
      <c r="AG28" s="132">
        <v>3195.67</v>
      </c>
      <c r="AH28" s="18"/>
      <c r="AI28" s="11" t="s">
        <v>11</v>
      </c>
      <c r="AJ28" s="133">
        <v>849.03</v>
      </c>
      <c r="AK28" s="119" t="s">
        <v>17</v>
      </c>
      <c r="AL28" s="74" t="s">
        <v>11</v>
      </c>
      <c r="AM28" s="134">
        <v>2407.2399999999998</v>
      </c>
      <c r="AN28" s="34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</row>
    <row r="29" spans="1:60" ht="18.75" customHeight="1" x14ac:dyDescent="0.25">
      <c r="A29" s="88" t="s">
        <v>18</v>
      </c>
      <c r="B29" s="89">
        <f>1+B26</f>
        <v>1.04</v>
      </c>
      <c r="C29" s="6" t="s">
        <v>19</v>
      </c>
      <c r="D29" s="90" t="s">
        <v>18</v>
      </c>
      <c r="E29" s="91">
        <f>1+E26</f>
        <v>1.075</v>
      </c>
      <c r="F29" s="18" t="s">
        <v>19</v>
      </c>
      <c r="G29" s="92" t="s">
        <v>18</v>
      </c>
      <c r="H29" s="93">
        <f>1+H27</f>
        <v>1.0142</v>
      </c>
      <c r="I29" s="19" t="s">
        <v>20</v>
      </c>
      <c r="J29" s="94" t="s">
        <v>18</v>
      </c>
      <c r="K29" s="95">
        <f>K27+1</f>
        <v>1.0549999999999999</v>
      </c>
      <c r="L29" s="20" t="s">
        <v>20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96" t="s">
        <v>18</v>
      </c>
      <c r="AD29" s="89">
        <f>1+AD26</f>
        <v>1.129</v>
      </c>
      <c r="AE29" s="6" t="s">
        <v>19</v>
      </c>
      <c r="AF29" s="90" t="s">
        <v>18</v>
      </c>
      <c r="AG29" s="97">
        <f>1+AG26</f>
        <v>1.075</v>
      </c>
      <c r="AH29" s="18" t="s">
        <v>19</v>
      </c>
      <c r="AI29" s="92" t="s">
        <v>18</v>
      </c>
      <c r="AJ29" s="98">
        <f>1+AJ27</f>
        <v>1.0349999999999999</v>
      </c>
      <c r="AK29" s="19" t="s">
        <v>20</v>
      </c>
      <c r="AL29" s="94" t="s">
        <v>18</v>
      </c>
      <c r="AM29" s="99">
        <f>AM27+1</f>
        <v>1.0549999999999999</v>
      </c>
      <c r="AN29" s="20" t="s">
        <v>20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ht="18.75" customHeight="1" x14ac:dyDescent="0.25">
      <c r="A30" s="100" t="s">
        <v>21</v>
      </c>
      <c r="B30" s="47">
        <f>1/B29</f>
        <v>0.96153846153846145</v>
      </c>
      <c r="C30" s="6" t="s">
        <v>22</v>
      </c>
      <c r="D30" s="28" t="s">
        <v>21</v>
      </c>
      <c r="E30" s="48">
        <f>1/E29</f>
        <v>0.93023255813953487</v>
      </c>
      <c r="F30" s="18" t="s">
        <v>22</v>
      </c>
      <c r="G30" s="30" t="s">
        <v>21</v>
      </c>
      <c r="H30" s="49">
        <f>1/H29</f>
        <v>0.98599881680141988</v>
      </c>
      <c r="I30" s="19" t="s">
        <v>22</v>
      </c>
      <c r="J30" s="32" t="s">
        <v>21</v>
      </c>
      <c r="K30" s="135">
        <f>1/K29</f>
        <v>0.94786729857819907</v>
      </c>
      <c r="L30" s="136" t="s">
        <v>22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35" t="s">
        <v>21</v>
      </c>
      <c r="AD30" s="47">
        <f>1/AD29</f>
        <v>0.8857395925597874</v>
      </c>
      <c r="AE30" s="6" t="s">
        <v>22</v>
      </c>
      <c r="AF30" s="28" t="s">
        <v>21</v>
      </c>
      <c r="AG30" s="51">
        <f>1/AG29</f>
        <v>0.93023255813953487</v>
      </c>
      <c r="AH30" s="18" t="s">
        <v>22</v>
      </c>
      <c r="AI30" s="30" t="s">
        <v>21</v>
      </c>
      <c r="AJ30" s="52">
        <f>1/AJ29</f>
        <v>0.96618357487922713</v>
      </c>
      <c r="AK30" s="19" t="s">
        <v>22</v>
      </c>
      <c r="AL30" s="32" t="s">
        <v>21</v>
      </c>
      <c r="AM30" s="137">
        <f>1/AM29</f>
        <v>0.94786729857819907</v>
      </c>
      <c r="AN30" s="136" t="s">
        <v>22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ht="18.75" customHeight="1" x14ac:dyDescent="0.25">
      <c r="A31" s="138" t="s">
        <v>7</v>
      </c>
      <c r="B31" s="139">
        <f>LOG10(1-B25*B26/(B28*B29^B23))/LOG10(B30)</f>
        <v>43.996198977457034</v>
      </c>
      <c r="C31" s="103" t="s">
        <v>36</v>
      </c>
      <c r="D31" s="104" t="s">
        <v>7</v>
      </c>
      <c r="E31" s="140">
        <f>LOG10(1-E25*E26/(E28*E29^(E23+1)))/LOG10(E30)</f>
        <v>5.4855756180812927</v>
      </c>
      <c r="F31" s="106" t="s">
        <v>37</v>
      </c>
      <c r="G31" s="107" t="s">
        <v>7</v>
      </c>
      <c r="H31" s="141">
        <f>LOG10(1-(H25*H27)/(H28*H29^(H23*H24)) )/(H24*LOG10(H30))</f>
        <v>6.0026419892297698</v>
      </c>
      <c r="I31" s="142" t="s">
        <v>38</v>
      </c>
      <c r="J31" s="110" t="s">
        <v>7</v>
      </c>
      <c r="K31" s="143">
        <f>LOG10(1-(K25*K27/K28/K29^(K23*K24+1)))/LOG10(K30^K24)</f>
        <v>25.000206919421611</v>
      </c>
      <c r="L31" s="144" t="s">
        <v>39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145" t="s">
        <v>7</v>
      </c>
      <c r="AD31" s="146" t="e">
        <f>LOG10(1-AD25*AD26/(AD28*AD29^AD23))/LOG10(AD30)</f>
        <v>#NUM!</v>
      </c>
      <c r="AE31" s="103" t="s">
        <v>36</v>
      </c>
      <c r="AF31" s="104" t="s">
        <v>7</v>
      </c>
      <c r="AG31" s="140">
        <f>LOG10(1-AG25*AG26/(AG28*AG29^(AG23+1)))/LOG10(AG30)</f>
        <v>5.4855756180812927</v>
      </c>
      <c r="AH31" s="106" t="s">
        <v>37</v>
      </c>
      <c r="AI31" s="107" t="s">
        <v>7</v>
      </c>
      <c r="AJ31" s="141">
        <f>LOG10(1-(AJ25*AJ27)/(AJ28*AJ29^(AJ23*AJ24)) )/(AJ24*LOG10(AJ30))</f>
        <v>7.0001342182146749</v>
      </c>
      <c r="AK31" s="142" t="s">
        <v>38</v>
      </c>
      <c r="AL31" s="110" t="s">
        <v>7</v>
      </c>
      <c r="AM31" s="143">
        <f>LOG10(1-(AM25*AM27/AM28/AM29^(AM23*AM24+1)))/LOG10(AM30^AM24)</f>
        <v>25.000206919421611</v>
      </c>
      <c r="AN31" s="14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spans="1:60" ht="18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ht="18.75" customHeight="1" x14ac:dyDescent="0.25">
      <c r="A33" s="1"/>
      <c r="B33" s="1"/>
      <c r="C33" s="3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39"/>
      <c r="AK33" s="147"/>
      <c r="AL33" s="147"/>
      <c r="AM33" s="39"/>
      <c r="AN33" s="147"/>
      <c r="AO33" s="147"/>
      <c r="AP33" s="39"/>
      <c r="AQ33" s="147"/>
      <c r="AR33" s="147"/>
      <c r="AS33" s="39"/>
      <c r="AT33" s="147"/>
      <c r="AU33" s="147"/>
      <c r="AV33" s="39"/>
      <c r="AW33" s="147"/>
      <c r="AX33" s="147"/>
      <c r="AY33" s="39"/>
      <c r="AZ33" s="147"/>
      <c r="BA33" s="147"/>
      <c r="BB33" s="39"/>
      <c r="BC33" s="147"/>
      <c r="BD33" s="147"/>
      <c r="BE33" s="39"/>
      <c r="BF33" s="147"/>
      <c r="BG33" s="147"/>
      <c r="BH33" s="147"/>
    </row>
    <row r="34" spans="1:60" ht="18.75" customHeight="1" x14ac:dyDescent="0.2">
      <c r="A34" s="214" t="s">
        <v>40</v>
      </c>
      <c r="B34" s="215"/>
      <c r="C34" s="215"/>
      <c r="D34" s="1"/>
      <c r="E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ht="18.75" customHeight="1" thickBot="1" x14ac:dyDescent="0.25">
      <c r="A35" s="39" t="s">
        <v>41</v>
      </c>
      <c r="B35" s="1"/>
      <c r="C35" s="1"/>
      <c r="D35" s="1"/>
      <c r="E35" s="1"/>
      <c r="F35" s="148" t="s">
        <v>42</v>
      </c>
      <c r="G35" s="14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ht="18.75" customHeight="1" thickTop="1" thickBot="1" x14ac:dyDescent="0.25">
      <c r="A36" s="150" t="s">
        <v>43</v>
      </c>
      <c r="B36" s="151">
        <v>859.125</v>
      </c>
      <c r="C36" s="1"/>
      <c r="D36" s="1"/>
      <c r="E36" s="1"/>
      <c r="F36" s="152" t="s">
        <v>44</v>
      </c>
      <c r="G36" s="153">
        <v>437.97</v>
      </c>
      <c r="H36" s="1"/>
      <c r="I36" s="1"/>
      <c r="J36" s="1"/>
      <c r="K36" s="1"/>
      <c r="L36" s="172" t="s">
        <v>62</v>
      </c>
      <c r="M36" s="173">
        <v>1137.79</v>
      </c>
      <c r="N36" s="39"/>
      <c r="O36" s="39"/>
      <c r="P36" s="39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ht="18.75" customHeight="1" thickTop="1" thickBot="1" x14ac:dyDescent="0.25">
      <c r="A37" s="150" t="s">
        <v>45</v>
      </c>
      <c r="B37" s="151">
        <v>6873</v>
      </c>
      <c r="C37" s="1"/>
      <c r="D37" s="1"/>
      <c r="E37" s="1"/>
      <c r="F37" s="152" t="s">
        <v>45</v>
      </c>
      <c r="G37" s="162"/>
      <c r="H37" s="1"/>
      <c r="I37" s="1"/>
      <c r="J37" s="1"/>
      <c r="K37" s="1"/>
      <c r="L37" s="152" t="s">
        <v>45</v>
      </c>
      <c r="M37" s="173">
        <v>5143</v>
      </c>
      <c r="N37" s="39"/>
      <c r="O37" s="39"/>
      <c r="P37" s="39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ht="18.75" customHeight="1" thickTop="1" thickBot="1" x14ac:dyDescent="0.25">
      <c r="A38" s="150" t="s">
        <v>46</v>
      </c>
      <c r="B38" s="151">
        <v>8</v>
      </c>
      <c r="C38" s="210" t="s">
        <v>65</v>
      </c>
      <c r="D38" s="211"/>
      <c r="E38" s="212"/>
      <c r="F38" s="152" t="s">
        <v>46</v>
      </c>
      <c r="G38" s="153">
        <v>13</v>
      </c>
      <c r="H38" s="148"/>
      <c r="I38" s="177" t="s">
        <v>61</v>
      </c>
      <c r="J38" s="1"/>
      <c r="K38" s="1"/>
      <c r="L38" s="152" t="s">
        <v>46</v>
      </c>
      <c r="M38" s="173">
        <v>5</v>
      </c>
      <c r="N38" s="149"/>
      <c r="O38" s="39"/>
      <c r="P38" s="39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ht="18.75" customHeight="1" thickTop="1" thickBot="1" x14ac:dyDescent="0.25">
      <c r="A39" s="150" t="s">
        <v>47</v>
      </c>
      <c r="B39" s="209" t="s">
        <v>79</v>
      </c>
      <c r="C39" s="210" t="s">
        <v>66</v>
      </c>
      <c r="D39" s="211"/>
      <c r="E39" s="1"/>
      <c r="F39" s="152" t="s">
        <v>47</v>
      </c>
      <c r="G39" s="155">
        <v>9.7799999999999998E-2</v>
      </c>
      <c r="H39" s="1"/>
      <c r="I39" s="1"/>
      <c r="J39" s="1"/>
      <c r="K39" s="1"/>
      <c r="L39" s="152" t="s">
        <v>47</v>
      </c>
      <c r="M39" s="174">
        <v>3.4599999999999999E-2</v>
      </c>
      <c r="N39" s="39"/>
      <c r="O39" s="213" t="s">
        <v>63</v>
      </c>
      <c r="P39" s="21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ht="18.75" customHeight="1" thickTop="1" thickBot="1" x14ac:dyDescent="0.25">
      <c r="A40" s="151" t="s">
        <v>48</v>
      </c>
      <c r="B40" s="156">
        <f>B37/B38</f>
        <v>859.125</v>
      </c>
      <c r="C40" s="1"/>
      <c r="D40" s="1"/>
      <c r="E40" s="1"/>
      <c r="F40" s="152" t="s">
        <v>49</v>
      </c>
      <c r="G40" s="157">
        <f>1+G39</f>
        <v>1.0977999999999999</v>
      </c>
      <c r="H40" s="1"/>
      <c r="I40" s="1"/>
      <c r="J40" s="1"/>
      <c r="K40" s="1"/>
      <c r="L40" s="152" t="s">
        <v>49</v>
      </c>
      <c r="M40" s="175">
        <f>1+M39</f>
        <v>1.0346</v>
      </c>
      <c r="N40" s="39"/>
      <c r="O40" s="39"/>
      <c r="P40" s="39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ht="18.75" customHeight="1" thickTop="1" thickBot="1" x14ac:dyDescent="0.25">
      <c r="A41" s="151" t="s">
        <v>50</v>
      </c>
      <c r="B41" s="156">
        <f>B36*B38</f>
        <v>6873</v>
      </c>
      <c r="C41" s="1"/>
      <c r="D41" s="1"/>
      <c r="E41" s="1"/>
      <c r="F41" s="152" t="s">
        <v>51</v>
      </c>
      <c r="G41" s="158">
        <f>1/G40</f>
        <v>0.91091273456002919</v>
      </c>
      <c r="H41" s="1"/>
      <c r="I41" s="171"/>
      <c r="J41" s="1"/>
      <c r="K41" s="1"/>
      <c r="L41" s="152" t="s">
        <v>51</v>
      </c>
      <c r="M41" s="176">
        <f>1/M40</f>
        <v>0.96655712352600043</v>
      </c>
      <c r="N41" s="39"/>
      <c r="O41" s="39"/>
      <c r="P41" s="39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ht="18.75" customHeight="1" thickTop="1" thickBot="1" x14ac:dyDescent="0.25">
      <c r="A42" s="151" t="s">
        <v>52</v>
      </c>
      <c r="B42" s="156">
        <f>B37/B36</f>
        <v>8</v>
      </c>
      <c r="C42" s="1"/>
      <c r="D42" s="1"/>
      <c r="E42" s="1"/>
      <c r="F42" s="153" t="s">
        <v>53</v>
      </c>
      <c r="G42" s="159">
        <f>G37*G39/(1-G41^G38)</f>
        <v>0</v>
      </c>
      <c r="H42" s="1"/>
      <c r="I42" s="1"/>
      <c r="J42" s="1"/>
      <c r="K42" s="1"/>
      <c r="L42" s="161" t="s">
        <v>53</v>
      </c>
      <c r="M42" s="159">
        <f>M37*M39/(1-M41^M38)</f>
        <v>1137.7886160654191</v>
      </c>
      <c r="N42" s="39"/>
      <c r="O42" s="39"/>
      <c r="P42" s="39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ht="18.75" customHeight="1" thickTop="1" thickBot="1" x14ac:dyDescent="0.25">
      <c r="F43" s="153" t="s">
        <v>54</v>
      </c>
      <c r="G43" s="170">
        <f>G36*(1-G41^G38)/G39</f>
        <v>3146.8361500470178</v>
      </c>
      <c r="K43" s="1"/>
      <c r="L43" s="161" t="s">
        <v>54</v>
      </c>
      <c r="M43" s="159">
        <f>G36*(1-G41^G38)/G39</f>
        <v>3146.8361500470178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ht="18.75" customHeight="1" thickTop="1" thickBot="1" x14ac:dyDescent="0.25">
      <c r="A44" s="160" t="s">
        <v>55</v>
      </c>
      <c r="B44" s="160" t="s">
        <v>56</v>
      </c>
      <c r="C44" s="160" t="s">
        <v>57</v>
      </c>
      <c r="D44" s="160" t="s">
        <v>58</v>
      </c>
      <c r="E44" s="160" t="s">
        <v>59</v>
      </c>
      <c r="F44" s="161" t="s">
        <v>55</v>
      </c>
      <c r="G44" s="161" t="s">
        <v>56</v>
      </c>
      <c r="H44" s="161" t="s">
        <v>57</v>
      </c>
      <c r="I44" s="161" t="s">
        <v>58</v>
      </c>
      <c r="J44" s="161" t="s">
        <v>59</v>
      </c>
      <c r="K44" s="1"/>
      <c r="L44" s="161" t="s">
        <v>55</v>
      </c>
      <c r="M44" s="161" t="s">
        <v>56</v>
      </c>
      <c r="N44" s="161" t="s">
        <v>57</v>
      </c>
      <c r="O44" s="161" t="s">
        <v>58</v>
      </c>
      <c r="P44" s="161" t="s">
        <v>59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ht="18.75" customHeight="1" thickTop="1" thickBot="1" x14ac:dyDescent="0.25">
      <c r="A45" s="151">
        <v>1</v>
      </c>
      <c r="B45" s="156">
        <f>IF(B37&gt;0, B37, B41)</f>
        <v>6873</v>
      </c>
      <c r="C45" s="156">
        <f>B45*$B$39</f>
        <v>274.23269999999997</v>
      </c>
      <c r="D45" s="156">
        <f>IF($B$36&gt;0,$B$36,$B$40)</f>
        <v>859.125</v>
      </c>
      <c r="E45" s="156">
        <f t="shared" ref="E45:E54" si="0">D45+C45</f>
        <v>1133.3577</v>
      </c>
      <c r="F45" s="153">
        <v>1</v>
      </c>
      <c r="G45" s="159">
        <f>IF(G37,G37,G43)</f>
        <v>3146.8361500470178</v>
      </c>
      <c r="H45" s="162">
        <f>G45*$G$39</f>
        <v>307.76057547459834</v>
      </c>
      <c r="I45" s="162">
        <f>J45-H45</f>
        <v>130.20942452540169</v>
      </c>
      <c r="J45" s="162">
        <f>IF($G$36&gt;0,$G36,G42)</f>
        <v>437.97</v>
      </c>
      <c r="K45" s="1"/>
      <c r="L45" s="167">
        <v>1</v>
      </c>
      <c r="M45" s="169">
        <f>IF(M37,M37,M43)</f>
        <v>5143</v>
      </c>
      <c r="N45" s="168">
        <f t="shared" ref="N45:N54" si="1">$M$36*(1-$M$41^($M$38+1-L45))</f>
        <v>177.94801644452275</v>
      </c>
      <c r="O45" s="168">
        <f t="shared" ref="O45:O54" si="2">$M$36*($M$41^($M$38+1-L45))</f>
        <v>959.84198355547721</v>
      </c>
      <c r="P45" s="168">
        <f t="shared" ref="P45:P54" si="3">IF($M$36,$M$36,$M$42)</f>
        <v>1137.79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ht="18.75" customHeight="1" thickTop="1" thickBot="1" x14ac:dyDescent="0.25">
      <c r="A46" s="151">
        <v>2</v>
      </c>
      <c r="B46" s="156">
        <f t="shared" ref="B46:B54" si="4">B45-D46</f>
        <v>6013.875</v>
      </c>
      <c r="C46" s="156">
        <f t="shared" ref="C46:C54" si="5">B46*$B$39</f>
        <v>239.95361249999999</v>
      </c>
      <c r="D46" s="156">
        <f t="shared" ref="D46:D54" si="6">IF($B$36&gt;0,$B$36,$B$40)</f>
        <v>859.125</v>
      </c>
      <c r="E46" s="156">
        <f t="shared" si="0"/>
        <v>1099.0786125</v>
      </c>
      <c r="F46" s="153">
        <v>2</v>
      </c>
      <c r="G46" s="166">
        <f>G45-I45</f>
        <v>3016.6267255216162</v>
      </c>
      <c r="H46" s="166">
        <f t="shared" ref="H46:H54" si="7">G46*$G$39</f>
        <v>295.02609375601406</v>
      </c>
      <c r="I46" s="166">
        <f>J46-H46</f>
        <v>142.94390624398596</v>
      </c>
      <c r="J46" s="162">
        <f>IF($G$36&gt;0,$G36,G42)</f>
        <v>437.97</v>
      </c>
      <c r="K46" s="1"/>
      <c r="L46" s="167">
        <v>2</v>
      </c>
      <c r="M46" s="168">
        <f t="shared" ref="M46:M54" si="8">$M$36*(1-$M$41^($M$38+1-L46))/$M$39</f>
        <v>4183.1642720665695</v>
      </c>
      <c r="N46" s="168">
        <f t="shared" si="1"/>
        <v>144.7374838135033</v>
      </c>
      <c r="O46" s="168">
        <f t="shared" si="2"/>
        <v>993.05251618649663</v>
      </c>
      <c r="P46" s="168">
        <f t="shared" si="3"/>
        <v>1137.79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ht="18.75" customHeight="1" thickTop="1" thickBot="1" x14ac:dyDescent="0.25">
      <c r="A47" s="151">
        <v>3</v>
      </c>
      <c r="B47" s="156">
        <f t="shared" si="4"/>
        <v>5154.75</v>
      </c>
      <c r="C47" s="156">
        <f t="shared" si="5"/>
        <v>205.67452499999999</v>
      </c>
      <c r="D47" s="156">
        <f t="shared" si="6"/>
        <v>859.125</v>
      </c>
      <c r="E47" s="156">
        <f t="shared" si="0"/>
        <v>1064.7995249999999</v>
      </c>
      <c r="F47" s="153">
        <v>3</v>
      </c>
      <c r="G47" s="166">
        <f>G46-I46</f>
        <v>2873.6828192776302</v>
      </c>
      <c r="H47" s="166">
        <f t="shared" si="7"/>
        <v>281.0461797253522</v>
      </c>
      <c r="I47" s="166">
        <f t="shared" ref="I47:I54" si="9">J47-H47</f>
        <v>156.92382027464782</v>
      </c>
      <c r="J47" s="162">
        <f>IF($G$36&gt;0,$G36,G42)</f>
        <v>437.97</v>
      </c>
      <c r="K47" s="1"/>
      <c r="L47" s="167">
        <v>3</v>
      </c>
      <c r="M47" s="168">
        <f t="shared" si="8"/>
        <v>3190.1117558800725</v>
      </c>
      <c r="N47" s="168">
        <f t="shared" si="1"/>
        <v>110.3778667534505</v>
      </c>
      <c r="O47" s="168">
        <f t="shared" si="2"/>
        <v>1027.4121332465495</v>
      </c>
      <c r="P47" s="168">
        <f t="shared" si="3"/>
        <v>1137.79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ht="18.75" customHeight="1" thickTop="1" thickBot="1" x14ac:dyDescent="0.25">
      <c r="A48" s="151">
        <v>4</v>
      </c>
      <c r="B48" s="156">
        <f t="shared" si="4"/>
        <v>4295.625</v>
      </c>
      <c r="C48" s="156">
        <f t="shared" si="5"/>
        <v>171.39543749999999</v>
      </c>
      <c r="D48" s="156">
        <f t="shared" si="6"/>
        <v>859.125</v>
      </c>
      <c r="E48" s="156">
        <f t="shared" si="0"/>
        <v>1030.5204375000001</v>
      </c>
      <c r="F48" s="153">
        <v>4</v>
      </c>
      <c r="G48" s="166">
        <f t="shared" ref="G48:G54" si="10">G47-I47</f>
        <v>2716.7589990029824</v>
      </c>
      <c r="H48" s="166">
        <f t="shared" si="7"/>
        <v>265.69903010249169</v>
      </c>
      <c r="I48" s="166">
        <f t="shared" si="9"/>
        <v>172.27096989750834</v>
      </c>
      <c r="J48" s="162">
        <f>IF($G$36&gt;0,$G36,G42)</f>
        <v>437.97</v>
      </c>
      <c r="K48" s="1"/>
      <c r="L48" s="167">
        <v>4</v>
      </c>
      <c r="M48" s="168">
        <f t="shared" si="8"/>
        <v>2162.6996226335255</v>
      </c>
      <c r="N48" s="168">
        <f t="shared" si="1"/>
        <v>74.829406943119977</v>
      </c>
      <c r="O48" s="168">
        <f t="shared" si="2"/>
        <v>1062.96059305688</v>
      </c>
      <c r="P48" s="168">
        <f t="shared" si="3"/>
        <v>1137.79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ht="18.75" customHeight="1" thickTop="1" thickBot="1" x14ac:dyDescent="0.25">
      <c r="A49" s="151">
        <v>5</v>
      </c>
      <c r="B49" s="156">
        <f t="shared" si="4"/>
        <v>3436.5</v>
      </c>
      <c r="C49" s="156">
        <f t="shared" si="5"/>
        <v>137.11634999999998</v>
      </c>
      <c r="D49" s="156">
        <f t="shared" si="6"/>
        <v>859.125</v>
      </c>
      <c r="E49" s="156">
        <f t="shared" si="0"/>
        <v>996.24135000000001</v>
      </c>
      <c r="F49" s="153">
        <v>5</v>
      </c>
      <c r="G49" s="166">
        <f>G48-I48</f>
        <v>2544.4880291054742</v>
      </c>
      <c r="H49" s="166">
        <f t="shared" si="7"/>
        <v>248.85092924651536</v>
      </c>
      <c r="I49" s="166">
        <f t="shared" si="9"/>
        <v>189.11907075348466</v>
      </c>
      <c r="J49" s="162">
        <f>IF($G$36&gt;0,$G36,G42)</f>
        <v>437.97</v>
      </c>
      <c r="K49" s="1"/>
      <c r="L49" s="167">
        <v>5</v>
      </c>
      <c r="M49" s="168">
        <f t="shared" si="8"/>
        <v>1099.7390295766465</v>
      </c>
      <c r="N49" s="168">
        <f t="shared" si="1"/>
        <v>38.05097042335197</v>
      </c>
      <c r="O49" s="168">
        <f t="shared" si="2"/>
        <v>1099.7390295766479</v>
      </c>
      <c r="P49" s="168">
        <f t="shared" si="3"/>
        <v>1137.79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ht="18.75" customHeight="1" thickTop="1" thickBot="1" x14ac:dyDescent="0.25">
      <c r="A50" s="151">
        <v>6</v>
      </c>
      <c r="B50" s="156">
        <f t="shared" si="4"/>
        <v>2577.375</v>
      </c>
      <c r="C50" s="156">
        <f t="shared" si="5"/>
        <v>102.83726249999999</v>
      </c>
      <c r="D50" s="156">
        <f t="shared" si="6"/>
        <v>859.125</v>
      </c>
      <c r="E50" s="156">
        <f t="shared" si="0"/>
        <v>961.96226249999995</v>
      </c>
      <c r="F50" s="153">
        <v>6</v>
      </c>
      <c r="G50" s="166">
        <f t="shared" si="10"/>
        <v>2355.3689583519895</v>
      </c>
      <c r="H50" s="166">
        <f t="shared" si="7"/>
        <v>230.35508412682458</v>
      </c>
      <c r="I50" s="166">
        <f t="shared" si="9"/>
        <v>207.61491587317545</v>
      </c>
      <c r="J50" s="162">
        <f>IF($G$36&gt;0,$G36,G42)</f>
        <v>437.97</v>
      </c>
      <c r="K50" s="1"/>
      <c r="L50" s="167">
        <v>6</v>
      </c>
      <c r="M50" s="168">
        <f t="shared" si="8"/>
        <v>0</v>
      </c>
      <c r="N50" s="168">
        <f t="shared" si="1"/>
        <v>0</v>
      </c>
      <c r="O50" s="168">
        <f t="shared" si="2"/>
        <v>1137.79</v>
      </c>
      <c r="P50" s="168">
        <f t="shared" si="3"/>
        <v>1137.79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ht="18.75" customHeight="1" thickTop="1" thickBot="1" x14ac:dyDescent="0.25">
      <c r="A51" s="151">
        <v>7</v>
      </c>
      <c r="B51" s="156">
        <f t="shared" si="4"/>
        <v>1718.25</v>
      </c>
      <c r="C51" s="156">
        <f t="shared" si="5"/>
        <v>68.558174999999991</v>
      </c>
      <c r="D51" s="156">
        <f t="shared" si="6"/>
        <v>859.125</v>
      </c>
      <c r="E51" s="156">
        <f t="shared" si="0"/>
        <v>927.68317500000001</v>
      </c>
      <c r="F51" s="153">
        <v>7</v>
      </c>
      <c r="G51" s="166">
        <f t="shared" si="10"/>
        <v>2147.754042478814</v>
      </c>
      <c r="H51" s="166">
        <f t="shared" si="7"/>
        <v>210.050345354428</v>
      </c>
      <c r="I51" s="166">
        <f t="shared" si="9"/>
        <v>227.91965464557202</v>
      </c>
      <c r="J51" s="162">
        <f>IF($G$36&gt;0,$G36,G42)</f>
        <v>437.97</v>
      </c>
      <c r="K51" s="1"/>
      <c r="L51" s="167">
        <v>7</v>
      </c>
      <c r="M51" s="168">
        <f t="shared" si="8"/>
        <v>-1137.7899999999988</v>
      </c>
      <c r="N51" s="168">
        <f t="shared" si="1"/>
        <v>-39.367533999999957</v>
      </c>
      <c r="O51" s="168">
        <f t="shared" si="2"/>
        <v>1177.1575339999999</v>
      </c>
      <c r="P51" s="168">
        <f t="shared" si="3"/>
        <v>1137.79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ht="18.75" customHeight="1" thickTop="1" thickBot="1" x14ac:dyDescent="0.25">
      <c r="A52" s="151">
        <v>8</v>
      </c>
      <c r="B52" s="156">
        <f t="shared" si="4"/>
        <v>859.125</v>
      </c>
      <c r="C52" s="156">
        <f t="shared" si="5"/>
        <v>34.279087499999996</v>
      </c>
      <c r="D52" s="156">
        <f t="shared" si="6"/>
        <v>859.125</v>
      </c>
      <c r="E52" s="156">
        <f t="shared" si="0"/>
        <v>893.40408749999995</v>
      </c>
      <c r="F52" s="153">
        <v>8</v>
      </c>
      <c r="G52" s="166">
        <f t="shared" si="10"/>
        <v>1919.8343878332419</v>
      </c>
      <c r="H52" s="166">
        <f t="shared" si="7"/>
        <v>187.75980313009106</v>
      </c>
      <c r="I52" s="166">
        <f t="shared" si="9"/>
        <v>250.21019686990897</v>
      </c>
      <c r="J52" s="162">
        <f>IF($G$36&gt;0,$G36,G42)</f>
        <v>437.97</v>
      </c>
      <c r="K52" s="1"/>
      <c r="L52" s="167">
        <v>8</v>
      </c>
      <c r="M52" s="168">
        <f t="shared" si="8"/>
        <v>-2314.9475339999985</v>
      </c>
      <c r="N52" s="168">
        <f t="shared" si="1"/>
        <v>-80.097184676399948</v>
      </c>
      <c r="O52" s="168">
        <f t="shared" si="2"/>
        <v>1217.8871846764</v>
      </c>
      <c r="P52" s="168">
        <f t="shared" si="3"/>
        <v>1137.79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ht="18.75" customHeight="1" thickTop="1" thickBot="1" x14ac:dyDescent="0.25">
      <c r="A53" s="151">
        <v>9</v>
      </c>
      <c r="B53" s="156">
        <f t="shared" si="4"/>
        <v>0</v>
      </c>
      <c r="C53" s="156">
        <f t="shared" si="5"/>
        <v>0</v>
      </c>
      <c r="D53" s="156">
        <f t="shared" si="6"/>
        <v>859.125</v>
      </c>
      <c r="E53" s="156">
        <f t="shared" si="0"/>
        <v>859.125</v>
      </c>
      <c r="F53" s="153">
        <v>9</v>
      </c>
      <c r="G53" s="166">
        <f t="shared" si="10"/>
        <v>1669.6241909633329</v>
      </c>
      <c r="H53" s="166">
        <f t="shared" si="7"/>
        <v>163.28924587621395</v>
      </c>
      <c r="I53" s="166">
        <f t="shared" si="9"/>
        <v>274.68075412378607</v>
      </c>
      <c r="J53" s="162">
        <f>IF($G$36&gt;0,$G36,G42)</f>
        <v>437.97</v>
      </c>
      <c r="K53" s="1"/>
      <c r="L53" s="167">
        <v>9</v>
      </c>
      <c r="M53" s="168">
        <f t="shared" si="8"/>
        <v>-3532.8347186763949</v>
      </c>
      <c r="N53" s="168">
        <f t="shared" si="1"/>
        <v>-122.23608126620326</v>
      </c>
      <c r="O53" s="168">
        <f t="shared" si="2"/>
        <v>1260.0260812662032</v>
      </c>
      <c r="P53" s="168">
        <f t="shared" si="3"/>
        <v>1137.79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ht="18.75" customHeight="1" thickTop="1" thickBot="1" x14ac:dyDescent="0.25">
      <c r="A54" s="151">
        <v>10</v>
      </c>
      <c r="B54" s="156">
        <f t="shared" si="4"/>
        <v>-859.125</v>
      </c>
      <c r="C54" s="156">
        <f t="shared" si="5"/>
        <v>-34.279087499999996</v>
      </c>
      <c r="D54" s="156">
        <f t="shared" si="6"/>
        <v>859.125</v>
      </c>
      <c r="E54" s="156">
        <f t="shared" si="0"/>
        <v>824.84591250000005</v>
      </c>
      <c r="F54" s="153">
        <v>10</v>
      </c>
      <c r="G54" s="166">
        <f t="shared" si="10"/>
        <v>1394.9434368395468</v>
      </c>
      <c r="H54" s="166">
        <f t="shared" si="7"/>
        <v>136.42546812290769</v>
      </c>
      <c r="I54" s="166">
        <f t="shared" si="9"/>
        <v>301.54453187709237</v>
      </c>
      <c r="J54" s="162">
        <f>IF($G$36&gt;0,$G36,G42)</f>
        <v>437.97</v>
      </c>
      <c r="K54" s="1"/>
      <c r="L54" s="167">
        <v>10</v>
      </c>
      <c r="M54" s="168">
        <f t="shared" si="8"/>
        <v>-4792.8607999425958</v>
      </c>
      <c r="N54" s="168">
        <f t="shared" si="1"/>
        <v>-165.83298367801382</v>
      </c>
      <c r="O54" s="168">
        <f t="shared" si="2"/>
        <v>1303.6229836780137</v>
      </c>
      <c r="P54" s="168">
        <f t="shared" si="3"/>
        <v>1137.79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ht="18.75" customHeight="1" thickTop="1" x14ac:dyDescent="0.2">
      <c r="A55" s="213" t="s">
        <v>64</v>
      </c>
      <c r="B55" s="216"/>
      <c r="C55" s="216"/>
      <c r="D55" s="216"/>
      <c r="E55" s="216"/>
      <c r="F55" s="21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ht="18.75" customHeight="1" x14ac:dyDescent="0.2">
      <c r="A56" s="211" t="s">
        <v>60</v>
      </c>
      <c r="B56" s="216"/>
      <c r="C56" s="216"/>
      <c r="D56" s="216"/>
      <c r="E56" s="216"/>
      <c r="F56" s="2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ht="18.75" customHeight="1" x14ac:dyDescent="0.2">
      <c r="A57" s="1"/>
      <c r="B57" s="1"/>
      <c r="C57" s="1">
        <f>SUM(C45:C52)</f>
        <v>1234.0471499999999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ht="18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ht="18.75" customHeight="1" thickBo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ht="18.75" customHeight="1" thickTop="1" thickBot="1" x14ac:dyDescent="0.25">
      <c r="A60" s="1"/>
      <c r="B60" s="1"/>
      <c r="C60" s="179" t="s">
        <v>67</v>
      </c>
      <c r="D60" s="1"/>
      <c r="E60" s="1"/>
      <c r="F60" s="1"/>
      <c r="G60" s="1"/>
      <c r="H60" s="1"/>
      <c r="I60" s="1"/>
      <c r="J60" s="1"/>
      <c r="K60" s="1"/>
      <c r="L60" s="172" t="s">
        <v>62</v>
      </c>
      <c r="M60" s="173">
        <v>587.57814699999994</v>
      </c>
      <c r="N60" s="183"/>
      <c r="O60" s="183"/>
      <c r="P60" s="183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1:60" ht="18.75" customHeight="1" thickTop="1" thickBot="1" x14ac:dyDescent="0.25">
      <c r="A61" s="1"/>
      <c r="B61" s="1"/>
      <c r="C61" s="1"/>
      <c r="D61" s="1"/>
      <c r="E61" s="1"/>
      <c r="K61" s="1"/>
      <c r="L61" s="152" t="s">
        <v>45</v>
      </c>
      <c r="M61" s="173">
        <v>3014.1</v>
      </c>
      <c r="N61" s="183"/>
      <c r="O61" s="183"/>
      <c r="P61" s="183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ht="18.75" customHeight="1" thickTop="1" thickBot="1" x14ac:dyDescent="0.25">
      <c r="A62" s="150" t="s">
        <v>43</v>
      </c>
      <c r="B62" s="151"/>
      <c r="C62" s="180"/>
      <c r="D62" s="180"/>
      <c r="E62" s="180"/>
      <c r="K62" s="1"/>
      <c r="L62" s="152" t="s">
        <v>46</v>
      </c>
      <c r="M62" s="173">
        <v>6</v>
      </c>
      <c r="N62" s="149"/>
      <c r="O62" s="183"/>
      <c r="P62" s="183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ht="18.75" customHeight="1" thickTop="1" thickBot="1" x14ac:dyDescent="0.25">
      <c r="A63" s="150" t="s">
        <v>45</v>
      </c>
      <c r="B63" s="151">
        <v>3014.1</v>
      </c>
      <c r="C63" s="180"/>
      <c r="D63" s="180"/>
      <c r="E63" s="180"/>
      <c r="K63" s="1"/>
      <c r="L63" s="152" t="s">
        <v>47</v>
      </c>
      <c r="M63" s="174">
        <v>4.6699999999999998E-2</v>
      </c>
      <c r="N63" s="183"/>
      <c r="O63" s="213" t="s">
        <v>63</v>
      </c>
      <c r="P63" s="21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ht="18.75" customHeight="1" thickTop="1" thickBot="1" x14ac:dyDescent="0.25">
      <c r="A64" s="150" t="s">
        <v>46</v>
      </c>
      <c r="B64" s="151">
        <v>6</v>
      </c>
      <c r="C64" s="210" t="s">
        <v>65</v>
      </c>
      <c r="D64" s="211"/>
      <c r="E64" s="212"/>
      <c r="K64" s="1"/>
      <c r="L64" s="152" t="s">
        <v>49</v>
      </c>
      <c r="M64" s="175">
        <f>1+M63</f>
        <v>1.0467</v>
      </c>
      <c r="N64" s="183"/>
      <c r="O64" s="183"/>
      <c r="P64" s="183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ht="18.75" customHeight="1" thickTop="1" thickBot="1" x14ac:dyDescent="0.25">
      <c r="A65" s="150" t="s">
        <v>47</v>
      </c>
      <c r="B65" s="154">
        <v>7.8600000000000003E-2</v>
      </c>
      <c r="C65" s="210" t="s">
        <v>66</v>
      </c>
      <c r="D65" s="211"/>
      <c r="E65" s="180"/>
      <c r="K65" s="1"/>
      <c r="L65" s="152" t="s">
        <v>51</v>
      </c>
      <c r="M65" s="176">
        <f>1/M64</f>
        <v>0.95538358650998378</v>
      </c>
      <c r="N65" s="183"/>
      <c r="O65" s="183"/>
      <c r="P65" s="183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ht="18.75" customHeight="1" thickTop="1" thickBot="1" x14ac:dyDescent="0.25">
      <c r="A66" s="151" t="s">
        <v>48</v>
      </c>
      <c r="B66" s="156">
        <f>B63/B64</f>
        <v>502.34999999999997</v>
      </c>
      <c r="C66" s="180"/>
      <c r="D66" s="180"/>
      <c r="E66" s="180"/>
      <c r="K66" s="1"/>
      <c r="L66" s="161" t="s">
        <v>53</v>
      </c>
      <c r="M66" s="159">
        <f>M61*M63/(1-M65^M62)</f>
        <v>587.57814701171299</v>
      </c>
      <c r="N66" s="183"/>
      <c r="O66" s="183"/>
      <c r="P66" s="183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ht="18.75" customHeight="1" thickTop="1" thickBot="1" x14ac:dyDescent="0.25">
      <c r="A67" s="151" t="s">
        <v>50</v>
      </c>
      <c r="B67" s="156">
        <f>B62*B64</f>
        <v>0</v>
      </c>
      <c r="C67" s="180"/>
      <c r="D67" s="180"/>
      <c r="E67" s="180"/>
      <c r="K67" s="1"/>
      <c r="L67" s="161" t="s">
        <v>54</v>
      </c>
      <c r="M67" s="159" t="e">
        <f>G60*(1-G65^G62)/G63</f>
        <v>#NUM!</v>
      </c>
      <c r="N67" s="184"/>
      <c r="O67" s="184"/>
      <c r="P67" s="184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ht="18.75" customHeight="1" thickTop="1" thickBot="1" x14ac:dyDescent="0.25">
      <c r="A68" s="151" t="s">
        <v>52</v>
      </c>
      <c r="B68" s="156" t="e">
        <f>B63/B62</f>
        <v>#DIV/0!</v>
      </c>
      <c r="C68" s="180"/>
      <c r="D68" s="180"/>
      <c r="E68" s="180"/>
      <c r="K68" s="1"/>
      <c r="L68" s="161" t="s">
        <v>55</v>
      </c>
      <c r="M68" s="161" t="s">
        <v>56</v>
      </c>
      <c r="N68" s="161" t="s">
        <v>57</v>
      </c>
      <c r="O68" s="161" t="s">
        <v>58</v>
      </c>
      <c r="P68" s="161" t="s">
        <v>59</v>
      </c>
      <c r="Q68" s="185" t="s">
        <v>68</v>
      </c>
      <c r="R68" s="186" t="s">
        <v>69</v>
      </c>
      <c r="S68" s="186" t="s">
        <v>70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ht="18.75" customHeight="1" thickTop="1" thickBot="1" x14ac:dyDescent="0.25">
      <c r="A69" s="181"/>
      <c r="B69" s="181"/>
      <c r="C69" s="181"/>
      <c r="D69" s="181"/>
      <c r="E69" s="181"/>
      <c r="K69" s="1"/>
      <c r="L69" s="167">
        <v>1</v>
      </c>
      <c r="M69" s="169">
        <f>IF(M61,M61,M67)</f>
        <v>3014.1</v>
      </c>
      <c r="N69" s="168">
        <f t="shared" ref="N69:N78" si="11">$M$36*(1-$M$41^($M$38+1-L69))</f>
        <v>177.94801644452275</v>
      </c>
      <c r="O69" s="168">
        <f t="shared" ref="O69:O78" si="12">$M$36*($M$41^($M$38+1-L69))</f>
        <v>959.84198355547721</v>
      </c>
      <c r="P69" s="168">
        <f t="shared" ref="P69:P78" si="13">IF($M$36,$M$36,$M$42)</f>
        <v>1137.79</v>
      </c>
      <c r="Q69" s="189">
        <v>0</v>
      </c>
      <c r="R69" s="189">
        <f>Q69*$B$87</f>
        <v>0</v>
      </c>
      <c r="S69" s="189">
        <f>SUM(P69:R69)</f>
        <v>1137.79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ht="18.75" customHeight="1" thickTop="1" thickBot="1" x14ac:dyDescent="0.25">
      <c r="A70" s="160" t="s">
        <v>55</v>
      </c>
      <c r="B70" s="160" t="s">
        <v>56</v>
      </c>
      <c r="C70" s="160" t="s">
        <v>57</v>
      </c>
      <c r="D70" s="160" t="s">
        <v>58</v>
      </c>
      <c r="E70" s="160" t="s">
        <v>59</v>
      </c>
      <c r="F70" s="185" t="s">
        <v>68</v>
      </c>
      <c r="G70" s="186" t="s">
        <v>69</v>
      </c>
      <c r="H70" s="186" t="s">
        <v>70</v>
      </c>
      <c r="K70" s="1"/>
      <c r="L70" s="167">
        <v>2</v>
      </c>
      <c r="M70" s="168">
        <f t="shared" ref="M70:M78" si="14">$M$36*(1-$M$41^($M$38+1-L70))/$M$39</f>
        <v>4183.1642720665695</v>
      </c>
      <c r="N70" s="168">
        <f t="shared" si="11"/>
        <v>144.7374838135033</v>
      </c>
      <c r="O70" s="168">
        <f t="shared" si="12"/>
        <v>993.05251618649663</v>
      </c>
      <c r="P70" s="168">
        <f t="shared" si="13"/>
        <v>1137.79</v>
      </c>
      <c r="Q70" s="189">
        <f>S69</f>
        <v>1137.79</v>
      </c>
      <c r="R70" s="189">
        <f>Q70*$B$87</f>
        <v>53.134792999999995</v>
      </c>
      <c r="S70" s="189">
        <f t="shared" ref="S70:S78" si="15">SUM(P70:R70)</f>
        <v>2328.7147930000001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1:60" ht="18.75" customHeight="1" thickTop="1" thickBot="1" x14ac:dyDescent="0.25">
      <c r="A71" s="151">
        <v>1</v>
      </c>
      <c r="B71" s="156">
        <f>IF(B63&gt;0, B63, B67)</f>
        <v>3014.1</v>
      </c>
      <c r="C71" s="156">
        <f>B71*$B$65</f>
        <v>236.90826000000001</v>
      </c>
      <c r="D71" s="156">
        <f>IF($B$62&gt;0,$B$62,$B$66)</f>
        <v>502.34999999999997</v>
      </c>
      <c r="E71" s="156">
        <f>D71+C71</f>
        <v>739.25825999999995</v>
      </c>
      <c r="F71" s="187">
        <v>0</v>
      </c>
      <c r="G71" s="187">
        <f>F71*$B$65</f>
        <v>0</v>
      </c>
      <c r="H71" s="187">
        <f>SUM(E71:G71)</f>
        <v>739.25825999999995</v>
      </c>
      <c r="K71" s="1"/>
      <c r="L71" s="167">
        <v>3</v>
      </c>
      <c r="M71" s="168">
        <f t="shared" si="14"/>
        <v>3190.1117558800725</v>
      </c>
      <c r="N71" s="168">
        <f t="shared" si="11"/>
        <v>110.3778667534505</v>
      </c>
      <c r="O71" s="168">
        <f t="shared" si="12"/>
        <v>1027.4121332465495</v>
      </c>
      <c r="P71" s="168">
        <f t="shared" si="13"/>
        <v>1137.79</v>
      </c>
      <c r="Q71" s="189">
        <f t="shared" ref="Q71:Q78" si="16">S70</f>
        <v>2328.7147930000001</v>
      </c>
      <c r="R71" s="189">
        <f t="shared" ref="R71:R78" si="17">Q71*$B$87</f>
        <v>108.7509808331</v>
      </c>
      <c r="S71" s="189">
        <f t="shared" si="15"/>
        <v>3575.2557738331002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ht="18.75" customHeight="1" thickTop="1" thickBot="1" x14ac:dyDescent="0.25">
      <c r="A72" s="151">
        <v>2</v>
      </c>
      <c r="B72" s="156">
        <f t="shared" ref="B72:B80" si="18">B71-D72</f>
        <v>2511.75</v>
      </c>
      <c r="C72" s="156">
        <f t="shared" ref="C72:C80" si="19">B72*$B$65</f>
        <v>197.42355000000001</v>
      </c>
      <c r="D72" s="156">
        <f t="shared" ref="D72:D80" si="20">IF($B$62&gt;0,$B$62,$B$66)</f>
        <v>502.34999999999997</v>
      </c>
      <c r="E72" s="156">
        <f t="shared" ref="E72:E80" si="21">D72+C72</f>
        <v>699.77355</v>
      </c>
      <c r="F72" s="187">
        <f>H71</f>
        <v>739.25825999999995</v>
      </c>
      <c r="G72" s="187">
        <f t="shared" ref="G72:G80" si="22">F72*$B$65</f>
        <v>58.105699236</v>
      </c>
      <c r="H72" s="187">
        <f t="shared" ref="H72:H80" si="23">SUM(E72:G72)</f>
        <v>1497.1375092359999</v>
      </c>
      <c r="K72" s="1"/>
      <c r="L72" s="167">
        <v>4</v>
      </c>
      <c r="M72" s="168">
        <f t="shared" si="14"/>
        <v>2162.6996226335255</v>
      </c>
      <c r="N72" s="168">
        <f t="shared" si="11"/>
        <v>74.829406943119977</v>
      </c>
      <c r="O72" s="168">
        <f t="shared" si="12"/>
        <v>1062.96059305688</v>
      </c>
      <c r="P72" s="168">
        <f t="shared" si="13"/>
        <v>1137.79</v>
      </c>
      <c r="Q72" s="189">
        <f t="shared" si="16"/>
        <v>3575.2557738331002</v>
      </c>
      <c r="R72" s="189">
        <f t="shared" si="17"/>
        <v>166.96444463800577</v>
      </c>
      <c r="S72" s="192">
        <f t="shared" si="15"/>
        <v>4880.0102184711068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ht="18.75" customHeight="1" thickTop="1" thickBot="1" x14ac:dyDescent="0.25">
      <c r="A73" s="151">
        <v>3</v>
      </c>
      <c r="B73" s="156">
        <f t="shared" si="18"/>
        <v>2009.4</v>
      </c>
      <c r="C73" s="156">
        <f t="shared" si="19"/>
        <v>157.93884000000003</v>
      </c>
      <c r="D73" s="156">
        <f t="shared" si="20"/>
        <v>502.34999999999997</v>
      </c>
      <c r="E73" s="156">
        <f t="shared" si="21"/>
        <v>660.28883999999994</v>
      </c>
      <c r="F73" s="187">
        <f t="shared" ref="F73:F80" si="24">H72</f>
        <v>1497.1375092359999</v>
      </c>
      <c r="G73" s="187">
        <f t="shared" si="22"/>
        <v>117.6750082259496</v>
      </c>
      <c r="H73" s="187">
        <f t="shared" si="23"/>
        <v>2275.1013574619492</v>
      </c>
      <c r="K73" s="1"/>
      <c r="L73" s="167">
        <v>5</v>
      </c>
      <c r="M73" s="168">
        <f t="shared" si="14"/>
        <v>1099.7390295766465</v>
      </c>
      <c r="N73" s="168">
        <f t="shared" si="11"/>
        <v>38.05097042335197</v>
      </c>
      <c r="O73" s="168">
        <f t="shared" si="12"/>
        <v>1099.7390295766479</v>
      </c>
      <c r="P73" s="168">
        <f t="shared" si="13"/>
        <v>1137.79</v>
      </c>
      <c r="Q73" s="189">
        <f t="shared" si="16"/>
        <v>4880.0102184711068</v>
      </c>
      <c r="R73" s="189">
        <f t="shared" si="17"/>
        <v>227.89647720260069</v>
      </c>
      <c r="S73" s="189">
        <f t="shared" si="15"/>
        <v>6245.6966956737078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1:60" ht="18.75" customHeight="1" thickTop="1" thickBot="1" x14ac:dyDescent="0.25">
      <c r="A74" s="151">
        <v>4</v>
      </c>
      <c r="B74" s="156">
        <f t="shared" si="18"/>
        <v>1507.0500000000002</v>
      </c>
      <c r="C74" s="156">
        <f t="shared" si="19"/>
        <v>118.45413000000002</v>
      </c>
      <c r="D74" s="156">
        <f t="shared" si="20"/>
        <v>502.34999999999997</v>
      </c>
      <c r="E74" s="156">
        <f t="shared" si="21"/>
        <v>620.80412999999999</v>
      </c>
      <c r="F74" s="187">
        <f t="shared" si="24"/>
        <v>2275.1013574619492</v>
      </c>
      <c r="G74" s="187">
        <f t="shared" si="22"/>
        <v>178.82296669650921</v>
      </c>
      <c r="H74" s="187">
        <f t="shared" si="23"/>
        <v>3074.7284541584586</v>
      </c>
      <c r="K74" s="1"/>
      <c r="L74" s="167">
        <v>6</v>
      </c>
      <c r="M74" s="168">
        <f t="shared" si="14"/>
        <v>0</v>
      </c>
      <c r="N74" s="168">
        <f t="shared" si="11"/>
        <v>0</v>
      </c>
      <c r="O74" s="168">
        <f t="shared" si="12"/>
        <v>1137.79</v>
      </c>
      <c r="P74" s="168">
        <f t="shared" si="13"/>
        <v>1137.79</v>
      </c>
      <c r="Q74" s="189">
        <f t="shared" si="16"/>
        <v>6245.6966956737078</v>
      </c>
      <c r="R74" s="189">
        <f t="shared" si="17"/>
        <v>291.67403568796215</v>
      </c>
      <c r="S74" s="189">
        <f t="shared" si="15"/>
        <v>7675.1607313616696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60" ht="18.75" customHeight="1" thickTop="1" thickBot="1" x14ac:dyDescent="0.25">
      <c r="A75" s="151">
        <v>5</v>
      </c>
      <c r="B75" s="156">
        <f t="shared" si="18"/>
        <v>1004.7000000000003</v>
      </c>
      <c r="C75" s="156">
        <f t="shared" si="19"/>
        <v>78.969420000000028</v>
      </c>
      <c r="D75" s="156">
        <f t="shared" si="20"/>
        <v>502.34999999999997</v>
      </c>
      <c r="E75" s="156">
        <f t="shared" si="21"/>
        <v>581.31942000000004</v>
      </c>
      <c r="F75" s="187">
        <f t="shared" si="24"/>
        <v>3074.7284541584586</v>
      </c>
      <c r="G75" s="187">
        <f t="shared" si="22"/>
        <v>241.67365649685485</v>
      </c>
      <c r="H75" s="187">
        <f t="shared" si="23"/>
        <v>3897.7215306553135</v>
      </c>
      <c r="K75" s="1"/>
      <c r="L75" s="167">
        <v>7</v>
      </c>
      <c r="M75" s="168">
        <f t="shared" si="14"/>
        <v>-1137.7899999999988</v>
      </c>
      <c r="N75" s="168">
        <f t="shared" si="11"/>
        <v>-39.367533999999957</v>
      </c>
      <c r="O75" s="168">
        <f t="shared" si="12"/>
        <v>1177.1575339999999</v>
      </c>
      <c r="P75" s="168">
        <f t="shared" si="13"/>
        <v>1137.79</v>
      </c>
      <c r="Q75" s="189">
        <f t="shared" si="16"/>
        <v>7675.1607313616696</v>
      </c>
      <c r="R75" s="189">
        <f t="shared" si="17"/>
        <v>358.43000615458993</v>
      </c>
      <c r="S75" s="189">
        <f t="shared" si="15"/>
        <v>9171.3807375162596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1:60" ht="18.75" customHeight="1" thickTop="1" thickBot="1" x14ac:dyDescent="0.25">
      <c r="A76" s="151">
        <v>6</v>
      </c>
      <c r="B76" s="156">
        <f t="shared" si="18"/>
        <v>502.35000000000031</v>
      </c>
      <c r="C76" s="156">
        <f t="shared" si="19"/>
        <v>39.484710000000028</v>
      </c>
      <c r="D76" s="156">
        <f t="shared" si="20"/>
        <v>502.34999999999997</v>
      </c>
      <c r="E76" s="156">
        <f t="shared" si="21"/>
        <v>541.83470999999997</v>
      </c>
      <c r="F76" s="187">
        <f t="shared" si="24"/>
        <v>3897.7215306553135</v>
      </c>
      <c r="G76" s="187">
        <f t="shared" si="22"/>
        <v>306.36091230950763</v>
      </c>
      <c r="H76" s="187">
        <f t="shared" si="23"/>
        <v>4745.9171529648211</v>
      </c>
      <c r="K76" s="1"/>
      <c r="L76" s="167">
        <v>8</v>
      </c>
      <c r="M76" s="168">
        <f t="shared" si="14"/>
        <v>-2314.9475339999985</v>
      </c>
      <c r="N76" s="168">
        <f t="shared" si="11"/>
        <v>-80.097184676399948</v>
      </c>
      <c r="O76" s="168">
        <f t="shared" si="12"/>
        <v>1217.8871846764</v>
      </c>
      <c r="P76" s="168">
        <f t="shared" si="13"/>
        <v>1137.79</v>
      </c>
      <c r="Q76" s="189">
        <f t="shared" si="16"/>
        <v>9171.3807375162596</v>
      </c>
      <c r="R76" s="189">
        <f t="shared" si="17"/>
        <v>428.30348044200929</v>
      </c>
      <c r="S76" s="189">
        <f t="shared" si="15"/>
        <v>10737.474217958268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ht="18.75" customHeight="1" thickTop="1" thickBot="1" x14ac:dyDescent="0.25">
      <c r="A77" s="151">
        <v>7</v>
      </c>
      <c r="B77" s="156">
        <f t="shared" si="18"/>
        <v>0</v>
      </c>
      <c r="C77" s="156">
        <f t="shared" si="19"/>
        <v>0</v>
      </c>
      <c r="D77" s="156">
        <f t="shared" si="20"/>
        <v>502.34999999999997</v>
      </c>
      <c r="E77" s="156">
        <f t="shared" si="21"/>
        <v>502.34999999999997</v>
      </c>
      <c r="F77" s="187">
        <f t="shared" si="24"/>
        <v>4745.9171529648211</v>
      </c>
      <c r="G77" s="187">
        <f t="shared" si="22"/>
        <v>373.02908822303493</v>
      </c>
      <c r="H77" s="187">
        <f t="shared" si="23"/>
        <v>5621.2962411878561</v>
      </c>
      <c r="K77" s="1"/>
      <c r="L77" s="167">
        <v>9</v>
      </c>
      <c r="M77" s="168">
        <f t="shared" si="14"/>
        <v>-3532.8347186763949</v>
      </c>
      <c r="N77" s="168">
        <f t="shared" si="11"/>
        <v>-122.23608126620326</v>
      </c>
      <c r="O77" s="168">
        <f t="shared" si="12"/>
        <v>1260.0260812662032</v>
      </c>
      <c r="P77" s="168">
        <f t="shared" si="13"/>
        <v>1137.79</v>
      </c>
      <c r="Q77" s="189">
        <f t="shared" si="16"/>
        <v>10737.474217958268</v>
      </c>
      <c r="R77" s="189">
        <f t="shared" si="17"/>
        <v>501.44004597865109</v>
      </c>
      <c r="S77" s="189">
        <f t="shared" si="15"/>
        <v>12376.704263936919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ht="18.75" customHeight="1" thickTop="1" thickBot="1" x14ac:dyDescent="0.25">
      <c r="A78" s="151">
        <v>8</v>
      </c>
      <c r="B78" s="156">
        <f t="shared" si="18"/>
        <v>-502.34999999999997</v>
      </c>
      <c r="C78" s="156">
        <f t="shared" si="19"/>
        <v>-39.48471</v>
      </c>
      <c r="D78" s="156">
        <f t="shared" si="20"/>
        <v>502.34999999999997</v>
      </c>
      <c r="E78" s="156">
        <f t="shared" si="21"/>
        <v>462.86528999999996</v>
      </c>
      <c r="F78" s="187">
        <f t="shared" si="24"/>
        <v>5621.2962411878561</v>
      </c>
      <c r="G78" s="187">
        <f t="shared" si="22"/>
        <v>441.83388455736554</v>
      </c>
      <c r="H78" s="187">
        <f t="shared" si="23"/>
        <v>6525.9954157452212</v>
      </c>
      <c r="K78" s="1"/>
      <c r="L78" s="167">
        <v>10</v>
      </c>
      <c r="M78" s="168">
        <f t="shared" si="14"/>
        <v>-4792.8607999425958</v>
      </c>
      <c r="N78" s="168">
        <f t="shared" si="11"/>
        <v>-165.83298367801382</v>
      </c>
      <c r="O78" s="168">
        <f t="shared" si="12"/>
        <v>1303.6229836780137</v>
      </c>
      <c r="P78" s="168">
        <f t="shared" si="13"/>
        <v>1137.79</v>
      </c>
      <c r="Q78" s="189">
        <f t="shared" si="16"/>
        <v>12376.704263936919</v>
      </c>
      <c r="R78" s="189">
        <f t="shared" si="17"/>
        <v>577.99208912585414</v>
      </c>
      <c r="S78" s="189">
        <f t="shared" si="15"/>
        <v>14092.486353062772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ht="18.75" customHeight="1" thickTop="1" thickBot="1" x14ac:dyDescent="0.25">
      <c r="A79" s="151">
        <v>9</v>
      </c>
      <c r="B79" s="156">
        <f t="shared" si="18"/>
        <v>-1004.6999999999999</v>
      </c>
      <c r="C79" s="156">
        <f t="shared" si="19"/>
        <v>-78.96942</v>
      </c>
      <c r="D79" s="156">
        <f t="shared" si="20"/>
        <v>502.34999999999997</v>
      </c>
      <c r="E79" s="156">
        <f t="shared" si="21"/>
        <v>423.38057999999995</v>
      </c>
      <c r="F79" s="187">
        <f t="shared" si="24"/>
        <v>6525.9954157452212</v>
      </c>
      <c r="G79" s="187">
        <f t="shared" si="22"/>
        <v>512.94323967757441</v>
      </c>
      <c r="H79" s="187">
        <f t="shared" si="23"/>
        <v>7462.3192354227958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1:60" ht="18.75" customHeight="1" thickTop="1" thickBot="1" x14ac:dyDescent="0.25">
      <c r="A80" s="151">
        <v>10</v>
      </c>
      <c r="B80" s="156">
        <f t="shared" si="18"/>
        <v>-1507.05</v>
      </c>
      <c r="C80" s="156">
        <f t="shared" si="19"/>
        <v>-118.45413000000001</v>
      </c>
      <c r="D80" s="156">
        <f t="shared" si="20"/>
        <v>502.34999999999997</v>
      </c>
      <c r="E80" s="156">
        <f t="shared" si="21"/>
        <v>383.89586999999995</v>
      </c>
      <c r="F80" s="187">
        <f t="shared" si="24"/>
        <v>7462.3192354227958</v>
      </c>
      <c r="G80" s="187">
        <f t="shared" si="22"/>
        <v>586.53829190423176</v>
      </c>
      <c r="H80" s="187">
        <f t="shared" si="23"/>
        <v>8432.7533973270274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1:60" ht="18.75" customHeight="1" thickTop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1:60" ht="18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ht="18.75" customHeight="1" thickBo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ht="18.75" customHeight="1" thickTop="1" thickBot="1" x14ac:dyDescent="0.25">
      <c r="A84" s="152" t="s">
        <v>44</v>
      </c>
      <c r="B84" s="188">
        <v>689.84258399999999</v>
      </c>
      <c r="C84" s="180"/>
      <c r="D84" s="180"/>
      <c r="E84" s="18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ht="18.75" customHeight="1" thickTop="1" thickBot="1" x14ac:dyDescent="0.25">
      <c r="A85" s="152" t="s">
        <v>45</v>
      </c>
      <c r="B85" s="162">
        <v>3014.1</v>
      </c>
      <c r="C85" s="180"/>
      <c r="D85" s="180"/>
      <c r="E85" s="18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ht="18.75" customHeight="1" thickTop="1" thickBot="1" x14ac:dyDescent="0.25">
      <c r="A86" s="152" t="s">
        <v>46</v>
      </c>
      <c r="B86" s="162">
        <v>5</v>
      </c>
      <c r="C86" s="149"/>
      <c r="D86" s="178" t="s">
        <v>61</v>
      </c>
      <c r="E86" s="180"/>
      <c r="F86" s="213" t="s">
        <v>71</v>
      </c>
      <c r="G86" s="2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ht="18.75" customHeight="1" thickTop="1" thickBot="1" x14ac:dyDescent="0.25">
      <c r="A87" s="152" t="s">
        <v>47</v>
      </c>
      <c r="B87" s="155">
        <v>4.6699999999999998E-2</v>
      </c>
      <c r="C87" s="180"/>
      <c r="D87" s="180"/>
      <c r="E87" s="18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ht="18.75" customHeight="1" thickTop="1" thickBot="1" x14ac:dyDescent="0.25">
      <c r="A88" s="152" t="s">
        <v>49</v>
      </c>
      <c r="B88" s="157">
        <f>1+B87</f>
        <v>1.0467</v>
      </c>
      <c r="C88" s="180"/>
      <c r="D88" s="180"/>
      <c r="E88" s="18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1:60" ht="18.75" customHeight="1" thickTop="1" thickBot="1" x14ac:dyDescent="0.25">
      <c r="A89" s="152" t="s">
        <v>51</v>
      </c>
      <c r="B89" s="158">
        <f>1/B88</f>
        <v>0.95538358650998378</v>
      </c>
      <c r="C89" s="180"/>
      <c r="D89" s="171"/>
      <c r="E89" s="18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ht="18.75" customHeight="1" thickTop="1" thickBot="1" x14ac:dyDescent="0.25">
      <c r="A90" s="162" t="s">
        <v>53</v>
      </c>
      <c r="B90" s="159">
        <f>B85*B87/(1-B89^B86)</f>
        <v>689.84258440720521</v>
      </c>
      <c r="C90" s="180"/>
      <c r="D90" s="180"/>
      <c r="E90" s="18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ht="18.75" customHeight="1" thickTop="1" thickBot="1" x14ac:dyDescent="0.25">
      <c r="A91" s="162" t="s">
        <v>54</v>
      </c>
      <c r="B91" s="170">
        <f>B84*(1-B89^B86)/B87</f>
        <v>3014.0999982208155</v>
      </c>
      <c r="C91" s="181"/>
      <c r="D91" s="181"/>
      <c r="E91" s="18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ht="18.75" customHeight="1" thickTop="1" thickBot="1" x14ac:dyDescent="0.25">
      <c r="A92" s="161" t="s">
        <v>55</v>
      </c>
      <c r="B92" s="161" t="s">
        <v>56</v>
      </c>
      <c r="C92" s="161" t="s">
        <v>57</v>
      </c>
      <c r="D92" s="161" t="s">
        <v>58</v>
      </c>
      <c r="E92" s="161" t="s">
        <v>59</v>
      </c>
      <c r="F92" s="185" t="s">
        <v>68</v>
      </c>
      <c r="G92" s="186" t="s">
        <v>69</v>
      </c>
      <c r="H92" s="186" t="s">
        <v>70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ht="18.75" customHeight="1" thickTop="1" thickBot="1" x14ac:dyDescent="0.25">
      <c r="A93" s="162">
        <v>1</v>
      </c>
      <c r="B93" s="159">
        <f>IF(B85,B85,B91)</f>
        <v>3014.1</v>
      </c>
      <c r="C93" s="162">
        <f>B93*$G$39</f>
        <v>294.77897999999999</v>
      </c>
      <c r="D93" s="162">
        <f>E93-C93</f>
        <v>395.063604</v>
      </c>
      <c r="E93" s="162">
        <f>IF($B$84&gt;0,$B$84,B90)</f>
        <v>689.84258399999999</v>
      </c>
      <c r="F93" s="189">
        <v>0</v>
      </c>
      <c r="G93" s="189">
        <f>F93*$B$87</f>
        <v>0</v>
      </c>
      <c r="H93" s="189">
        <f>SUM(E93:G93)</f>
        <v>689.84258399999999</v>
      </c>
      <c r="I93" s="178" t="s">
        <v>72</v>
      </c>
      <c r="J93" s="1">
        <f>SUM(E71:E75)+SUM(E93:E96)-B71</f>
        <v>3046.714536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1:60" ht="18.75" customHeight="1" thickTop="1" thickBot="1" x14ac:dyDescent="0.25">
      <c r="A94" s="162">
        <v>2</v>
      </c>
      <c r="B94" s="166">
        <f>B93-D93</f>
        <v>2619.036396</v>
      </c>
      <c r="C94" s="166">
        <f t="shared" ref="C94:C102" si="25">B94*$G$39</f>
        <v>256.14175952879998</v>
      </c>
      <c r="D94" s="191">
        <f>E94-C94</f>
        <v>433.70082447120001</v>
      </c>
      <c r="E94" s="162">
        <f t="shared" ref="E94:E102" si="26">IF($B$84&gt;0,$B$84,B91)</f>
        <v>689.84258399999999</v>
      </c>
      <c r="F94" s="189">
        <f>H93</f>
        <v>689.84258399999999</v>
      </c>
      <c r="G94" s="189">
        <f>F94*$B$87</f>
        <v>32.2156486728</v>
      </c>
      <c r="H94" s="189">
        <f t="shared" ref="H94:H102" si="27">SUM(E94:G94)</f>
        <v>1411.9008166727999</v>
      </c>
      <c r="I94" s="178" t="s">
        <v>73</v>
      </c>
      <c r="J94" s="1">
        <f>SUM(E71:E75)+SUM(E93:E96)</f>
        <v>6060.8145359999999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 ht="18.75" customHeight="1" thickTop="1" thickBot="1" x14ac:dyDescent="0.25">
      <c r="A95" s="162">
        <v>3</v>
      </c>
      <c r="B95" s="166">
        <f>B94-D94</f>
        <v>2185.3355715287998</v>
      </c>
      <c r="C95" s="166">
        <f t="shared" si="25"/>
        <v>213.72581889551662</v>
      </c>
      <c r="D95" s="191">
        <f t="shared" ref="D95:D102" si="28">E95-C95</f>
        <v>476.11676510448336</v>
      </c>
      <c r="E95" s="162">
        <f t="shared" si="26"/>
        <v>689.84258399999999</v>
      </c>
      <c r="F95" s="189">
        <f t="shared" ref="F95:F102" si="29">H94</f>
        <v>1411.9008166727999</v>
      </c>
      <c r="G95" s="189">
        <f t="shared" ref="G95:G102" si="30">F95*$B$87</f>
        <v>65.93576813861975</v>
      </c>
      <c r="H95" s="189">
        <f t="shared" si="27"/>
        <v>2167.6791688114195</v>
      </c>
      <c r="I95" s="178" t="s">
        <v>74</v>
      </c>
      <c r="J95" s="190">
        <f>SUM(C71:C76)-SUM(G93:G96)</f>
        <v>629.79687600508703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1:60" ht="18.75" customHeight="1" thickTop="1" thickBot="1" x14ac:dyDescent="0.25">
      <c r="A96" s="162">
        <v>4</v>
      </c>
      <c r="B96" s="166">
        <f t="shared" ref="B96" si="31">B95-D95</f>
        <v>1709.2188064243164</v>
      </c>
      <c r="C96" s="166">
        <f t="shared" si="25"/>
        <v>167.16159926829815</v>
      </c>
      <c r="D96" s="191">
        <f t="shared" si="28"/>
        <v>522.68098473170187</v>
      </c>
      <c r="E96" s="162">
        <f t="shared" si="26"/>
        <v>689.84258399999999</v>
      </c>
      <c r="F96" s="189">
        <f t="shared" si="29"/>
        <v>2167.6791688114195</v>
      </c>
      <c r="G96" s="189">
        <f t="shared" si="30"/>
        <v>101.23061718349328</v>
      </c>
      <c r="H96" s="189">
        <f t="shared" si="27"/>
        <v>2958.7523699949129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ht="18.75" customHeight="1" thickTop="1" thickBot="1" x14ac:dyDescent="0.25">
      <c r="A97" s="162">
        <v>5</v>
      </c>
      <c r="B97" s="166">
        <f>B96-D96</f>
        <v>1186.5378216926147</v>
      </c>
      <c r="C97" s="166">
        <f t="shared" si="25"/>
        <v>116.04339896153772</v>
      </c>
      <c r="D97" s="191">
        <f t="shared" si="28"/>
        <v>573.79918503846227</v>
      </c>
      <c r="E97" s="162">
        <f t="shared" si="26"/>
        <v>689.84258399999999</v>
      </c>
      <c r="F97" s="189">
        <f t="shared" si="29"/>
        <v>2958.7523699949129</v>
      </c>
      <c r="G97" s="189">
        <f t="shared" si="30"/>
        <v>138.17373567876243</v>
      </c>
      <c r="H97" s="189">
        <f t="shared" si="27"/>
        <v>3786.7686896736755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1:60" ht="18.75" customHeight="1" thickTop="1" thickBot="1" x14ac:dyDescent="0.25">
      <c r="A98" s="162">
        <v>6</v>
      </c>
      <c r="B98" s="166">
        <f t="shared" ref="B98:B102" si="32">B97-D97</f>
        <v>612.7386366541524</v>
      </c>
      <c r="C98" s="166">
        <f t="shared" si="25"/>
        <v>59.925838664776101</v>
      </c>
      <c r="D98" s="191">
        <f t="shared" si="28"/>
        <v>629.91674533522394</v>
      </c>
      <c r="E98" s="162">
        <f t="shared" si="26"/>
        <v>689.84258399999999</v>
      </c>
      <c r="F98" s="189">
        <f t="shared" si="29"/>
        <v>3786.7686896736755</v>
      </c>
      <c r="G98" s="189">
        <f t="shared" si="30"/>
        <v>176.84209780776064</v>
      </c>
      <c r="H98" s="189">
        <f t="shared" si="27"/>
        <v>4653.453371481437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1:60" ht="18.75" customHeight="1" thickTop="1" thickBot="1" x14ac:dyDescent="0.25">
      <c r="A99" s="162">
        <v>7</v>
      </c>
      <c r="B99" s="166">
        <f t="shared" si="32"/>
        <v>-17.178108681071535</v>
      </c>
      <c r="C99" s="166">
        <f t="shared" si="25"/>
        <v>-1.6800190290087962</v>
      </c>
      <c r="D99" s="191">
        <f t="shared" si="28"/>
        <v>691.52260302900879</v>
      </c>
      <c r="E99" s="162">
        <f t="shared" si="26"/>
        <v>689.84258399999999</v>
      </c>
      <c r="F99" s="189">
        <f t="shared" si="29"/>
        <v>4653.453371481437</v>
      </c>
      <c r="G99" s="189">
        <f t="shared" si="30"/>
        <v>217.3162724481831</v>
      </c>
      <c r="H99" s="189">
        <f t="shared" si="27"/>
        <v>5560.6122279296196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1:60" ht="18.75" customHeight="1" thickTop="1" thickBot="1" x14ac:dyDescent="0.25">
      <c r="A100" s="162">
        <v>8</v>
      </c>
      <c r="B100" s="166">
        <f t="shared" si="32"/>
        <v>-708.70071171008033</v>
      </c>
      <c r="C100" s="166">
        <f t="shared" si="25"/>
        <v>-69.31092960524586</v>
      </c>
      <c r="D100" s="191">
        <f t="shared" si="28"/>
        <v>759.15351360524585</v>
      </c>
      <c r="E100" s="162">
        <f t="shared" si="26"/>
        <v>689.84258399999999</v>
      </c>
      <c r="F100" s="189">
        <f t="shared" si="29"/>
        <v>5560.6122279296196</v>
      </c>
      <c r="G100" s="189">
        <f t="shared" si="30"/>
        <v>259.68059104431325</v>
      </c>
      <c r="H100" s="189">
        <f t="shared" si="27"/>
        <v>6510.1354029739332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1:60" ht="18.75" customHeight="1" thickTop="1" thickBot="1" x14ac:dyDescent="0.25">
      <c r="A101" s="162">
        <v>9</v>
      </c>
      <c r="B101" s="166">
        <f t="shared" si="32"/>
        <v>-1467.8542253153262</v>
      </c>
      <c r="C101" s="166">
        <f t="shared" si="25"/>
        <v>-143.5561432358389</v>
      </c>
      <c r="D101" s="191">
        <f t="shared" si="28"/>
        <v>833.39872723583892</v>
      </c>
      <c r="E101" s="162">
        <f t="shared" si="26"/>
        <v>689.84258399999999</v>
      </c>
      <c r="F101" s="189">
        <f t="shared" si="29"/>
        <v>6510.1354029739332</v>
      </c>
      <c r="G101" s="189">
        <f t="shared" si="30"/>
        <v>304.02332331888266</v>
      </c>
      <c r="H101" s="189">
        <f t="shared" si="27"/>
        <v>7504.001310292816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1:60" ht="18.75" customHeight="1" thickTop="1" thickBot="1" x14ac:dyDescent="0.25">
      <c r="A102" s="162">
        <v>10</v>
      </c>
      <c r="B102" s="166">
        <f t="shared" si="32"/>
        <v>-2301.252952551165</v>
      </c>
      <c r="C102" s="166">
        <f t="shared" si="25"/>
        <v>-225.06253875950392</v>
      </c>
      <c r="D102" s="191">
        <f t="shared" si="28"/>
        <v>914.90512275950391</v>
      </c>
      <c r="E102" s="162">
        <f t="shared" si="26"/>
        <v>689.84258399999999</v>
      </c>
      <c r="F102" s="189">
        <f t="shared" si="29"/>
        <v>7504.001310292816</v>
      </c>
      <c r="G102" s="189">
        <f t="shared" si="30"/>
        <v>350.43686119067451</v>
      </c>
      <c r="H102" s="189">
        <f t="shared" si="27"/>
        <v>8544.280755483489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1:60" ht="18.75" customHeight="1" thickTop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1:60" ht="18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1:60" ht="18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1:60" ht="18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1:60" ht="18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1:60" ht="18.75" customHeight="1" thickBo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ht="18.75" customHeight="1" x14ac:dyDescent="0.2">
      <c r="A109" s="1"/>
      <c r="B109" s="1"/>
      <c r="C109" s="1"/>
      <c r="D109" s="193" t="s">
        <v>45</v>
      </c>
      <c r="E109" s="194">
        <v>6320.64</v>
      </c>
      <c r="F109" s="195" t="s">
        <v>75</v>
      </c>
      <c r="G109" s="194">
        <v>223</v>
      </c>
      <c r="H109" s="195" t="s">
        <v>44</v>
      </c>
      <c r="I109" s="196">
        <v>6.8199999999999997E-2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1:60" ht="18.75" customHeight="1" x14ac:dyDescent="0.2">
      <c r="A110" s="1"/>
      <c r="B110" s="1"/>
      <c r="C110" s="1"/>
      <c r="D110" s="197"/>
      <c r="E110" s="198"/>
      <c r="F110" s="198"/>
      <c r="G110" s="198"/>
      <c r="H110" s="198"/>
      <c r="I110" s="199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1:60" ht="18.75" customHeight="1" x14ac:dyDescent="0.2">
      <c r="A111" s="1"/>
      <c r="B111" s="1"/>
      <c r="C111" s="1"/>
      <c r="D111" s="197"/>
      <c r="E111" s="198"/>
      <c r="F111" s="198"/>
      <c r="G111" s="198"/>
      <c r="H111" s="198"/>
      <c r="I111" s="199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1:60" ht="18.75" customHeight="1" x14ac:dyDescent="0.2">
      <c r="A112" s="1"/>
      <c r="B112" s="1"/>
      <c r="C112" s="1"/>
      <c r="D112" s="197"/>
      <c r="E112" s="198"/>
      <c r="F112" s="198"/>
      <c r="G112" s="198"/>
      <c r="H112" s="198"/>
      <c r="I112" s="199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1:60" ht="18.75" customHeight="1" thickBot="1" x14ac:dyDescent="0.25">
      <c r="A113" s="1"/>
      <c r="B113" s="1"/>
      <c r="C113" s="1"/>
      <c r="D113" s="200"/>
      <c r="E113" s="201"/>
      <c r="F113" s="202" t="s">
        <v>76</v>
      </c>
      <c r="G113" s="203">
        <f>E109*(1+I109*G109/360)</f>
        <v>6587.6624597333339</v>
      </c>
      <c r="H113" s="201"/>
      <c r="I113" s="20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1:60" ht="18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1:60" ht="18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1:60" ht="18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1:60" ht="18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1:60" ht="18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1:60" ht="18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1:60" ht="18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1:60" ht="18.75" customHeight="1" x14ac:dyDescent="0.2">
      <c r="A121" s="1"/>
      <c r="B121" s="1"/>
      <c r="C121" s="1"/>
      <c r="D121" s="205" t="s">
        <v>47</v>
      </c>
      <c r="E121" s="206">
        <v>5.04E-2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1:60" ht="18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1:60" ht="18.75" customHeight="1" thickBo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1:60" ht="18.75" customHeight="1" thickTop="1" thickBot="1" x14ac:dyDescent="0.25">
      <c r="A124" s="1"/>
      <c r="B124" s="1"/>
      <c r="C124" s="160" t="s">
        <v>55</v>
      </c>
      <c r="D124" s="160" t="s">
        <v>59</v>
      </c>
      <c r="E124" s="185" t="s">
        <v>68</v>
      </c>
      <c r="F124" s="186" t="s">
        <v>69</v>
      </c>
      <c r="G124" s="186" t="s">
        <v>70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1:60" ht="18.75" customHeight="1" thickTop="1" thickBot="1" x14ac:dyDescent="0.25">
      <c r="A125" s="1"/>
      <c r="B125" s="1"/>
      <c r="C125" s="151">
        <v>1</v>
      </c>
      <c r="D125" s="156">
        <v>302.3</v>
      </c>
      <c r="E125" s="187">
        <v>0</v>
      </c>
      <c r="F125" s="187">
        <f>E125*$B$65</f>
        <v>0</v>
      </c>
      <c r="G125" s="187">
        <f>SUM(D125:F125)</f>
        <v>302.3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1:60" ht="18.75" customHeight="1" thickTop="1" thickBot="1" x14ac:dyDescent="0.25">
      <c r="A126" s="1"/>
      <c r="B126" s="1"/>
      <c r="C126" s="151">
        <v>2</v>
      </c>
      <c r="D126" s="156">
        <v>256.3</v>
      </c>
      <c r="E126" s="187">
        <f>G125</f>
        <v>302.3</v>
      </c>
      <c r="F126" s="187">
        <f>E126*$E$121</f>
        <v>15.23592</v>
      </c>
      <c r="G126" s="187">
        <f t="shared" ref="G126:G134" si="33">SUM(D126:F126)</f>
        <v>573.83591999999999</v>
      </c>
      <c r="H126" s="1"/>
      <c r="I126" s="1">
        <f>D127-F127</f>
        <v>271.37866963200003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1:60" ht="18.75" customHeight="1" thickTop="1" thickBot="1" x14ac:dyDescent="0.25">
      <c r="A127" s="1"/>
      <c r="B127" s="1"/>
      <c r="C127" s="151">
        <v>3</v>
      </c>
      <c r="D127" s="156">
        <v>300.3</v>
      </c>
      <c r="E127" s="187">
        <f t="shared" ref="E127:E134" si="34">G126</f>
        <v>573.83591999999999</v>
      </c>
      <c r="F127" s="187">
        <f t="shared" ref="F127:F134" si="35">E127*$E$121</f>
        <v>28.921330368</v>
      </c>
      <c r="G127" s="187">
        <f t="shared" si="33"/>
        <v>903.05725036799993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1:60" ht="18.75" customHeight="1" thickTop="1" thickBot="1" x14ac:dyDescent="0.25">
      <c r="A128" s="1"/>
      <c r="B128" s="1"/>
      <c r="C128" s="151">
        <v>4</v>
      </c>
      <c r="D128" s="156">
        <v>296</v>
      </c>
      <c r="E128" s="187">
        <f t="shared" si="34"/>
        <v>903.05725036799993</v>
      </c>
      <c r="F128" s="187">
        <f t="shared" si="35"/>
        <v>45.514085418547197</v>
      </c>
      <c r="G128" s="187">
        <f t="shared" si="33"/>
        <v>1244.5713357865473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1:60" ht="18.75" customHeight="1" thickTop="1" thickBot="1" x14ac:dyDescent="0.25">
      <c r="A129" s="1"/>
      <c r="B129" s="1"/>
      <c r="C129" s="151">
        <v>5</v>
      </c>
      <c r="D129" s="156">
        <v>246.2</v>
      </c>
      <c r="E129" s="187">
        <f t="shared" si="34"/>
        <v>1244.5713357865473</v>
      </c>
      <c r="F129" s="187">
        <f t="shared" si="35"/>
        <v>62.726395323641981</v>
      </c>
      <c r="G129" s="187">
        <f t="shared" si="33"/>
        <v>1553.4977311101893</v>
      </c>
      <c r="H129" s="1"/>
      <c r="I129" s="1">
        <f>G129/5</f>
        <v>310.69954622203784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1:60" ht="18.75" customHeight="1" thickTop="1" thickBot="1" x14ac:dyDescent="0.25">
      <c r="A130" s="1"/>
      <c r="B130" s="1"/>
      <c r="C130" s="151">
        <v>6</v>
      </c>
      <c r="D130" s="156"/>
      <c r="E130" s="187">
        <f t="shared" si="34"/>
        <v>1553.4977311101893</v>
      </c>
      <c r="F130" s="187">
        <f t="shared" si="35"/>
        <v>78.296285647953539</v>
      </c>
      <c r="G130" s="187">
        <f t="shared" si="33"/>
        <v>1631.7940167581428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1:60" ht="18.75" customHeight="1" thickTop="1" thickBot="1" x14ac:dyDescent="0.25">
      <c r="A131" s="1"/>
      <c r="B131" s="1"/>
      <c r="C131" s="151">
        <v>7</v>
      </c>
      <c r="D131" s="156"/>
      <c r="E131" s="187">
        <f t="shared" si="34"/>
        <v>1631.7940167581428</v>
      </c>
      <c r="F131" s="187">
        <f t="shared" si="35"/>
        <v>82.242418444610394</v>
      </c>
      <c r="G131" s="187">
        <f t="shared" si="33"/>
        <v>1714.0364352027532</v>
      </c>
      <c r="H131" s="1"/>
      <c r="I131" s="1">
        <f>G129-E129</f>
        <v>308.92639532364205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1:60" ht="18.75" customHeight="1" thickTop="1" thickBot="1" x14ac:dyDescent="0.25">
      <c r="A132" s="1"/>
      <c r="B132" s="1"/>
      <c r="C132" s="151">
        <v>8</v>
      </c>
      <c r="D132" s="156"/>
      <c r="E132" s="187">
        <f t="shared" si="34"/>
        <v>1714.0364352027532</v>
      </c>
      <c r="F132" s="187">
        <f t="shared" si="35"/>
        <v>86.387436334218762</v>
      </c>
      <c r="G132" s="187">
        <f t="shared" si="33"/>
        <v>1800.423871536972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spans="1:60" ht="18.75" customHeight="1" thickTop="1" thickBot="1" x14ac:dyDescent="0.25">
      <c r="A133" s="1"/>
      <c r="B133" s="1"/>
      <c r="C133" s="151">
        <v>9</v>
      </c>
      <c r="D133" s="156"/>
      <c r="E133" s="187">
        <f t="shared" si="34"/>
        <v>1800.423871536972</v>
      </c>
      <c r="F133" s="187">
        <f t="shared" si="35"/>
        <v>90.741363125463394</v>
      </c>
      <c r="G133" s="187">
        <f t="shared" si="33"/>
        <v>1891.1652346624353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spans="1:60" ht="18.75" customHeight="1" thickTop="1" thickBot="1" x14ac:dyDescent="0.25">
      <c r="A134" s="1"/>
      <c r="B134" s="1"/>
      <c r="C134" s="151">
        <v>10</v>
      </c>
      <c r="D134" s="156"/>
      <c r="E134" s="187">
        <f t="shared" si="34"/>
        <v>1891.1652346624353</v>
      </c>
      <c r="F134" s="187">
        <f t="shared" si="35"/>
        <v>95.31472782698674</v>
      </c>
      <c r="G134" s="187">
        <f t="shared" si="33"/>
        <v>1986.479962489422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 spans="1:60" ht="18.75" customHeight="1" thickTop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 spans="1:60" ht="18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 spans="1:60" ht="18.75" customHeight="1" x14ac:dyDescent="0.2">
      <c r="A137" s="1"/>
      <c r="B137" s="1"/>
      <c r="C137" s="1"/>
      <c r="D137" s="1"/>
      <c r="E137" s="205" t="s">
        <v>47</v>
      </c>
      <c r="F137" s="207">
        <v>7.5600000000000001E-2</v>
      </c>
      <c r="G137" s="1"/>
      <c r="H137" s="211" t="s">
        <v>77</v>
      </c>
      <c r="I137" s="21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1:60" ht="18.75" customHeight="1" thickBo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 spans="1:60" ht="18.75" customHeight="1" thickTop="1" thickBot="1" x14ac:dyDescent="0.25">
      <c r="A139" s="1"/>
      <c r="B139" s="1"/>
      <c r="C139" s="1"/>
      <c r="D139" s="160" t="s">
        <v>55</v>
      </c>
      <c r="E139" s="160" t="s">
        <v>56</v>
      </c>
      <c r="F139" s="160" t="s">
        <v>57</v>
      </c>
      <c r="G139" s="160" t="s">
        <v>58</v>
      </c>
      <c r="H139" s="160" t="s">
        <v>59</v>
      </c>
      <c r="I139" s="185" t="s">
        <v>68</v>
      </c>
      <c r="J139" s="186" t="s">
        <v>69</v>
      </c>
      <c r="K139" s="186" t="s">
        <v>70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 spans="1:60" ht="18.75" customHeight="1" thickTop="1" thickBot="1" x14ac:dyDescent="0.25">
      <c r="A140" s="1"/>
      <c r="B140" s="1"/>
      <c r="C140" s="1"/>
      <c r="D140" s="151">
        <v>1</v>
      </c>
      <c r="E140" s="156">
        <f>SUM(G140:G149)</f>
        <v>1151.3</v>
      </c>
      <c r="F140" s="156">
        <f>E140*$F$137</f>
        <v>87.03828</v>
      </c>
      <c r="G140" s="156">
        <v>282.5</v>
      </c>
      <c r="H140" s="156">
        <f>G140+F140</f>
        <v>369.53827999999999</v>
      </c>
      <c r="I140" s="187">
        <v>0</v>
      </c>
      <c r="J140" s="187">
        <f>I140*$B$65</f>
        <v>0</v>
      </c>
      <c r="K140" s="187">
        <f>SUM(H140:J140)</f>
        <v>369.53827999999999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 spans="1:60" ht="18.75" customHeight="1" thickTop="1" thickBot="1" x14ac:dyDescent="0.25">
      <c r="A141" s="1"/>
      <c r="B141" s="1"/>
      <c r="C141" s="1"/>
      <c r="D141" s="151">
        <v>2</v>
      </c>
      <c r="E141" s="156">
        <f>E140-G140</f>
        <v>868.8</v>
      </c>
      <c r="F141" s="156">
        <f>E141*$F$137</f>
        <v>65.681280000000001</v>
      </c>
      <c r="G141" s="156">
        <v>246.4</v>
      </c>
      <c r="H141" s="156">
        <f t="shared" ref="H141:H149" si="36">G141+F141</f>
        <v>312.08127999999999</v>
      </c>
      <c r="I141" s="187">
        <f>K140</f>
        <v>369.53827999999999</v>
      </c>
      <c r="J141" s="187">
        <f>I141*$F$137</f>
        <v>27.937093967999999</v>
      </c>
      <c r="K141" s="187">
        <f>SUM(H141:J141)</f>
        <v>709.55665396799998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 spans="1:60" ht="18.75" customHeight="1" thickTop="1" thickBot="1" x14ac:dyDescent="0.25">
      <c r="A142" s="1"/>
      <c r="B142" s="1"/>
      <c r="C142" s="1"/>
      <c r="D142" s="151">
        <v>3</v>
      </c>
      <c r="E142" s="156">
        <f t="shared" ref="E142:E149" si="37">E141-G141</f>
        <v>622.4</v>
      </c>
      <c r="F142" s="156">
        <f t="shared" ref="F142:F149" si="38">E142*$F$137</f>
        <v>47.053440000000002</v>
      </c>
      <c r="G142" s="156">
        <v>314.2</v>
      </c>
      <c r="H142" s="156">
        <f t="shared" si="36"/>
        <v>361.25344000000001</v>
      </c>
      <c r="I142" s="187">
        <f>K141</f>
        <v>709.55665396799998</v>
      </c>
      <c r="J142" s="187">
        <f t="shared" ref="J142:J149" si="39">I142*$F$137</f>
        <v>53.642483039980796</v>
      </c>
      <c r="K142" s="187">
        <f t="shared" ref="K142:K149" si="40">SUM(H142:J142)</f>
        <v>1124.4525770079808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 spans="1:60" ht="18.75" customHeight="1" thickTop="1" thickBot="1" x14ac:dyDescent="0.25">
      <c r="A143" s="1"/>
      <c r="B143" s="1"/>
      <c r="C143" s="1"/>
      <c r="D143" s="151">
        <v>4</v>
      </c>
      <c r="E143" s="156">
        <f t="shared" si="37"/>
        <v>308.2</v>
      </c>
      <c r="F143" s="156">
        <f t="shared" si="38"/>
        <v>23.29992</v>
      </c>
      <c r="G143" s="156">
        <v>308.2</v>
      </c>
      <c r="H143" s="156">
        <f t="shared" si="36"/>
        <v>331.49991999999997</v>
      </c>
      <c r="I143" s="187">
        <f t="shared" ref="I143:I149" si="41">K142</f>
        <v>1124.4525770079808</v>
      </c>
      <c r="J143" s="187">
        <f t="shared" si="39"/>
        <v>85.008614821803349</v>
      </c>
      <c r="K143" s="187">
        <f t="shared" si="40"/>
        <v>1540.9611118297842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 spans="1:60" ht="18.75" customHeight="1" thickTop="1" thickBot="1" x14ac:dyDescent="0.25">
      <c r="A144" s="1"/>
      <c r="B144" s="1"/>
      <c r="C144" s="1"/>
      <c r="D144" s="151">
        <v>5</v>
      </c>
      <c r="E144" s="156">
        <f t="shared" si="37"/>
        <v>0</v>
      </c>
      <c r="F144" s="156">
        <f t="shared" si="38"/>
        <v>0</v>
      </c>
      <c r="G144" s="156"/>
      <c r="H144" s="156">
        <f t="shared" si="36"/>
        <v>0</v>
      </c>
      <c r="I144" s="187">
        <f t="shared" si="41"/>
        <v>1540.9611118297842</v>
      </c>
      <c r="J144" s="187">
        <f t="shared" si="39"/>
        <v>116.49666005433168</v>
      </c>
      <c r="K144" s="187">
        <f t="shared" si="40"/>
        <v>1657.4577718841158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 spans="1:60" ht="18.75" customHeight="1" thickTop="1" thickBot="1" x14ac:dyDescent="0.25">
      <c r="A145" s="1"/>
      <c r="B145" s="1"/>
      <c r="C145" s="1"/>
      <c r="D145" s="151">
        <v>6</v>
      </c>
      <c r="E145" s="156">
        <f t="shared" si="37"/>
        <v>0</v>
      </c>
      <c r="F145" s="156">
        <f t="shared" si="38"/>
        <v>0</v>
      </c>
      <c r="G145" s="156"/>
      <c r="H145" s="156">
        <f t="shared" si="36"/>
        <v>0</v>
      </c>
      <c r="I145" s="187">
        <f t="shared" si="41"/>
        <v>1657.4577718841158</v>
      </c>
      <c r="J145" s="187">
        <f t="shared" si="39"/>
        <v>125.30380755443916</v>
      </c>
      <c r="K145" s="187">
        <f t="shared" si="40"/>
        <v>1782.7615794385549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 spans="1:60" ht="18.75" customHeight="1" thickTop="1" thickBot="1" x14ac:dyDescent="0.25">
      <c r="A146" s="1"/>
      <c r="B146" s="1"/>
      <c r="C146" s="1"/>
      <c r="D146" s="151">
        <v>7</v>
      </c>
      <c r="E146" s="156">
        <f t="shared" si="37"/>
        <v>0</v>
      </c>
      <c r="F146" s="156">
        <f t="shared" si="38"/>
        <v>0</v>
      </c>
      <c r="G146" s="156"/>
      <c r="H146" s="156">
        <f t="shared" si="36"/>
        <v>0</v>
      </c>
      <c r="I146" s="187">
        <f t="shared" si="41"/>
        <v>1782.7615794385549</v>
      </c>
      <c r="J146" s="187">
        <f t="shared" si="39"/>
        <v>134.77677540555476</v>
      </c>
      <c r="K146" s="187">
        <f t="shared" si="40"/>
        <v>1917.5383548441096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 spans="1:60" ht="18.75" customHeight="1" thickTop="1" thickBot="1" x14ac:dyDescent="0.25">
      <c r="A147" s="1"/>
      <c r="B147" s="1"/>
      <c r="C147" s="1"/>
      <c r="D147" s="151">
        <v>8</v>
      </c>
      <c r="E147" s="156">
        <f t="shared" si="37"/>
        <v>0</v>
      </c>
      <c r="F147" s="156">
        <f t="shared" si="38"/>
        <v>0</v>
      </c>
      <c r="G147" s="156"/>
      <c r="H147" s="156">
        <f t="shared" si="36"/>
        <v>0</v>
      </c>
      <c r="I147" s="187">
        <f t="shared" si="41"/>
        <v>1917.5383548441096</v>
      </c>
      <c r="J147" s="187">
        <f t="shared" si="39"/>
        <v>144.96589962621468</v>
      </c>
      <c r="K147" s="187">
        <f t="shared" si="40"/>
        <v>2062.5042544703242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 spans="1:60" ht="18.75" customHeight="1" thickTop="1" thickBot="1" x14ac:dyDescent="0.25">
      <c r="A148" s="1"/>
      <c r="B148" s="1"/>
      <c r="C148" s="1"/>
      <c r="D148" s="151">
        <v>9</v>
      </c>
      <c r="E148" s="156">
        <f t="shared" si="37"/>
        <v>0</v>
      </c>
      <c r="F148" s="156">
        <f t="shared" si="38"/>
        <v>0</v>
      </c>
      <c r="G148" s="156"/>
      <c r="H148" s="156">
        <f t="shared" si="36"/>
        <v>0</v>
      </c>
      <c r="I148" s="187">
        <f t="shared" si="41"/>
        <v>2062.5042544703242</v>
      </c>
      <c r="J148" s="187">
        <f t="shared" si="39"/>
        <v>155.9253216379565</v>
      </c>
      <c r="K148" s="187">
        <f t="shared" si="40"/>
        <v>2218.4295761082808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</row>
    <row r="149" spans="1:60" ht="18.75" customHeight="1" thickTop="1" thickBot="1" x14ac:dyDescent="0.25">
      <c r="A149" s="1"/>
      <c r="B149" s="1"/>
      <c r="C149" s="1"/>
      <c r="D149" s="151">
        <v>10</v>
      </c>
      <c r="E149" s="156">
        <f t="shared" si="37"/>
        <v>0</v>
      </c>
      <c r="F149" s="156">
        <f t="shared" si="38"/>
        <v>0</v>
      </c>
      <c r="G149" s="156"/>
      <c r="H149" s="156">
        <f t="shared" si="36"/>
        <v>0</v>
      </c>
      <c r="I149" s="187">
        <f t="shared" si="41"/>
        <v>2218.4295761082808</v>
      </c>
      <c r="J149" s="187">
        <f t="shared" si="39"/>
        <v>167.71327595378602</v>
      </c>
      <c r="K149" s="187">
        <f t="shared" si="40"/>
        <v>2386.1428520620666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spans="1:60" ht="18.75" customHeight="1" thickTop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 spans="1:60" ht="18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 spans="1:60" ht="18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 spans="1:60" ht="18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 spans="1:60" ht="18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 spans="1:60" ht="18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spans="1:60" ht="18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 spans="1:60" ht="18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 spans="1:60" ht="18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 spans="1:60" ht="18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 spans="1:60" ht="18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 spans="1:60" ht="18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 spans="1:60" ht="18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 spans="1:60" ht="18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 spans="1:60" ht="18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spans="1:60" ht="18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 spans="1:60" ht="18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 spans="1:60" ht="18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 spans="1:60" ht="18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 spans="1:60" ht="18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 spans="1:60" ht="18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 spans="1:60" ht="18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 spans="1:60" ht="18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 spans="1:60" ht="18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 spans="1:60" ht="18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 spans="1:60" ht="18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 spans="1:60" ht="18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 spans="1:60" ht="18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 spans="1:60" ht="18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 spans="1:60" ht="18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spans="1:60" ht="18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 spans="1:60" ht="18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 spans="1:60" ht="18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 spans="1:60" ht="18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 spans="1:60" ht="18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 spans="1:60" ht="18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 spans="1:60" ht="18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 spans="1:60" ht="18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 spans="1:60" ht="18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spans="1:60" ht="18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 spans="1:60" ht="18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 spans="1:60" ht="18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 spans="1:60" ht="18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 spans="1:60" ht="18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 spans="1:60" ht="18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 spans="1:60" ht="18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 spans="1:60" ht="18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 spans="1:60" ht="18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spans="1:60" ht="18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 spans="1:60" ht="18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 spans="1:60" ht="18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 spans="1:60" ht="18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 spans="1:60" ht="18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 spans="1:60" ht="18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 spans="1:60" ht="18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 spans="1:60" ht="18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 spans="1:60" ht="18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 spans="1:60" ht="18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 spans="1:60" ht="18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 spans="1:60" ht="18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 spans="1:60" ht="18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 spans="1:60" ht="18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 spans="1:60" ht="18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spans="1:60" ht="18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 spans="1:60" ht="18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 spans="1:60" ht="18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 spans="1:60" ht="18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 spans="1:60" ht="18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 spans="1:60" ht="18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 spans="1:60" ht="18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 spans="1:60" ht="18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 spans="1:60" ht="18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 spans="1:60" ht="18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 spans="1:60" ht="18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 spans="1:60" ht="18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 spans="1:60" ht="18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spans="1:60" ht="18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 spans="1:60" ht="18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 spans="1:60" ht="18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spans="1:60" ht="18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 spans="1:60" ht="18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 spans="1:60" ht="18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 spans="1:60" ht="18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 spans="1:60" ht="18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 spans="1:60" ht="18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 spans="1:60" ht="18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 spans="1:60" ht="18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 spans="1:60" ht="18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 spans="1:60" ht="18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 spans="1:60" ht="18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 spans="1:60" ht="18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 spans="1:60" ht="18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 spans="1:60" ht="18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 spans="1:60" ht="18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 spans="1:60" ht="18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 spans="1:60" ht="18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1:60" ht="18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 spans="1:60" ht="18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 spans="1:60" ht="18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 spans="1:60" ht="18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 spans="1:60" ht="18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 spans="1:60" ht="18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 spans="1:60" ht="18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 spans="1:60" ht="18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 spans="1:60" ht="18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 spans="1:60" ht="18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spans="1:60" ht="18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 spans="1:60" ht="18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</row>
    <row r="258" spans="1:60" ht="18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</row>
    <row r="259" spans="1:60" ht="18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</row>
    <row r="260" spans="1:60" ht="18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</row>
    <row r="261" spans="1:60" ht="18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</row>
    <row r="262" spans="1:60" ht="18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</row>
    <row r="263" spans="1:60" ht="18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</row>
    <row r="264" spans="1:60" ht="18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</row>
    <row r="265" spans="1:60" ht="18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</row>
    <row r="266" spans="1:60" ht="18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</row>
    <row r="267" spans="1:60" ht="18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</row>
    <row r="268" spans="1:60" ht="18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</row>
    <row r="269" spans="1:60" ht="18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</row>
    <row r="270" spans="1:60" ht="18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</row>
    <row r="271" spans="1:60" ht="18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</row>
    <row r="272" spans="1:60" ht="18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</row>
    <row r="273" spans="1:60" ht="18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</row>
    <row r="274" spans="1:60" ht="18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</row>
    <row r="275" spans="1:60" ht="18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</row>
    <row r="276" spans="1:60" ht="18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</row>
    <row r="277" spans="1:60" ht="18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</row>
    <row r="278" spans="1:60" ht="18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</row>
    <row r="279" spans="1:60" ht="18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</row>
    <row r="280" spans="1:60" ht="18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</row>
    <row r="281" spans="1:60" ht="18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 spans="1:60" ht="18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</row>
    <row r="283" spans="1:60" ht="18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</row>
    <row r="284" spans="1:60" ht="18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 spans="1:60" ht="18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 spans="1:60" ht="18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 spans="1:60" ht="18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 spans="1:60" ht="18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 spans="1:60" ht="18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  <row r="290" spans="1:60" ht="18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</row>
    <row r="291" spans="1:60" ht="18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</row>
    <row r="292" spans="1:60" ht="18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</row>
    <row r="293" spans="1:60" ht="18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</row>
    <row r="294" spans="1:60" ht="18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</row>
    <row r="295" spans="1:60" ht="18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</row>
    <row r="296" spans="1:60" ht="18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</row>
    <row r="297" spans="1:60" ht="18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</row>
    <row r="298" spans="1:60" ht="18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</row>
    <row r="299" spans="1:60" ht="18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</row>
    <row r="300" spans="1:60" ht="18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</row>
    <row r="301" spans="1:60" ht="18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</row>
    <row r="302" spans="1:60" ht="18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</row>
    <row r="303" spans="1:60" ht="18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</row>
    <row r="304" spans="1:60" ht="18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</row>
    <row r="305" spans="1:60" ht="18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</row>
    <row r="306" spans="1:60" ht="18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</row>
    <row r="307" spans="1:60" ht="18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</row>
    <row r="308" spans="1:60" ht="18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</row>
    <row r="309" spans="1:60" ht="18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</row>
    <row r="310" spans="1:60" ht="18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</row>
    <row r="311" spans="1:60" ht="18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</row>
    <row r="312" spans="1:60" ht="18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</row>
    <row r="313" spans="1:60" ht="18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</row>
    <row r="314" spans="1:60" ht="18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</row>
    <row r="315" spans="1:60" ht="18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</row>
    <row r="316" spans="1:60" ht="18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</row>
    <row r="317" spans="1:60" ht="18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</row>
    <row r="318" spans="1:60" ht="18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</row>
    <row r="319" spans="1:60" ht="18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</row>
    <row r="320" spans="1:60" ht="18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</row>
    <row r="321" spans="1:60" ht="18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</row>
    <row r="322" spans="1:60" ht="18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</row>
    <row r="323" spans="1:60" ht="18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</row>
    <row r="324" spans="1:60" ht="18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</row>
    <row r="325" spans="1:60" ht="18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</row>
    <row r="326" spans="1:60" ht="18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</row>
    <row r="327" spans="1:60" ht="18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</row>
    <row r="328" spans="1:60" ht="18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</row>
    <row r="329" spans="1:60" ht="18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</row>
    <row r="330" spans="1:60" ht="18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</row>
    <row r="331" spans="1:60" ht="18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</row>
    <row r="332" spans="1:60" ht="18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</row>
    <row r="333" spans="1:60" ht="18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</row>
    <row r="334" spans="1:60" ht="18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</row>
    <row r="335" spans="1:60" ht="18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</row>
    <row r="336" spans="1:60" ht="18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</row>
    <row r="337" spans="1:60" ht="18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</row>
    <row r="338" spans="1:60" ht="18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</row>
    <row r="339" spans="1:60" ht="18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</row>
    <row r="340" spans="1:60" ht="18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</row>
    <row r="341" spans="1:60" ht="18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</row>
    <row r="342" spans="1:60" ht="18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</row>
    <row r="343" spans="1:60" ht="18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</row>
    <row r="344" spans="1:60" ht="18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</row>
    <row r="345" spans="1:60" ht="18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</row>
    <row r="346" spans="1:60" ht="18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</row>
    <row r="347" spans="1:60" ht="18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</row>
    <row r="348" spans="1:60" ht="18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</row>
    <row r="349" spans="1:60" ht="18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</row>
    <row r="350" spans="1:60" ht="18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</row>
    <row r="351" spans="1:60" ht="18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</row>
    <row r="352" spans="1:60" ht="18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</row>
    <row r="353" spans="1:60" ht="18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</row>
    <row r="354" spans="1:60" ht="18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</row>
    <row r="355" spans="1:60" ht="18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</row>
    <row r="356" spans="1:60" ht="18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</row>
    <row r="357" spans="1:60" ht="18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</row>
    <row r="358" spans="1:60" ht="18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</row>
    <row r="359" spans="1:60" ht="18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</row>
    <row r="360" spans="1:60" ht="18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</row>
    <row r="361" spans="1:60" ht="18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</row>
    <row r="362" spans="1:60" ht="18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</row>
    <row r="363" spans="1:60" ht="18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</row>
    <row r="364" spans="1:60" ht="18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</row>
    <row r="365" spans="1:60" ht="18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</row>
    <row r="366" spans="1:60" ht="18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 spans="1:60" ht="18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</row>
    <row r="368" spans="1:60" ht="18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 spans="1:60" ht="18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</row>
    <row r="370" spans="1:60" ht="18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</row>
    <row r="371" spans="1:60" ht="18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</row>
    <row r="372" spans="1:60" ht="18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</row>
    <row r="373" spans="1:60" ht="18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</row>
    <row r="374" spans="1:60" ht="18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</row>
    <row r="375" spans="1:60" ht="18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</row>
    <row r="376" spans="1:60" ht="18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</row>
    <row r="377" spans="1:60" ht="18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</row>
    <row r="378" spans="1:60" ht="18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</row>
    <row r="379" spans="1:60" ht="18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</row>
    <row r="380" spans="1:60" ht="18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</row>
    <row r="381" spans="1:60" ht="18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</row>
    <row r="382" spans="1:60" ht="18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</row>
    <row r="383" spans="1:60" ht="18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</row>
    <row r="384" spans="1:60" ht="18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</row>
    <row r="385" spans="1:60" ht="18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</row>
    <row r="386" spans="1:60" ht="18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</row>
    <row r="387" spans="1:60" ht="18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</row>
    <row r="388" spans="1:60" ht="18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</row>
    <row r="389" spans="1:60" ht="18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</row>
    <row r="390" spans="1:60" ht="18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</row>
    <row r="391" spans="1:60" ht="18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</row>
    <row r="392" spans="1:60" ht="18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</row>
    <row r="393" spans="1:60" ht="18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</row>
    <row r="394" spans="1:60" ht="18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</row>
    <row r="395" spans="1:60" ht="18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</row>
    <row r="396" spans="1:60" ht="18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</row>
    <row r="397" spans="1:60" ht="18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</row>
    <row r="398" spans="1:60" ht="18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</row>
    <row r="399" spans="1:60" ht="18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</row>
    <row r="400" spans="1:60" ht="18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</row>
    <row r="401" spans="1:60" ht="18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</row>
    <row r="402" spans="1:60" ht="18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</row>
    <row r="403" spans="1:60" ht="18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</row>
    <row r="404" spans="1:60" ht="18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</row>
    <row r="405" spans="1:60" ht="18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</row>
    <row r="406" spans="1:60" ht="18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</row>
    <row r="407" spans="1:60" ht="18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</row>
    <row r="408" spans="1:60" ht="18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</row>
    <row r="409" spans="1:60" ht="18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</row>
    <row r="410" spans="1:60" ht="18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</row>
    <row r="411" spans="1:60" ht="18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</row>
    <row r="412" spans="1:60" ht="18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</row>
    <row r="413" spans="1:60" ht="18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</row>
    <row r="414" spans="1:60" ht="18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</row>
    <row r="415" spans="1:60" ht="18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</row>
    <row r="416" spans="1:60" ht="18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</row>
    <row r="417" spans="1:60" ht="18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</row>
    <row r="418" spans="1:60" ht="18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</row>
    <row r="419" spans="1:60" ht="18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</row>
    <row r="420" spans="1:60" ht="18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</row>
    <row r="421" spans="1:60" ht="18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</row>
    <row r="422" spans="1:60" ht="18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</row>
    <row r="423" spans="1:60" ht="18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</row>
    <row r="424" spans="1:60" ht="18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</row>
    <row r="425" spans="1:60" ht="18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</row>
    <row r="426" spans="1:60" ht="18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</row>
    <row r="427" spans="1:60" ht="18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</row>
    <row r="428" spans="1:60" ht="18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</row>
    <row r="429" spans="1:60" ht="18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</row>
    <row r="430" spans="1:60" ht="18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</row>
    <row r="431" spans="1:60" ht="18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</row>
    <row r="432" spans="1:60" ht="18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</row>
    <row r="433" spans="1:60" ht="18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</row>
    <row r="434" spans="1:60" ht="18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</row>
    <row r="435" spans="1:60" ht="18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</row>
    <row r="436" spans="1:60" ht="18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</row>
    <row r="437" spans="1:60" ht="18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</row>
    <row r="438" spans="1:60" ht="18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</row>
    <row r="439" spans="1:60" ht="18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</row>
    <row r="440" spans="1:60" ht="18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</row>
    <row r="441" spans="1:60" ht="18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</row>
    <row r="442" spans="1:60" ht="18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</row>
    <row r="443" spans="1:60" ht="18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</row>
    <row r="444" spans="1:60" ht="18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</row>
    <row r="445" spans="1:60" ht="18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</row>
    <row r="446" spans="1:60" ht="18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</row>
    <row r="447" spans="1:60" ht="18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</row>
    <row r="448" spans="1:60" ht="18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</row>
    <row r="449" spans="1:60" ht="18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</row>
    <row r="450" spans="1:60" ht="18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</row>
    <row r="451" spans="1:60" ht="18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</row>
    <row r="452" spans="1:60" ht="18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</row>
    <row r="453" spans="1:60" ht="18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</row>
    <row r="454" spans="1:60" ht="18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</row>
    <row r="455" spans="1:60" ht="18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</row>
    <row r="456" spans="1:60" ht="18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</row>
    <row r="457" spans="1:60" ht="18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</row>
    <row r="458" spans="1:60" ht="18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</row>
    <row r="459" spans="1:60" ht="18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</row>
    <row r="460" spans="1:60" ht="18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</row>
    <row r="461" spans="1:60" ht="18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</row>
    <row r="462" spans="1:60" ht="18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</row>
    <row r="463" spans="1:60" ht="18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</row>
    <row r="464" spans="1:60" ht="18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</row>
    <row r="465" spans="1:60" ht="18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</row>
    <row r="466" spans="1:60" ht="18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</row>
    <row r="467" spans="1:60" ht="18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</row>
    <row r="468" spans="1:60" ht="18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</row>
    <row r="469" spans="1:60" ht="18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  <row r="470" spans="1:60" ht="18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</row>
    <row r="471" spans="1:60" ht="18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</row>
    <row r="472" spans="1:60" ht="18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</row>
    <row r="473" spans="1:60" ht="18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</row>
    <row r="474" spans="1:60" ht="18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</row>
    <row r="475" spans="1:60" ht="18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</row>
    <row r="476" spans="1:60" ht="18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</row>
    <row r="477" spans="1:60" ht="18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</row>
    <row r="478" spans="1:60" ht="18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</row>
    <row r="479" spans="1:60" ht="18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</row>
    <row r="480" spans="1:60" ht="18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</row>
    <row r="481" spans="1:60" ht="18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</row>
    <row r="482" spans="1:60" ht="18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</row>
    <row r="483" spans="1:60" ht="18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</row>
    <row r="484" spans="1:60" ht="18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</row>
    <row r="485" spans="1:60" ht="18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</row>
    <row r="486" spans="1:60" ht="18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</row>
    <row r="487" spans="1:60" ht="18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</row>
    <row r="488" spans="1:60" ht="18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</row>
    <row r="489" spans="1:60" ht="18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</row>
    <row r="490" spans="1:60" ht="18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</row>
    <row r="491" spans="1:60" ht="18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</row>
    <row r="492" spans="1:60" ht="18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</row>
    <row r="493" spans="1:60" ht="18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</row>
    <row r="494" spans="1:60" ht="18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</row>
    <row r="495" spans="1:60" ht="18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</row>
    <row r="496" spans="1:60" ht="18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</row>
    <row r="497" spans="1:60" ht="18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</row>
    <row r="498" spans="1:60" ht="18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</row>
    <row r="499" spans="1:60" ht="18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</row>
    <row r="500" spans="1:60" ht="18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</row>
    <row r="501" spans="1:60" ht="18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</row>
    <row r="502" spans="1:60" ht="18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</row>
    <row r="503" spans="1:60" ht="18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</row>
    <row r="504" spans="1:60" ht="18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</row>
    <row r="505" spans="1:60" ht="18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</row>
    <row r="506" spans="1:60" ht="18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</row>
    <row r="507" spans="1:60" ht="18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</row>
    <row r="508" spans="1:60" ht="18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</row>
    <row r="509" spans="1:60" ht="18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</row>
    <row r="510" spans="1:60" ht="18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</row>
    <row r="511" spans="1:60" ht="18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</row>
    <row r="512" spans="1:60" ht="18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</row>
    <row r="513" spans="1:60" ht="18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</row>
    <row r="514" spans="1:60" ht="18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</row>
    <row r="515" spans="1:60" ht="18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</row>
    <row r="516" spans="1:60" ht="18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</row>
    <row r="517" spans="1:60" ht="18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</row>
    <row r="518" spans="1:60" ht="18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</row>
    <row r="519" spans="1:60" ht="18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</row>
    <row r="520" spans="1:60" ht="18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</row>
    <row r="521" spans="1:60" ht="18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</row>
    <row r="522" spans="1:60" ht="18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</row>
    <row r="523" spans="1:60" ht="18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</row>
    <row r="524" spans="1:60" ht="18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</row>
    <row r="525" spans="1:60" ht="18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</row>
    <row r="526" spans="1:60" ht="18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</row>
    <row r="527" spans="1:60" ht="18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</row>
    <row r="528" spans="1:60" ht="18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</row>
    <row r="529" spans="1:60" ht="18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</row>
    <row r="530" spans="1:60" ht="18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</row>
    <row r="531" spans="1:60" ht="18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</row>
    <row r="532" spans="1:60" ht="18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</row>
    <row r="533" spans="1:60" ht="18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</row>
    <row r="534" spans="1:60" ht="18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</row>
    <row r="535" spans="1:60" ht="18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</row>
    <row r="536" spans="1:60" ht="18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</row>
    <row r="537" spans="1:60" ht="18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</row>
    <row r="538" spans="1:60" ht="18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</row>
    <row r="539" spans="1:60" ht="18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</row>
    <row r="540" spans="1:60" ht="18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</row>
    <row r="541" spans="1:60" ht="18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</row>
    <row r="542" spans="1:60" ht="18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</row>
    <row r="543" spans="1:60" ht="18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</row>
    <row r="544" spans="1:60" ht="18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</row>
    <row r="545" spans="1:60" ht="18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</row>
    <row r="546" spans="1:60" ht="18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</row>
    <row r="547" spans="1:60" ht="18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</row>
    <row r="548" spans="1:60" ht="18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</row>
    <row r="549" spans="1:60" ht="18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</row>
    <row r="550" spans="1:60" ht="18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</row>
    <row r="551" spans="1:60" ht="18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</row>
    <row r="552" spans="1:60" ht="18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</row>
    <row r="553" spans="1:60" ht="18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</row>
    <row r="554" spans="1:60" ht="18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</row>
    <row r="555" spans="1:60" ht="18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</row>
    <row r="556" spans="1:60" ht="18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</row>
    <row r="557" spans="1:60" ht="18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</row>
    <row r="558" spans="1:60" ht="18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</row>
    <row r="559" spans="1:60" ht="18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</row>
    <row r="560" spans="1:60" ht="18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</row>
    <row r="561" spans="1:60" ht="18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</row>
    <row r="562" spans="1:60" ht="18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</row>
    <row r="563" spans="1:60" ht="18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</row>
    <row r="564" spans="1:60" ht="18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</row>
    <row r="565" spans="1:60" ht="18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</row>
    <row r="566" spans="1:60" ht="18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</row>
    <row r="567" spans="1:60" ht="18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</row>
    <row r="568" spans="1:60" ht="18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</row>
    <row r="569" spans="1:60" ht="18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</row>
    <row r="570" spans="1:60" ht="18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</row>
    <row r="571" spans="1:60" ht="18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</row>
    <row r="572" spans="1:60" ht="18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</row>
    <row r="573" spans="1:60" ht="18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</row>
    <row r="574" spans="1:60" ht="18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</row>
    <row r="575" spans="1:60" ht="18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</row>
    <row r="576" spans="1:60" ht="18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</row>
    <row r="577" spans="1:60" ht="18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</row>
    <row r="578" spans="1:60" ht="18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</row>
    <row r="579" spans="1:60" ht="18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</row>
    <row r="580" spans="1:60" ht="18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</row>
    <row r="581" spans="1:60" ht="18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</row>
    <row r="582" spans="1:60" ht="18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</row>
    <row r="583" spans="1:60" ht="18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</row>
    <row r="584" spans="1:60" ht="18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</row>
    <row r="585" spans="1:60" ht="18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</row>
    <row r="586" spans="1:60" ht="18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</row>
    <row r="587" spans="1:60" ht="18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</row>
    <row r="588" spans="1:60" ht="18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</row>
    <row r="589" spans="1:60" ht="18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</row>
    <row r="590" spans="1:60" ht="18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</row>
    <row r="591" spans="1:60" ht="18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</row>
    <row r="592" spans="1:60" ht="18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</row>
    <row r="593" spans="1:60" ht="18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</row>
    <row r="594" spans="1:60" ht="18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</row>
    <row r="595" spans="1:60" ht="18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</row>
    <row r="596" spans="1:60" ht="18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</row>
    <row r="597" spans="1:60" ht="18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</row>
    <row r="598" spans="1:60" ht="18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</row>
    <row r="599" spans="1:60" ht="18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</row>
    <row r="600" spans="1:60" ht="18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</row>
    <row r="601" spans="1:60" ht="18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</row>
    <row r="602" spans="1:60" ht="18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</row>
    <row r="603" spans="1:60" ht="18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</row>
    <row r="604" spans="1:60" ht="18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</row>
    <row r="605" spans="1:60" ht="18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</row>
    <row r="606" spans="1:60" ht="18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</row>
    <row r="607" spans="1:60" ht="18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</row>
    <row r="608" spans="1:60" ht="18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</row>
    <row r="609" spans="1:60" ht="18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</row>
    <row r="610" spans="1:60" ht="18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</row>
    <row r="611" spans="1:60" ht="18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</row>
    <row r="612" spans="1:60" ht="18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</row>
    <row r="613" spans="1:60" ht="18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</row>
    <row r="614" spans="1:60" ht="18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</row>
    <row r="615" spans="1:60" ht="18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</row>
    <row r="616" spans="1:60" ht="18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</row>
    <row r="617" spans="1:60" ht="18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</row>
    <row r="618" spans="1:60" ht="18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</row>
    <row r="619" spans="1:60" ht="18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</row>
    <row r="620" spans="1:60" ht="18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</row>
    <row r="621" spans="1:60" ht="18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</row>
    <row r="622" spans="1:60" ht="18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</row>
    <row r="623" spans="1:60" ht="18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</row>
    <row r="624" spans="1:60" ht="18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</row>
    <row r="625" spans="1:60" ht="18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</row>
    <row r="626" spans="1:60" ht="18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</row>
    <row r="627" spans="1:60" ht="18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</row>
    <row r="628" spans="1:60" ht="18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</row>
    <row r="629" spans="1:60" ht="18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</row>
    <row r="630" spans="1:60" ht="18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</row>
    <row r="631" spans="1:60" ht="18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</row>
    <row r="632" spans="1:60" ht="18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</row>
    <row r="633" spans="1:60" ht="18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</row>
    <row r="634" spans="1:60" ht="18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</row>
    <row r="635" spans="1:60" ht="18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</row>
    <row r="636" spans="1:60" ht="18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</row>
    <row r="637" spans="1:60" ht="18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</row>
    <row r="638" spans="1:60" ht="18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</row>
    <row r="639" spans="1:60" ht="18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</row>
    <row r="640" spans="1:60" ht="18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</row>
    <row r="641" spans="1:60" ht="18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</row>
    <row r="642" spans="1:60" ht="18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</row>
    <row r="643" spans="1:60" ht="18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</row>
    <row r="644" spans="1:60" ht="18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</row>
    <row r="645" spans="1:60" ht="18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</row>
    <row r="646" spans="1:60" ht="18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</row>
    <row r="647" spans="1:60" ht="18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</row>
    <row r="648" spans="1:60" ht="18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</row>
    <row r="649" spans="1:60" ht="18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</row>
    <row r="650" spans="1:60" ht="18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</row>
    <row r="651" spans="1:60" ht="18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</row>
    <row r="652" spans="1:60" ht="18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</row>
    <row r="653" spans="1:60" ht="18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</row>
    <row r="654" spans="1:60" ht="18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</row>
    <row r="655" spans="1:60" ht="18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</row>
    <row r="656" spans="1:60" ht="18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</row>
    <row r="657" spans="1:60" ht="18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</row>
    <row r="658" spans="1:60" ht="18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</row>
    <row r="659" spans="1:60" ht="18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</row>
    <row r="660" spans="1:60" ht="18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</row>
    <row r="661" spans="1:60" ht="18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</row>
    <row r="662" spans="1:60" ht="18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</row>
    <row r="663" spans="1:60" ht="18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</row>
    <row r="664" spans="1:60" ht="18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</row>
    <row r="665" spans="1:60" ht="18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</row>
    <row r="666" spans="1:60" ht="18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</row>
    <row r="667" spans="1:60" ht="18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</row>
    <row r="668" spans="1:60" ht="18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</row>
    <row r="669" spans="1:60" ht="18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</row>
    <row r="670" spans="1:60" ht="18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</row>
    <row r="671" spans="1:60" ht="18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</row>
    <row r="672" spans="1:60" ht="18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</row>
    <row r="673" spans="1:60" ht="18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</row>
    <row r="674" spans="1:60" ht="18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</row>
    <row r="675" spans="1:60" ht="18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</row>
    <row r="676" spans="1:60" ht="18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</row>
    <row r="677" spans="1:60" ht="18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</row>
    <row r="678" spans="1:60" ht="18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</row>
    <row r="679" spans="1:60" ht="18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</row>
    <row r="680" spans="1:60" ht="18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</row>
    <row r="681" spans="1:60" ht="18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</row>
    <row r="682" spans="1:60" ht="18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</row>
    <row r="683" spans="1:60" ht="18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</row>
    <row r="684" spans="1:60" ht="18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</row>
    <row r="685" spans="1:60" ht="18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</row>
    <row r="686" spans="1:60" ht="18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</row>
    <row r="687" spans="1:60" ht="18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</row>
    <row r="688" spans="1:60" ht="18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</row>
    <row r="689" spans="1:60" ht="18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</row>
    <row r="690" spans="1:60" ht="18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</row>
    <row r="691" spans="1:60" ht="18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</row>
    <row r="692" spans="1:60" ht="18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</row>
    <row r="693" spans="1:60" ht="18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</row>
    <row r="694" spans="1:60" ht="18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</row>
    <row r="695" spans="1:60" ht="18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</row>
    <row r="696" spans="1:60" ht="18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</row>
    <row r="697" spans="1:60" ht="18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</row>
    <row r="698" spans="1:60" ht="18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</row>
    <row r="699" spans="1:60" ht="18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</row>
    <row r="700" spans="1:60" ht="18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</row>
    <row r="701" spans="1:60" ht="18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</row>
    <row r="702" spans="1:60" ht="18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</row>
    <row r="703" spans="1:60" ht="18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</row>
    <row r="704" spans="1:60" ht="18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</row>
    <row r="705" spans="1:60" ht="18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</row>
    <row r="706" spans="1:60" ht="18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</row>
    <row r="707" spans="1:60" ht="18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</row>
    <row r="708" spans="1:60" ht="18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</row>
    <row r="709" spans="1:60" ht="18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</row>
    <row r="710" spans="1:60" ht="18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</row>
    <row r="711" spans="1:60" ht="18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</row>
    <row r="712" spans="1:60" ht="18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</row>
    <row r="713" spans="1:60" ht="18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</row>
    <row r="714" spans="1:60" ht="18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</row>
    <row r="715" spans="1:60" ht="18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</row>
    <row r="716" spans="1:60" ht="18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</row>
    <row r="717" spans="1:60" ht="18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</row>
    <row r="718" spans="1:60" ht="18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</row>
    <row r="719" spans="1:60" ht="18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</row>
    <row r="720" spans="1:60" ht="18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</row>
    <row r="721" spans="1:60" ht="18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</row>
    <row r="722" spans="1:60" ht="18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</row>
    <row r="723" spans="1:60" ht="18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</row>
    <row r="724" spans="1:60" ht="18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</row>
    <row r="725" spans="1:60" ht="18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</row>
    <row r="726" spans="1:60" ht="18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</row>
    <row r="727" spans="1:60" ht="18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</row>
    <row r="728" spans="1:60" ht="18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</row>
    <row r="729" spans="1:60" ht="18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</row>
    <row r="730" spans="1:60" ht="18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</row>
    <row r="731" spans="1:60" ht="18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</row>
    <row r="732" spans="1:60" ht="18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</row>
    <row r="733" spans="1:60" ht="18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</row>
    <row r="734" spans="1:60" ht="18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</row>
    <row r="735" spans="1:60" ht="18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</row>
    <row r="736" spans="1:60" ht="18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</row>
    <row r="737" spans="1:60" ht="18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</row>
    <row r="738" spans="1:60" ht="18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</row>
    <row r="739" spans="1:60" ht="18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</row>
    <row r="740" spans="1:60" ht="18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</row>
    <row r="741" spans="1:60" ht="18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</row>
    <row r="742" spans="1:60" ht="18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</row>
    <row r="743" spans="1:60" ht="18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</row>
    <row r="744" spans="1:60" ht="18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</row>
    <row r="745" spans="1:60" ht="18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</row>
    <row r="746" spans="1:60" ht="18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</row>
    <row r="747" spans="1:60" ht="18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</row>
    <row r="748" spans="1:60" ht="18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</row>
    <row r="749" spans="1:60" ht="18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</row>
    <row r="750" spans="1:60" ht="18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</row>
    <row r="751" spans="1:60" ht="18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</row>
    <row r="752" spans="1:60" ht="18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</row>
    <row r="753" spans="1:60" ht="18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</row>
    <row r="754" spans="1:60" ht="18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</row>
    <row r="755" spans="1:60" ht="18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</row>
    <row r="756" spans="1:60" ht="18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</row>
    <row r="757" spans="1:60" ht="18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</row>
    <row r="758" spans="1:60" ht="18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</row>
    <row r="759" spans="1:60" ht="18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</row>
    <row r="760" spans="1:60" ht="18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</row>
    <row r="761" spans="1:60" ht="18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</row>
    <row r="762" spans="1:60" ht="18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</row>
    <row r="763" spans="1:60" ht="18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</row>
    <row r="764" spans="1:60" ht="18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</row>
    <row r="765" spans="1:60" ht="18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</row>
    <row r="766" spans="1:60" ht="18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</row>
    <row r="767" spans="1:60" ht="18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</row>
    <row r="768" spans="1:60" ht="18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</row>
    <row r="769" spans="1:60" ht="18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</row>
    <row r="770" spans="1:60" ht="18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</row>
    <row r="771" spans="1:60" ht="18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</row>
    <row r="772" spans="1:60" ht="18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</row>
    <row r="773" spans="1:60" ht="18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</row>
    <row r="774" spans="1:60" ht="18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</row>
    <row r="775" spans="1:60" ht="18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</row>
    <row r="776" spans="1:60" ht="18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</row>
    <row r="777" spans="1:60" ht="18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</row>
    <row r="778" spans="1:60" ht="18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</row>
    <row r="779" spans="1:60" ht="18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</row>
    <row r="780" spans="1:60" ht="18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</row>
    <row r="781" spans="1:60" ht="18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</row>
    <row r="782" spans="1:60" ht="18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</row>
    <row r="783" spans="1:60" ht="18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</row>
    <row r="784" spans="1:60" ht="18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</row>
    <row r="785" spans="1:60" ht="18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</row>
    <row r="786" spans="1:60" ht="18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</row>
    <row r="787" spans="1:60" ht="18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</row>
    <row r="788" spans="1:60" ht="18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</row>
    <row r="789" spans="1:60" ht="18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</row>
    <row r="790" spans="1:60" ht="18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</row>
    <row r="791" spans="1:60" ht="18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</row>
    <row r="792" spans="1:60" ht="18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</row>
    <row r="793" spans="1:60" ht="18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</row>
    <row r="794" spans="1:60" ht="18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</row>
    <row r="795" spans="1:60" ht="18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</row>
    <row r="796" spans="1:60" ht="18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</row>
    <row r="797" spans="1:60" ht="18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</row>
    <row r="798" spans="1:60" ht="18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</row>
    <row r="799" spans="1:60" ht="18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</row>
    <row r="800" spans="1:60" ht="18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</row>
    <row r="801" spans="1:60" ht="18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</row>
    <row r="802" spans="1:60" ht="18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</row>
    <row r="803" spans="1:60" ht="18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</row>
    <row r="804" spans="1:60" ht="18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</row>
    <row r="805" spans="1:60" ht="18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</row>
    <row r="806" spans="1:60" ht="18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</row>
    <row r="807" spans="1:60" ht="18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</row>
    <row r="808" spans="1:60" ht="18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</row>
    <row r="809" spans="1:60" ht="18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</row>
    <row r="810" spans="1:60" ht="18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</row>
    <row r="811" spans="1:60" ht="18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</row>
    <row r="812" spans="1:60" ht="18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</row>
    <row r="813" spans="1:60" ht="18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</row>
    <row r="814" spans="1:60" ht="18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</row>
    <row r="815" spans="1:60" ht="18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</row>
    <row r="816" spans="1:60" ht="18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</row>
    <row r="817" spans="1:60" ht="18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</row>
    <row r="818" spans="1:60" ht="18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</row>
    <row r="819" spans="1:60" ht="18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</row>
    <row r="820" spans="1:60" ht="18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</row>
    <row r="821" spans="1:60" ht="18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</row>
    <row r="822" spans="1:60" ht="18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</row>
    <row r="823" spans="1:60" ht="18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</row>
    <row r="824" spans="1:60" ht="18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</row>
    <row r="825" spans="1:60" ht="18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</row>
    <row r="826" spans="1:60" ht="18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</row>
    <row r="827" spans="1:60" ht="18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</row>
    <row r="828" spans="1:60" ht="18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</row>
    <row r="829" spans="1:60" ht="18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</row>
    <row r="830" spans="1:60" ht="18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</row>
    <row r="831" spans="1:60" ht="18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</row>
    <row r="832" spans="1:60" ht="18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</row>
    <row r="833" spans="1:60" ht="18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</row>
    <row r="834" spans="1:60" ht="18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</row>
    <row r="835" spans="1:60" ht="18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</row>
    <row r="836" spans="1:60" ht="18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</row>
    <row r="837" spans="1:60" ht="18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</row>
    <row r="838" spans="1:60" ht="18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</row>
    <row r="839" spans="1:60" ht="18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</row>
    <row r="840" spans="1:60" ht="18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</row>
    <row r="841" spans="1:60" ht="18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</row>
    <row r="842" spans="1:60" ht="18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</row>
    <row r="843" spans="1:60" ht="18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</row>
    <row r="844" spans="1:60" ht="18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</row>
    <row r="845" spans="1:60" ht="18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</row>
    <row r="846" spans="1:60" ht="18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</row>
    <row r="847" spans="1:60" ht="18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</row>
    <row r="848" spans="1:60" ht="18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</row>
    <row r="849" spans="1:60" ht="18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</row>
    <row r="850" spans="1:60" ht="18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</row>
    <row r="851" spans="1:60" ht="18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</row>
    <row r="852" spans="1:60" ht="18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</row>
    <row r="853" spans="1:60" ht="18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</row>
    <row r="854" spans="1:60" ht="18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</row>
    <row r="855" spans="1:60" ht="18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</row>
    <row r="856" spans="1:60" ht="18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</row>
    <row r="857" spans="1:60" ht="18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</row>
    <row r="858" spans="1:60" ht="18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</row>
    <row r="859" spans="1:60" ht="18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</row>
    <row r="860" spans="1:60" ht="18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</row>
    <row r="861" spans="1:60" ht="18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</row>
    <row r="862" spans="1:60" ht="18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</row>
    <row r="863" spans="1:60" ht="18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</row>
    <row r="864" spans="1:60" ht="18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</row>
    <row r="865" spans="1:60" ht="18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</row>
    <row r="866" spans="1:60" ht="18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</row>
    <row r="867" spans="1:60" ht="18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</row>
    <row r="868" spans="1:60" ht="18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</row>
    <row r="869" spans="1:60" ht="18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</row>
    <row r="870" spans="1:60" ht="18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</row>
    <row r="871" spans="1:60" ht="18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</row>
    <row r="872" spans="1:60" ht="18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</row>
    <row r="873" spans="1:60" ht="18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</row>
    <row r="874" spans="1:60" ht="18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</row>
    <row r="875" spans="1:60" ht="18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</row>
    <row r="876" spans="1:60" ht="18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</row>
    <row r="877" spans="1:60" ht="18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</row>
    <row r="878" spans="1:60" ht="18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</row>
    <row r="879" spans="1:60" ht="18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</row>
    <row r="880" spans="1:60" ht="18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</row>
    <row r="881" spans="1:60" ht="18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</row>
    <row r="882" spans="1:60" ht="18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</row>
    <row r="883" spans="1:60" ht="18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</row>
    <row r="884" spans="1:60" ht="18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</row>
    <row r="885" spans="1:60" ht="18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</row>
    <row r="886" spans="1:60" ht="18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</row>
    <row r="887" spans="1:60" ht="18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</row>
    <row r="888" spans="1:60" ht="18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</row>
    <row r="889" spans="1:60" ht="18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</row>
    <row r="890" spans="1:60" ht="18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</row>
    <row r="891" spans="1:60" ht="18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</row>
    <row r="892" spans="1:60" ht="18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</row>
    <row r="893" spans="1:60" ht="18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</row>
    <row r="894" spans="1:60" ht="18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</row>
    <row r="895" spans="1:60" ht="18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</row>
    <row r="896" spans="1:60" ht="18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</row>
    <row r="897" spans="1:60" ht="18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</row>
    <row r="898" spans="1:60" ht="18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</row>
    <row r="899" spans="1:60" ht="18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</row>
    <row r="900" spans="1:60" ht="18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</row>
    <row r="901" spans="1:60" ht="18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</row>
    <row r="902" spans="1:60" ht="18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</row>
    <row r="903" spans="1:60" ht="18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</row>
    <row r="904" spans="1:60" ht="18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</row>
    <row r="905" spans="1:60" ht="18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</row>
    <row r="906" spans="1:60" ht="18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</row>
    <row r="907" spans="1:60" ht="18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</row>
    <row r="908" spans="1:60" ht="18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</row>
    <row r="909" spans="1:60" ht="18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</row>
    <row r="910" spans="1:60" ht="18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</row>
    <row r="911" spans="1:60" ht="18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</row>
    <row r="912" spans="1:60" ht="18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</row>
    <row r="913" spans="1:60" ht="18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</row>
    <row r="914" spans="1:60" ht="18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</row>
    <row r="915" spans="1:60" ht="18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</row>
    <row r="916" spans="1:60" ht="18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</row>
    <row r="917" spans="1:60" ht="18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</row>
    <row r="918" spans="1:60" ht="18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</row>
    <row r="919" spans="1:60" ht="18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</row>
    <row r="920" spans="1:60" ht="18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</row>
    <row r="921" spans="1:60" ht="18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</row>
    <row r="922" spans="1:60" ht="18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</row>
    <row r="923" spans="1:60" ht="18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</row>
    <row r="924" spans="1:60" ht="18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</row>
    <row r="925" spans="1:60" ht="18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</row>
    <row r="926" spans="1:60" ht="18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</row>
    <row r="927" spans="1:60" ht="18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</row>
    <row r="928" spans="1:60" ht="18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</row>
    <row r="929" spans="1:60" ht="18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</row>
    <row r="930" spans="1:60" ht="18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</row>
    <row r="931" spans="1:60" ht="18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</row>
    <row r="932" spans="1:60" ht="18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</row>
    <row r="933" spans="1:60" ht="18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</row>
    <row r="934" spans="1:60" ht="18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</row>
    <row r="935" spans="1:60" ht="18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</row>
    <row r="936" spans="1:60" ht="18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</row>
    <row r="937" spans="1:60" ht="18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</row>
    <row r="938" spans="1:60" ht="18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</row>
    <row r="939" spans="1:60" ht="18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</row>
    <row r="940" spans="1:60" ht="18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</row>
    <row r="941" spans="1:60" ht="18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</row>
    <row r="942" spans="1:60" ht="18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</row>
    <row r="943" spans="1:60" ht="18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</row>
    <row r="944" spans="1:60" ht="18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</row>
    <row r="945" spans="1:60" ht="18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</row>
    <row r="946" spans="1:60" ht="18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</row>
    <row r="947" spans="1:60" ht="18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</row>
    <row r="948" spans="1:60" ht="18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</row>
    <row r="949" spans="1:60" ht="18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</row>
    <row r="950" spans="1:60" ht="18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</row>
    <row r="951" spans="1:60" ht="18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</row>
    <row r="952" spans="1:60" ht="18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</row>
    <row r="953" spans="1:60" ht="18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</row>
    <row r="954" spans="1:60" ht="18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</row>
    <row r="955" spans="1:60" ht="18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</row>
    <row r="956" spans="1:60" ht="18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</row>
    <row r="957" spans="1:60" ht="18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</row>
    <row r="958" spans="1:60" ht="18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</row>
    <row r="959" spans="1:60" ht="18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</row>
    <row r="960" spans="1:60" ht="18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</row>
    <row r="961" spans="1:60" ht="18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</row>
    <row r="962" spans="1:60" ht="18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</row>
    <row r="963" spans="1:60" ht="18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</row>
    <row r="964" spans="1:60" ht="18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</row>
    <row r="965" spans="1:60" ht="18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</row>
    <row r="966" spans="1:60" ht="18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</row>
    <row r="967" spans="1:60" ht="18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</row>
    <row r="968" spans="1:60" ht="18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</row>
    <row r="969" spans="1:60" ht="18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</row>
    <row r="970" spans="1:60" ht="18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</row>
    <row r="971" spans="1:60" ht="18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</row>
    <row r="972" spans="1:60" ht="18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</row>
    <row r="973" spans="1:60" ht="18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</row>
    <row r="974" spans="1:60" ht="18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</row>
    <row r="975" spans="1:60" ht="18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</row>
    <row r="976" spans="1:60" ht="18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</row>
    <row r="977" spans="1:60" ht="18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</row>
    <row r="978" spans="1:60" ht="18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</row>
    <row r="979" spans="1:60" ht="18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</row>
    <row r="980" spans="1:60" ht="18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</row>
    <row r="981" spans="1:60" ht="18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</row>
    <row r="982" spans="1:60" ht="18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</row>
    <row r="983" spans="1:60" ht="18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</row>
    <row r="984" spans="1:60" ht="18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</row>
    <row r="985" spans="1:60" ht="18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</row>
    <row r="986" spans="1:60" ht="18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</row>
    <row r="987" spans="1:60" ht="18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</row>
    <row r="988" spans="1:60" ht="18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</row>
    <row r="989" spans="1:60" ht="18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</row>
    <row r="990" spans="1:60" ht="18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</row>
    <row r="991" spans="1:60" ht="18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</row>
    <row r="992" spans="1:60" ht="18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</row>
    <row r="993" spans="1:60" ht="18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</row>
    <row r="994" spans="1:60" ht="18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</row>
    <row r="995" spans="1:60" ht="18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</row>
    <row r="996" spans="1:60" ht="18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</row>
    <row r="997" spans="1:60" ht="18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</row>
    <row r="998" spans="1:60" ht="18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</row>
    <row r="999" spans="1:60" ht="18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</row>
    <row r="1000" spans="1:60" ht="18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</row>
    <row r="1001" spans="1:60" ht="18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</row>
    <row r="1002" spans="1:60" ht="18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</row>
    <row r="1003" spans="1:60" ht="18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</row>
    <row r="1004" spans="1:60" ht="18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</row>
    <row r="1005" spans="1:60" ht="18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</row>
    <row r="1006" spans="1:60" ht="18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</row>
  </sheetData>
  <mergeCells count="44">
    <mergeCell ref="H137:I137"/>
    <mergeCell ref="AC2:AE2"/>
    <mergeCell ref="AF2:AH2"/>
    <mergeCell ref="AI2:AK2"/>
    <mergeCell ref="AL2:AN2"/>
    <mergeCell ref="AF22:AH22"/>
    <mergeCell ref="AI22:AK22"/>
    <mergeCell ref="AL22:AN22"/>
    <mergeCell ref="N3:O5"/>
    <mergeCell ref="AI1:AK1"/>
    <mergeCell ref="AL1:AN1"/>
    <mergeCell ref="G2:I2"/>
    <mergeCell ref="J2:L2"/>
    <mergeCell ref="AL12:AN12"/>
    <mergeCell ref="G12:I12"/>
    <mergeCell ref="J12:L12"/>
    <mergeCell ref="AC12:AE12"/>
    <mergeCell ref="AF12:AH12"/>
    <mergeCell ref="AI12:AK12"/>
    <mergeCell ref="G1:I1"/>
    <mergeCell ref="J1:L1"/>
    <mergeCell ref="AC1:AE1"/>
    <mergeCell ref="AF1:AH1"/>
    <mergeCell ref="A22:C22"/>
    <mergeCell ref="D22:F22"/>
    <mergeCell ref="G22:I22"/>
    <mergeCell ref="J22:L22"/>
    <mergeCell ref="AC22:AE22"/>
    <mergeCell ref="A1:C1"/>
    <mergeCell ref="A2:C2"/>
    <mergeCell ref="D2:F2"/>
    <mergeCell ref="A12:C12"/>
    <mergeCell ref="D12:F12"/>
    <mergeCell ref="D1:F1"/>
    <mergeCell ref="C64:E64"/>
    <mergeCell ref="C65:D65"/>
    <mergeCell ref="F86:G86"/>
    <mergeCell ref="O39:P39"/>
    <mergeCell ref="A34:C34"/>
    <mergeCell ref="A55:F55"/>
    <mergeCell ref="A56:F56"/>
    <mergeCell ref="C38:E38"/>
    <mergeCell ref="C39:D39"/>
    <mergeCell ref="O63:P63"/>
  </mergeCells>
  <conditionalFormatting sqref="B45:E54">
    <cfRule type="cellIs" dxfId="9" priority="10" operator="lessThanOrEqual">
      <formula>0</formula>
    </cfRule>
  </conditionalFormatting>
  <conditionalFormatting sqref="F45:J54">
    <cfRule type="cellIs" dxfId="8" priority="9" operator="lessThanOrEqual">
      <formula>0</formula>
    </cfRule>
  </conditionalFormatting>
  <conditionalFormatting sqref="L45:P54">
    <cfRule type="cellIs" dxfId="7" priority="8" operator="lessThanOrEqual">
      <formula>0</formula>
    </cfRule>
  </conditionalFormatting>
  <conditionalFormatting sqref="G50:H50">
    <cfRule type="cellIs" dxfId="6" priority="7" operator="lessThanOrEqual">
      <formula>0</formula>
    </cfRule>
  </conditionalFormatting>
  <conditionalFormatting sqref="B71:E80">
    <cfRule type="cellIs" dxfId="5" priority="6" operator="lessThanOrEqual">
      <formula>0</formula>
    </cfRule>
  </conditionalFormatting>
  <conditionalFormatting sqref="A93:E102">
    <cfRule type="cellIs" dxfId="4" priority="5" operator="lessThanOrEqual">
      <formula>0</formula>
    </cfRule>
  </conditionalFormatting>
  <conditionalFormatting sqref="B98:C98">
    <cfRule type="cellIs" dxfId="3" priority="4" operator="lessThanOrEqual">
      <formula>0</formula>
    </cfRule>
  </conditionalFormatting>
  <conditionalFormatting sqref="L69:P78">
    <cfRule type="cellIs" dxfId="2" priority="3" operator="lessThanOrEqual">
      <formula>0</formula>
    </cfRule>
  </conditionalFormatting>
  <conditionalFormatting sqref="D125:D134">
    <cfRule type="cellIs" dxfId="1" priority="2" operator="lessThanOrEqual">
      <formula>0</formula>
    </cfRule>
  </conditionalFormatting>
  <conditionalFormatting sqref="E140:H149">
    <cfRule type="cellIs" dxfId="0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Tiberiu Claudiu Dascal</cp:lastModifiedBy>
  <dcterms:modified xsi:type="dcterms:W3CDTF">2022-06-07T10:07:23Z</dcterms:modified>
</cp:coreProperties>
</file>