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vitnic\PycharmProjects\max-e-methanol\"/>
    </mc:Choice>
  </mc:AlternateContent>
  <bookViews>
    <workbookView xWindow="0" yWindow="495" windowWidth="23595" windowHeight="15900" tabRatio="845" firstSheet="3" activeTab="13"/>
  </bookViews>
  <sheets>
    <sheet name="Note" sheetId="84" r:id="rId1"/>
    <sheet name="power_density" sheetId="65" r:id="rId2"/>
    <sheet name="costs_transmission" sheetId="67" r:id="rId3"/>
    <sheet name="costs_cable" sheetId="68" r:id="rId4"/>
    <sheet name="costs_summary_table" sheetId="80" r:id="rId5"/>
    <sheet name="costs_substation" sheetId="78" r:id="rId6"/>
    <sheet name="cost_scaling_PEM" sheetId="74" r:id="rId7"/>
    <sheet name="cost_scaling_MTS" sheetId="76" r:id="rId8"/>
    <sheet name="cost_scaling_maxCAP" sheetId="77" r:id="rId9"/>
    <sheet name="cost_scaling_DAC" sheetId="71" r:id="rId10"/>
    <sheet name="costs_DAC_future" sheetId="75" r:id="rId11"/>
    <sheet name="DAC_parameters" sheetId="73" r:id="rId12"/>
    <sheet name="capacity_overview" sheetId="72" r:id="rId13"/>
    <sheet name="comparison" sheetId="85" r:id="rId14"/>
  </sheets>
  <definedNames>
    <definedName name="solver_adj" localSheetId="9" hidden="1">cost_scaling_DAC!$D$42</definedName>
    <definedName name="solver_cvg" localSheetId="9" hidden="1">"""""""""""""""""""""""""""""""""""""""""""""""""""""""""""""""""""""""""""""""""""""""""""""""""""""""""""""""""""""""""""""""0,0001"""""""""""""""""""""""""""""""""""""""""""""""""""""""""""""""""""""""""""""""""""""""""""""""""""""""""""""""""""""""""""""""</definedName>
    <definedName name="solver_drv" localSheetId="9" hidden="1">1</definedName>
    <definedName name="solver_eng" localSheetId="9" hidden="1">1</definedName>
    <definedName name="solver_est" localSheetId="9" hidden="1">1</definedName>
    <definedName name="solver_itr" localSheetId="9" hidden="1">2147483647</definedName>
    <definedName name="solver_lhs1" localSheetId="9" hidden="1">cost_scaling_DAC!$D$38</definedName>
    <definedName name="solver_lhs2" localSheetId="9" hidden="1">cost_scaling_DAC!$D$38</definedName>
    <definedName name="solver_lhs3" localSheetId="9" hidden="1">cost_scaling_DAC!$D$38</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2</definedName>
    <definedName name="solver_nwt" localSheetId="9" hidden="1">1</definedName>
    <definedName name="solver_opt" localSheetId="9" hidden="1">cost_scaling_DAC!$L$66</definedName>
    <definedName name="solver_pre" localSheetId="9" hidden="1">"""""""""""""""""""""""""""""""""""""""""""""""""""""""""""""""""""""""""""""""""""""""""""""""""""""""""""""""""""""""""""""""0,000001"""""""""""""""""""""""""""""""""""""""""""""""""""""""""""""""""""""""""""""""""""""""""""""""""""""""""""""""""""""""""""""""</definedName>
    <definedName name="solver_rbv" localSheetId="9" hidden="1">1</definedName>
    <definedName name="solver_rel1" localSheetId="9" hidden="1">1</definedName>
    <definedName name="solver_rel2" localSheetId="9" hidden="1">3</definedName>
    <definedName name="solver_rel3" localSheetId="9" hidden="1">3</definedName>
    <definedName name="solver_rhs1" localSheetId="9" hidden="1">cost_scaling_DAC!$V$576</definedName>
    <definedName name="solver_rhs2" localSheetId="9" hidden="1">1</definedName>
    <definedName name="solver_rhs3" localSheetId="9" hidden="1">1</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1</definedName>
    <definedName name="solver_typ" localSheetId="9" hidden="1">2</definedName>
    <definedName name="solver_val" localSheetId="9" hidden="1">0</definedName>
    <definedName name="solver_ver" localSheetId="9" hidden="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85" l="1"/>
  <c r="E19" i="85"/>
  <c r="J30" i="85"/>
  <c r="K30" i="85" s="1"/>
  <c r="I32" i="85"/>
  <c r="I33" i="85"/>
  <c r="I34" i="85"/>
  <c r="I35" i="85"/>
  <c r="I31" i="85"/>
  <c r="D25" i="85"/>
  <c r="D26" i="85" s="1"/>
  <c r="D30" i="85" s="1"/>
  <c r="D32" i="85" s="1"/>
  <c r="D34" i="85" s="1"/>
  <c r="D35" i="85" s="1"/>
  <c r="D36" i="85" s="1"/>
  <c r="D28" i="85"/>
  <c r="D29" i="85" l="1"/>
  <c r="J35" i="85"/>
  <c r="K35" i="85" s="1"/>
  <c r="J34" i="85"/>
  <c r="K34" i="85" s="1"/>
  <c r="J33" i="85"/>
  <c r="K33" i="85"/>
  <c r="J32" i="85"/>
  <c r="K32" i="85" s="1"/>
  <c r="J31" i="85"/>
  <c r="K31" i="85" s="1"/>
  <c r="C94" i="78"/>
  <c r="C104" i="78"/>
  <c r="C88" i="78"/>
  <c r="F121" i="78"/>
  <c r="F122" i="78"/>
  <c r="F120" i="78"/>
  <c r="E121" i="78"/>
  <c r="E122" i="78"/>
  <c r="E120" i="78"/>
  <c r="D121" i="78"/>
  <c r="D122" i="78"/>
  <c r="D120" i="78"/>
  <c r="C122" i="78"/>
  <c r="C121" i="78"/>
  <c r="C120" i="78"/>
  <c r="E114" i="78"/>
  <c r="E115" i="78"/>
  <c r="E116" i="78"/>
  <c r="E110" i="78"/>
  <c r="E109" i="78"/>
  <c r="E98" i="78"/>
  <c r="C98" i="78"/>
  <c r="C101" i="78"/>
  <c r="D115" i="78"/>
  <c r="D116" i="78"/>
  <c r="D114" i="78"/>
  <c r="D110" i="78"/>
  <c r="D109" i="78"/>
  <c r="C116" i="78"/>
  <c r="C115" i="78"/>
  <c r="C114" i="78"/>
  <c r="B114" i="78"/>
  <c r="C110" i="78"/>
  <c r="C109" i="78"/>
  <c r="BI12" i="68"/>
  <c r="BI13" i="68"/>
  <c r="BI14" i="68"/>
  <c r="BI15" i="68"/>
  <c r="BI16" i="68"/>
  <c r="BI17" i="68"/>
  <c r="BI18" i="68"/>
  <c r="BI19" i="68"/>
  <c r="BI11" i="68"/>
  <c r="BH12" i="68"/>
  <c r="BH13" i="68"/>
  <c r="BH14" i="68"/>
  <c r="BH15" i="68"/>
  <c r="BH16" i="68"/>
  <c r="BH17" i="68"/>
  <c r="BH18" i="68"/>
  <c r="BH19" i="68"/>
  <c r="BH11" i="68"/>
  <c r="C103" i="78"/>
  <c r="C95" i="78"/>
  <c r="C90" i="78"/>
  <c r="C87" i="78"/>
  <c r="K177" i="68"/>
  <c r="K178" i="68"/>
  <c r="K179" i="68"/>
  <c r="K176" i="68"/>
  <c r="O188" i="68"/>
  <c r="N194" i="68"/>
  <c r="N195" i="68"/>
  <c r="N193" i="68"/>
  <c r="M194" i="68"/>
  <c r="M195" i="68"/>
  <c r="M193" i="68"/>
  <c r="O195" i="68"/>
  <c r="O194" i="68"/>
  <c r="O193" i="68"/>
  <c r="O192" i="68"/>
  <c r="O191" i="68"/>
  <c r="O190" i="68"/>
  <c r="O189" i="68"/>
  <c r="N189" i="68"/>
  <c r="N190" i="68"/>
  <c r="N191" i="68"/>
  <c r="N192" i="68"/>
  <c r="N188" i="68"/>
  <c r="M192" i="68"/>
  <c r="M191" i="68"/>
  <c r="M190" i="68"/>
  <c r="M189" i="68"/>
  <c r="M188" i="68"/>
  <c r="BD12" i="68"/>
  <c r="BD13" i="68"/>
  <c r="BD14" i="68"/>
  <c r="BD15" i="68"/>
  <c r="BD16" i="68"/>
  <c r="BD17" i="68"/>
  <c r="BD18" i="68"/>
  <c r="BD19" i="68"/>
  <c r="BD11" i="68"/>
  <c r="W12" i="68"/>
  <c r="L194" i="68"/>
  <c r="L195" i="68"/>
  <c r="L193" i="68"/>
  <c r="L192" i="68"/>
  <c r="L191" i="68"/>
  <c r="L190" i="68"/>
  <c r="L189" i="68"/>
  <c r="L188" i="68"/>
  <c r="AX12" i="68"/>
  <c r="AX13" i="68"/>
  <c r="AX14" i="68"/>
  <c r="AX15" i="68"/>
  <c r="AX16" i="68"/>
  <c r="AX17" i="68"/>
  <c r="AX18" i="68"/>
  <c r="AX19" i="68"/>
  <c r="AX20" i="68"/>
  <c r="AX21" i="68"/>
  <c r="AX11" i="68"/>
  <c r="AW12" i="68"/>
  <c r="AW13" i="68"/>
  <c r="AW14" i="68"/>
  <c r="AW15" i="68"/>
  <c r="AW16" i="68"/>
  <c r="AW17" i="68"/>
  <c r="AW18" i="68"/>
  <c r="AW19" i="68"/>
  <c r="AW20" i="68"/>
  <c r="AW21" i="68"/>
  <c r="AW11" i="68"/>
  <c r="AS13" i="68"/>
  <c r="AS14" i="68"/>
  <c r="AS15" i="68"/>
  <c r="AS16" i="68"/>
  <c r="AS17" i="68"/>
  <c r="AS18" i="68"/>
  <c r="AS19" i="68"/>
  <c r="AS12" i="68"/>
  <c r="AS5" i="68"/>
  <c r="X13" i="68"/>
  <c r="X14" i="68"/>
  <c r="X15" i="68"/>
  <c r="X16" i="68"/>
  <c r="X17" i="68"/>
  <c r="X18" i="68"/>
  <c r="X19" i="68"/>
  <c r="X20" i="68"/>
  <c r="X21" i="68"/>
  <c r="X22" i="68"/>
  <c r="X12" i="68"/>
  <c r="W13" i="68"/>
  <c r="W14" i="68"/>
  <c r="W15" i="68"/>
  <c r="W16" i="68"/>
  <c r="W17" i="68"/>
  <c r="W18" i="68"/>
  <c r="W19" i="68"/>
  <c r="W20" i="68"/>
  <c r="W21" i="68"/>
  <c r="W22" i="68"/>
  <c r="U13" i="68"/>
  <c r="U14" i="68"/>
  <c r="U15" i="68"/>
  <c r="U16" i="68"/>
  <c r="U17" i="68"/>
  <c r="U18" i="68"/>
  <c r="U19" i="68"/>
  <c r="U20" i="68"/>
  <c r="U21" i="68"/>
  <c r="U22" i="68"/>
  <c r="U12" i="68"/>
  <c r="T12" i="68"/>
  <c r="S13" i="68"/>
  <c r="S14" i="68"/>
  <c r="S15" i="68"/>
  <c r="S16" i="68"/>
  <c r="S17" i="68"/>
  <c r="S18" i="68"/>
  <c r="S19" i="68"/>
  <c r="S20" i="68"/>
  <c r="S21" i="68"/>
  <c r="S22" i="68"/>
  <c r="S12" i="68"/>
  <c r="AL12" i="68"/>
  <c r="R13" i="68"/>
  <c r="R14" i="68"/>
  <c r="R15" i="68"/>
  <c r="R16" i="68"/>
  <c r="R17" i="68"/>
  <c r="R18" i="68"/>
  <c r="R19" i="68"/>
  <c r="R20" i="68"/>
  <c r="R12" i="68"/>
  <c r="AL13" i="68"/>
  <c r="AL14" i="68"/>
  <c r="AL15" i="68"/>
  <c r="AL16" i="68"/>
  <c r="AL17" i="68"/>
  <c r="AL18" i="68"/>
  <c r="AL19" i="68"/>
  <c r="AJ5" i="68"/>
  <c r="AJ4" i="68"/>
  <c r="C204" i="65"/>
  <c r="C205" i="65" s="1"/>
  <c r="C199" i="65"/>
  <c r="C201" i="65" s="1"/>
  <c r="C202" i="65" s="1"/>
  <c r="C207" i="65" l="1"/>
  <c r="G49" i="80"/>
  <c r="G48" i="80"/>
  <c r="S41" i="80"/>
  <c r="T41" i="80" s="1"/>
  <c r="S42" i="80"/>
  <c r="E54" i="80" s="1"/>
  <c r="G54" i="80" s="1"/>
  <c r="S43" i="80"/>
  <c r="T43" i="80" s="1"/>
  <c r="S40" i="80"/>
  <c r="T40" i="80" s="1"/>
  <c r="S39" i="80"/>
  <c r="S44" i="80" s="1"/>
  <c r="T44" i="80" s="1"/>
  <c r="T42" i="80" l="1"/>
  <c r="U42" i="80" s="1"/>
  <c r="E42" i="80"/>
  <c r="U40" i="80"/>
  <c r="U41" i="80"/>
  <c r="U43" i="80"/>
  <c r="E44" i="80"/>
  <c r="E39" i="80"/>
  <c r="L25" i="80" s="1"/>
  <c r="U44" i="80"/>
  <c r="T39" i="80"/>
  <c r="E50" i="80"/>
  <c r="E55" i="80"/>
  <c r="G55" i="80" s="1"/>
  <c r="E43" i="80" s="1"/>
  <c r="L40" i="80"/>
  <c r="K40" i="80"/>
  <c r="J40" i="80"/>
  <c r="I40" i="80"/>
  <c r="E36" i="80"/>
  <c r="E37" i="80" s="1"/>
  <c r="M40" i="80" s="1"/>
  <c r="J29" i="80"/>
  <c r="K29" i="80"/>
  <c r="I29" i="80"/>
  <c r="L17" i="80"/>
  <c r="J17" i="80" s="1"/>
  <c r="L22" i="80"/>
  <c r="I22" i="80" s="1"/>
  <c r="L19" i="80"/>
  <c r="K19" i="80" s="1"/>
  <c r="L20" i="80"/>
  <c r="I20" i="80" s="1"/>
  <c r="L23" i="80"/>
  <c r="I23" i="80" s="1"/>
  <c r="L16" i="80"/>
  <c r="K16" i="80" s="1"/>
  <c r="L6" i="80"/>
  <c r="J14" i="80" s="1"/>
  <c r="M6" i="80"/>
  <c r="K14" i="80" s="1"/>
  <c r="N6" i="80"/>
  <c r="L7" i="80"/>
  <c r="M7" i="80"/>
  <c r="N7" i="80"/>
  <c r="L8" i="80"/>
  <c r="M8" i="80"/>
  <c r="N8" i="80"/>
  <c r="L9" i="80"/>
  <c r="M9" i="80"/>
  <c r="N9" i="80"/>
  <c r="L10" i="80"/>
  <c r="M10" i="80"/>
  <c r="N10" i="80"/>
  <c r="L11" i="80"/>
  <c r="M11" i="80"/>
  <c r="N11" i="80"/>
  <c r="K7" i="80"/>
  <c r="K8" i="80"/>
  <c r="K9" i="80"/>
  <c r="K10" i="80"/>
  <c r="K11" i="80"/>
  <c r="K6" i="80"/>
  <c r="I14" i="80" s="1"/>
  <c r="J16" i="80" l="1"/>
  <c r="I16" i="80"/>
  <c r="E41" i="80"/>
  <c r="E45" i="80" s="1"/>
  <c r="L26" i="80" s="1"/>
  <c r="U39" i="80"/>
  <c r="E51" i="80"/>
  <c r="G51" i="80" s="1"/>
  <c r="G50" i="80"/>
  <c r="J20" i="80"/>
  <c r="I19" i="80"/>
  <c r="J19" i="80"/>
  <c r="J22" i="80"/>
  <c r="I17" i="80"/>
  <c r="K23" i="80"/>
  <c r="K20" i="80"/>
  <c r="K22" i="80"/>
  <c r="K17" i="80"/>
  <c r="J23" i="80"/>
  <c r="C106" i="65"/>
  <c r="C107" i="65"/>
  <c r="E57" i="80" l="1"/>
  <c r="M41" i="80"/>
  <c r="P191" i="68"/>
  <c r="P192" i="68"/>
  <c r="P193" i="68"/>
  <c r="P194" i="68"/>
  <c r="P195" i="68"/>
  <c r="H193" i="68"/>
  <c r="E189" i="68"/>
  <c r="E190" i="68"/>
  <c r="E191" i="68"/>
  <c r="E192" i="68"/>
  <c r="E188" i="68"/>
  <c r="D194" i="68"/>
  <c r="F194" i="68" s="1"/>
  <c r="D195" i="68"/>
  <c r="F195" i="68" s="1"/>
  <c r="G98" i="68"/>
  <c r="D106" i="68" s="1"/>
  <c r="G99" i="68"/>
  <c r="D105" i="68" s="1"/>
  <c r="G97" i="68"/>
  <c r="D107" i="68" s="1"/>
  <c r="G96" i="68"/>
  <c r="D108" i="68" s="1"/>
  <c r="G87" i="68"/>
  <c r="C111" i="68" s="1"/>
  <c r="G86" i="68"/>
  <c r="C110" i="68" s="1"/>
  <c r="D86" i="68"/>
  <c r="C129" i="68"/>
  <c r="C128" i="68"/>
  <c r="C127" i="68"/>
  <c r="D85" i="68"/>
  <c r="D95" i="68"/>
  <c r="D94" i="68"/>
  <c r="D78" i="78"/>
  <c r="D81" i="78" s="1"/>
  <c r="D77" i="78"/>
  <c r="C81" i="78" s="1"/>
  <c r="D74" i="78"/>
  <c r="D73" i="78"/>
  <c r="B31" i="78"/>
  <c r="D26" i="78"/>
  <c r="E26" i="78" s="1"/>
  <c r="C12" i="78"/>
  <c r="D50" i="78" s="1"/>
  <c r="E50" i="78" s="1"/>
  <c r="D71" i="80" l="1"/>
  <c r="E71" i="80" s="1"/>
  <c r="D79" i="80"/>
  <c r="E79" i="80" s="1"/>
  <c r="D87" i="80"/>
  <c r="E87" i="80" s="1"/>
  <c r="D95" i="80"/>
  <c r="E95" i="80" s="1"/>
  <c r="D65" i="80"/>
  <c r="E65" i="80" s="1"/>
  <c r="D81" i="80"/>
  <c r="E81" i="80" s="1"/>
  <c r="D89" i="80"/>
  <c r="E89" i="80" s="1"/>
  <c r="D78" i="80"/>
  <c r="E78" i="80" s="1"/>
  <c r="D64" i="80"/>
  <c r="E64" i="80" s="1"/>
  <c r="D72" i="80"/>
  <c r="E72" i="80" s="1"/>
  <c r="D80" i="80"/>
  <c r="E80" i="80" s="1"/>
  <c r="D88" i="80"/>
  <c r="E88" i="80" s="1"/>
  <c r="D96" i="80"/>
  <c r="E96" i="80" s="1"/>
  <c r="D73" i="80"/>
  <c r="E73" i="80" s="1"/>
  <c r="D97" i="80"/>
  <c r="E97" i="80" s="1"/>
  <c r="D66" i="80"/>
  <c r="E66" i="80" s="1"/>
  <c r="D74" i="80"/>
  <c r="E74" i="80" s="1"/>
  <c r="D82" i="80"/>
  <c r="E82" i="80" s="1"/>
  <c r="D90" i="80"/>
  <c r="E90" i="80" s="1"/>
  <c r="D98" i="80"/>
  <c r="E98" i="80" s="1"/>
  <c r="D70" i="80"/>
  <c r="E70" i="80" s="1"/>
  <c r="D86" i="80"/>
  <c r="E86" i="80" s="1"/>
  <c r="D67" i="80"/>
  <c r="E67" i="80" s="1"/>
  <c r="D75" i="80"/>
  <c r="E75" i="80" s="1"/>
  <c r="D83" i="80"/>
  <c r="E83" i="80" s="1"/>
  <c r="D91" i="80"/>
  <c r="E91" i="80" s="1"/>
  <c r="D99" i="80"/>
  <c r="E99" i="80" s="1"/>
  <c r="D69" i="80"/>
  <c r="E69" i="80" s="1"/>
  <c r="D77" i="80"/>
  <c r="E77" i="80" s="1"/>
  <c r="D85" i="80"/>
  <c r="E85" i="80" s="1"/>
  <c r="D93" i="80"/>
  <c r="E93" i="80" s="1"/>
  <c r="D68" i="80"/>
  <c r="E68" i="80" s="1"/>
  <c r="D76" i="80"/>
  <c r="E76" i="80" s="1"/>
  <c r="D84" i="80"/>
  <c r="E84" i="80" s="1"/>
  <c r="D92" i="80"/>
  <c r="E92" i="80" s="1"/>
  <c r="D100" i="80"/>
  <c r="E100" i="80" s="1"/>
  <c r="D63" i="80"/>
  <c r="E63" i="80" s="1"/>
  <c r="M45" i="80"/>
  <c r="D94" i="80"/>
  <c r="E94" i="80" s="1"/>
  <c r="L41" i="80"/>
  <c r="J41" i="80"/>
  <c r="M42" i="80"/>
  <c r="K41" i="80"/>
  <c r="I41" i="80"/>
  <c r="D51" i="78"/>
  <c r="E51" i="78" s="1"/>
  <c r="C55" i="78" s="1"/>
  <c r="D37" i="78"/>
  <c r="H195" i="68"/>
  <c r="E81" i="78"/>
  <c r="H24" i="78"/>
  <c r="I24" i="78" s="1"/>
  <c r="G45" i="78" s="1"/>
  <c r="D24" i="78"/>
  <c r="E24" i="78" s="1"/>
  <c r="D25" i="78"/>
  <c r="E25" i="78" s="1"/>
  <c r="H25" i="78"/>
  <c r="I25" i="78" s="1"/>
  <c r="G195" i="68"/>
  <c r="I195" i="68"/>
  <c r="C64" i="78"/>
  <c r="C54" i="78"/>
  <c r="C58" i="78"/>
  <c r="C57" i="78"/>
  <c r="C59" i="78"/>
  <c r="C60" i="78"/>
  <c r="C62" i="78"/>
  <c r="C63" i="78"/>
  <c r="C61" i="78"/>
  <c r="G42" i="78"/>
  <c r="G43" i="78"/>
  <c r="G41" i="78"/>
  <c r="G39" i="78"/>
  <c r="I194" i="68"/>
  <c r="H194" i="68"/>
  <c r="G194" i="68"/>
  <c r="D33" i="78"/>
  <c r="D44" i="78"/>
  <c r="D43" i="78"/>
  <c r="D34" i="78"/>
  <c r="D36" i="78"/>
  <c r="D42" i="78"/>
  <c r="D41" i="78"/>
  <c r="D35" i="78"/>
  <c r="D40" i="78"/>
  <c r="D32" i="78"/>
  <c r="D39" i="78"/>
  <c r="D30" i="78"/>
  <c r="D38" i="78"/>
  <c r="D31" i="78"/>
  <c r="D45" i="78"/>
  <c r="D93" i="68"/>
  <c r="D193" i="68" s="1"/>
  <c r="E177" i="68"/>
  <c r="E178" i="68"/>
  <c r="E179" i="68"/>
  <c r="E176" i="68"/>
  <c r="AD152" i="68"/>
  <c r="AD151" i="68"/>
  <c r="AD150" i="68"/>
  <c r="AD149" i="68"/>
  <c r="AD148" i="68"/>
  <c r="AC152" i="68"/>
  <c r="AC151" i="68"/>
  <c r="AC150" i="68"/>
  <c r="AC149" i="68"/>
  <c r="AC148" i="68"/>
  <c r="AB152" i="68"/>
  <c r="AB151" i="68"/>
  <c r="AB150" i="68"/>
  <c r="AB149" i="68"/>
  <c r="AB148" i="68"/>
  <c r="AA150" i="68"/>
  <c r="AA149" i="68"/>
  <c r="AA148" i="68"/>
  <c r="Z150" i="68"/>
  <c r="Z149" i="68"/>
  <c r="Z148" i="68"/>
  <c r="AM139" i="68"/>
  <c r="AM140" i="68"/>
  <c r="AM141" i="68"/>
  <c r="AM142" i="68"/>
  <c r="AM138" i="68"/>
  <c r="AJ139" i="68"/>
  <c r="AJ140" i="68"/>
  <c r="AJ141" i="68"/>
  <c r="AJ142" i="68"/>
  <c r="AJ138" i="68"/>
  <c r="AG139" i="68"/>
  <c r="AG140" i="68"/>
  <c r="AG141" i="68"/>
  <c r="AG142" i="68"/>
  <c r="AG138" i="68"/>
  <c r="AD139" i="68"/>
  <c r="AD140" i="68"/>
  <c r="AD141" i="68"/>
  <c r="AD142" i="68"/>
  <c r="AD138" i="68"/>
  <c r="AA139" i="68"/>
  <c r="AA140" i="68"/>
  <c r="AA141" i="68"/>
  <c r="AA142" i="68"/>
  <c r="AA138" i="68"/>
  <c r="J167" i="68"/>
  <c r="E167" i="68"/>
  <c r="E163" i="68"/>
  <c r="C180" i="65"/>
  <c r="C179" i="65"/>
  <c r="C178" i="65"/>
  <c r="D165" i="65"/>
  <c r="E165" i="65"/>
  <c r="F165" i="65"/>
  <c r="C165" i="65"/>
  <c r="D158" i="65"/>
  <c r="D163" i="65" s="1"/>
  <c r="E158" i="65"/>
  <c r="E163" i="65" s="1"/>
  <c r="F158" i="65"/>
  <c r="F163" i="65" s="1"/>
  <c r="C158" i="65"/>
  <c r="C163" i="65" s="1"/>
  <c r="D156" i="65"/>
  <c r="D162" i="65" s="1"/>
  <c r="G38" i="78" l="1"/>
  <c r="G30" i="78"/>
  <c r="C33" i="78"/>
  <c r="C56" i="78"/>
  <c r="J45" i="80"/>
  <c r="J42" i="80"/>
  <c r="L45" i="80"/>
  <c r="L46" i="80" s="1"/>
  <c r="L42" i="80"/>
  <c r="L43" i="80" s="1"/>
  <c r="M46" i="80"/>
  <c r="I45" i="80"/>
  <c r="I46" i="80" s="1"/>
  <c r="I25" i="80" s="1"/>
  <c r="I42" i="80"/>
  <c r="I43" i="80" s="1"/>
  <c r="I26" i="80" s="1"/>
  <c r="K45" i="80"/>
  <c r="K46" i="80" s="1"/>
  <c r="K25" i="80" s="1"/>
  <c r="K42" i="80"/>
  <c r="F167" i="65"/>
  <c r="G40" i="78"/>
  <c r="C43" i="78"/>
  <c r="G44" i="78"/>
  <c r="G37" i="78"/>
  <c r="G35" i="78"/>
  <c r="G36" i="78"/>
  <c r="G31" i="78"/>
  <c r="C42" i="78"/>
  <c r="C35" i="78"/>
  <c r="C41" i="78"/>
  <c r="C38" i="78"/>
  <c r="C34" i="78"/>
  <c r="C39" i="78"/>
  <c r="C40" i="78"/>
  <c r="C37" i="78"/>
  <c r="C36" i="78"/>
  <c r="C45" i="78"/>
  <c r="G34" i="78"/>
  <c r="G33" i="78"/>
  <c r="C30" i="78"/>
  <c r="C32" i="78"/>
  <c r="G32" i="78"/>
  <c r="C31" i="78"/>
  <c r="C44" i="78"/>
  <c r="F193" i="68"/>
  <c r="G193" i="68"/>
  <c r="D157" i="65"/>
  <c r="J46" i="80" l="1"/>
  <c r="J25" i="80" s="1"/>
  <c r="F64" i="80"/>
  <c r="F74" i="80"/>
  <c r="F92" i="80"/>
  <c r="F71" i="80"/>
  <c r="F76" i="80"/>
  <c r="F91" i="80"/>
  <c r="F84" i="80"/>
  <c r="F96" i="80"/>
  <c r="F94" i="80"/>
  <c r="F86" i="80"/>
  <c r="K43" i="80"/>
  <c r="K26" i="80" s="1"/>
  <c r="F78" i="80"/>
  <c r="F83" i="80"/>
  <c r="F100" i="80"/>
  <c r="F66" i="80"/>
  <c r="M43" i="80"/>
  <c r="F67" i="80"/>
  <c r="F63" i="80"/>
  <c r="F81" i="80"/>
  <c r="F97" i="80"/>
  <c r="F73" i="80"/>
  <c r="F75" i="80"/>
  <c r="F68" i="80"/>
  <c r="F87" i="80"/>
  <c r="F65" i="80"/>
  <c r="F79" i="80"/>
  <c r="F88" i="80"/>
  <c r="F72" i="80"/>
  <c r="F90" i="80"/>
  <c r="F98" i="80"/>
  <c r="F70" i="80"/>
  <c r="F89" i="80"/>
  <c r="J43" i="80"/>
  <c r="J26" i="80" s="1"/>
  <c r="F95" i="80"/>
  <c r="F85" i="80"/>
  <c r="F80" i="80"/>
  <c r="F82" i="80"/>
  <c r="F99" i="80"/>
  <c r="F69" i="80"/>
  <c r="F77" i="80"/>
  <c r="F93" i="80"/>
  <c r="G137" i="68"/>
  <c r="G138" i="68"/>
  <c r="G139" i="68"/>
  <c r="G140" i="68"/>
  <c r="G141" i="68"/>
  <c r="G142" i="68"/>
  <c r="G143" i="68"/>
  <c r="G144" i="68"/>
  <c r="G136" i="68"/>
  <c r="C137" i="68"/>
  <c r="C138" i="68"/>
  <c r="C139" i="68"/>
  <c r="C140" i="68"/>
  <c r="C141" i="68"/>
  <c r="C142" i="68"/>
  <c r="C143" i="68"/>
  <c r="C144" i="68"/>
  <c r="C136" i="68"/>
  <c r="G132" i="68"/>
  <c r="I136" i="68" s="1"/>
  <c r="D116" i="68"/>
  <c r="G93" i="68"/>
  <c r="D109" i="68" s="1"/>
  <c r="G94" i="68"/>
  <c r="G95" i="68"/>
  <c r="G81" i="68"/>
  <c r="I189" i="68" s="1"/>
  <c r="G82" i="68"/>
  <c r="G83" i="68"/>
  <c r="G84" i="68"/>
  <c r="G85" i="68"/>
  <c r="H13" i="68"/>
  <c r="H14" i="68"/>
  <c r="H15" i="68"/>
  <c r="H16" i="68"/>
  <c r="H17" i="68"/>
  <c r="H18" i="68"/>
  <c r="H19" i="68"/>
  <c r="H20" i="68"/>
  <c r="H21" i="68"/>
  <c r="H12" i="68"/>
  <c r="E126" i="68"/>
  <c r="E127" i="68"/>
  <c r="E128" i="68"/>
  <c r="E129" i="68"/>
  <c r="E125" i="68"/>
  <c r="C108" i="68" l="1"/>
  <c r="I192" i="68"/>
  <c r="D111" i="68"/>
  <c r="K195" i="68"/>
  <c r="C109" i="68"/>
  <c r="F109" i="68" s="1"/>
  <c r="I193" i="68"/>
  <c r="D110" i="68"/>
  <c r="K194" i="68"/>
  <c r="F111" i="68"/>
  <c r="E111" i="68"/>
  <c r="E110" i="68"/>
  <c r="F110" i="68"/>
  <c r="C106" i="68"/>
  <c r="I190" i="68"/>
  <c r="F108" i="68"/>
  <c r="E108" i="68"/>
  <c r="I191" i="68"/>
  <c r="C107" i="68"/>
  <c r="E141" i="68"/>
  <c r="E136" i="68"/>
  <c r="E139" i="68"/>
  <c r="I142" i="68"/>
  <c r="I139" i="68"/>
  <c r="I137" i="68"/>
  <c r="E144" i="68"/>
  <c r="I144" i="68"/>
  <c r="E137" i="68"/>
  <c r="I140" i="68"/>
  <c r="I138" i="68"/>
  <c r="E143" i="68"/>
  <c r="E142" i="68"/>
  <c r="E140" i="68"/>
  <c r="E138" i="68"/>
  <c r="I141" i="68"/>
  <c r="I143" i="68"/>
  <c r="J155" i="68"/>
  <c r="J156" i="68"/>
  <c r="J157" i="68"/>
  <c r="J158" i="68"/>
  <c r="J159" i="68"/>
  <c r="J160" i="68"/>
  <c r="J161" i="68"/>
  <c r="J162" i="68"/>
  <c r="I154" i="68"/>
  <c r="J154" i="68" s="1"/>
  <c r="E155" i="68"/>
  <c r="E156" i="68"/>
  <c r="E157" i="68"/>
  <c r="E158" i="68"/>
  <c r="E159" i="68"/>
  <c r="E160" i="68"/>
  <c r="E161" i="68"/>
  <c r="E162" i="68"/>
  <c r="D154" i="68"/>
  <c r="E154" i="68" s="1"/>
  <c r="H126" i="68"/>
  <c r="J126" i="68" s="1"/>
  <c r="H127" i="68"/>
  <c r="J127" i="68" s="1"/>
  <c r="H128" i="68"/>
  <c r="J128" i="68" s="1"/>
  <c r="H129" i="68"/>
  <c r="J129" i="68" s="1"/>
  <c r="H125" i="68"/>
  <c r="J125" i="68" s="1"/>
  <c r="C117" i="68"/>
  <c r="D117" i="68" s="1"/>
  <c r="E68" i="68"/>
  <c r="E69" i="68"/>
  <c r="E67" i="68"/>
  <c r="I68" i="68"/>
  <c r="J68" i="68" s="1"/>
  <c r="I69" i="68"/>
  <c r="J69" i="68" s="1"/>
  <c r="I67" i="68"/>
  <c r="J67" i="68" s="1"/>
  <c r="D81" i="68"/>
  <c r="D189" i="68" s="1"/>
  <c r="D82" i="68"/>
  <c r="D190" i="68" s="1"/>
  <c r="D83" i="68"/>
  <c r="D191" i="68" s="1"/>
  <c r="D84" i="68"/>
  <c r="D192" i="68" s="1"/>
  <c r="D80" i="68"/>
  <c r="D188" i="68" s="1"/>
  <c r="F80" i="68"/>
  <c r="G80" i="68" s="1"/>
  <c r="F67" i="68"/>
  <c r="D67" i="68"/>
  <c r="L13" i="68"/>
  <c r="L14" i="68"/>
  <c r="L15" i="68"/>
  <c r="L16" i="68"/>
  <c r="L17" i="68"/>
  <c r="L18" i="68"/>
  <c r="L19" i="68"/>
  <c r="L20" i="68"/>
  <c r="L21" i="68"/>
  <c r="L12" i="68"/>
  <c r="D31" i="74"/>
  <c r="D32" i="74"/>
  <c r="D33" i="74"/>
  <c r="D34" i="74"/>
  <c r="D35" i="74"/>
  <c r="D36" i="74"/>
  <c r="D37" i="74"/>
  <c r="D38" i="74"/>
  <c r="D39" i="74"/>
  <c r="D40" i="74"/>
  <c r="D41" i="74"/>
  <c r="D42" i="74"/>
  <c r="D43" i="74"/>
  <c r="D44" i="74"/>
  <c r="D45" i="74"/>
  <c r="D46" i="74"/>
  <c r="D47" i="74"/>
  <c r="D48" i="74"/>
  <c r="D49" i="74"/>
  <c r="D50" i="74"/>
  <c r="D51" i="74"/>
  <c r="D52" i="74"/>
  <c r="D53" i="74"/>
  <c r="D54" i="74"/>
  <c r="D55" i="74"/>
  <c r="D56" i="74"/>
  <c r="D57" i="74"/>
  <c r="D58" i="74"/>
  <c r="D59" i="74"/>
  <c r="D60" i="74"/>
  <c r="D61" i="74"/>
  <c r="D62" i="74"/>
  <c r="D63" i="74"/>
  <c r="D64" i="74"/>
  <c r="D65" i="74"/>
  <c r="D66" i="74"/>
  <c r="D67" i="74"/>
  <c r="D68" i="74"/>
  <c r="D69" i="74"/>
  <c r="D70" i="74"/>
  <c r="D71" i="74"/>
  <c r="D72" i="74"/>
  <c r="D73" i="74"/>
  <c r="D74" i="74"/>
  <c r="D75" i="74"/>
  <c r="D76" i="74"/>
  <c r="D77" i="74"/>
  <c r="D78" i="74"/>
  <c r="D79" i="74"/>
  <c r="D80" i="74"/>
  <c r="D81" i="74"/>
  <c r="D82" i="74"/>
  <c r="D83" i="74"/>
  <c r="D84" i="74"/>
  <c r="D85" i="74"/>
  <c r="D86" i="74"/>
  <c r="D87" i="74"/>
  <c r="D88" i="74"/>
  <c r="D89" i="74"/>
  <c r="D90" i="74"/>
  <c r="D91" i="74"/>
  <c r="D92" i="74"/>
  <c r="D93" i="74"/>
  <c r="D94" i="74"/>
  <c r="D95" i="74"/>
  <c r="D96" i="74"/>
  <c r="D97" i="74"/>
  <c r="D98" i="74"/>
  <c r="D99" i="74"/>
  <c r="D100" i="74"/>
  <c r="D101" i="74"/>
  <c r="D102" i="74"/>
  <c r="D103" i="74"/>
  <c r="D104" i="74"/>
  <c r="D105" i="74"/>
  <c r="D106" i="74"/>
  <c r="D107" i="74"/>
  <c r="D108" i="74"/>
  <c r="D109" i="74"/>
  <c r="D110" i="74"/>
  <c r="D111" i="74"/>
  <c r="D112" i="74"/>
  <c r="D113" i="74"/>
  <c r="D114" i="74"/>
  <c r="D115" i="74"/>
  <c r="D116" i="74"/>
  <c r="D117" i="74"/>
  <c r="D118" i="74"/>
  <c r="D119" i="74"/>
  <c r="D120" i="74"/>
  <c r="D121" i="74"/>
  <c r="D122" i="74"/>
  <c r="D123" i="74"/>
  <c r="D124" i="74"/>
  <c r="D125" i="74"/>
  <c r="D126" i="74"/>
  <c r="D127" i="74"/>
  <c r="D128" i="74"/>
  <c r="D129" i="74"/>
  <c r="D130" i="74"/>
  <c r="D131" i="74"/>
  <c r="D132" i="74"/>
  <c r="D30" i="74"/>
  <c r="J21" i="74"/>
  <c r="J20" i="74"/>
  <c r="J19" i="74"/>
  <c r="J18" i="74"/>
  <c r="R22" i="71"/>
  <c r="R33" i="71" s="1"/>
  <c r="S22" i="71"/>
  <c r="S32" i="71" s="1"/>
  <c r="T22" i="71"/>
  <c r="T27" i="71" s="1"/>
  <c r="Q22" i="71"/>
  <c r="Q33" i="71" s="1"/>
  <c r="D37" i="71"/>
  <c r="U8" i="73"/>
  <c r="T2" i="73"/>
  <c r="Q4" i="73"/>
  <c r="Q8" i="73" s="1"/>
  <c r="N8" i="73"/>
  <c r="G43" i="71"/>
  <c r="G41" i="71"/>
  <c r="G44" i="71"/>
  <c r="G42" i="71"/>
  <c r="K9" i="76"/>
  <c r="L9" i="76" s="1"/>
  <c r="K10" i="76"/>
  <c r="L10" i="76" s="1"/>
  <c r="K8" i="76"/>
  <c r="L8" i="76" s="1"/>
  <c r="D9" i="76"/>
  <c r="E9" i="76" s="1"/>
  <c r="D10" i="76"/>
  <c r="E10" i="76" s="1"/>
  <c r="D8" i="76"/>
  <c r="E8" i="76" s="1"/>
  <c r="D4" i="73"/>
  <c r="I4" i="73" s="1"/>
  <c r="F4" i="73"/>
  <c r="D5" i="73"/>
  <c r="J191" i="68" l="1"/>
  <c r="J195" i="68"/>
  <c r="J194" i="68"/>
  <c r="J189" i="68"/>
  <c r="K189" i="68"/>
  <c r="K191" i="68"/>
  <c r="J193" i="68"/>
  <c r="K193" i="68"/>
  <c r="G188" i="68"/>
  <c r="F188" i="68"/>
  <c r="H188" i="68"/>
  <c r="F192" i="68"/>
  <c r="G192" i="68"/>
  <c r="H192" i="68"/>
  <c r="H191" i="68"/>
  <c r="F191" i="68"/>
  <c r="G191" i="68"/>
  <c r="G109" i="68"/>
  <c r="J190" i="68"/>
  <c r="K190" i="68"/>
  <c r="F190" i="68"/>
  <c r="G190" i="68"/>
  <c r="H190" i="68"/>
  <c r="E109" i="68"/>
  <c r="J192" i="68"/>
  <c r="K192" i="68"/>
  <c r="G189" i="68"/>
  <c r="F189" i="68"/>
  <c r="H189" i="68"/>
  <c r="F106" i="68"/>
  <c r="E106" i="68"/>
  <c r="F107" i="68"/>
  <c r="E107" i="68"/>
  <c r="I188" i="68"/>
  <c r="C105" i="68"/>
  <c r="S29" i="71"/>
  <c r="R32" i="71"/>
  <c r="T34" i="71"/>
  <c r="S33" i="71"/>
  <c r="T31" i="71"/>
  <c r="T33" i="71"/>
  <c r="Q32" i="71"/>
  <c r="S27" i="71"/>
  <c r="R27" i="71"/>
  <c r="T26" i="71"/>
  <c r="Q30" i="71"/>
  <c r="S31" i="71"/>
  <c r="Q29" i="71"/>
  <c r="R31" i="71"/>
  <c r="S26" i="71"/>
  <c r="Q28" i="71"/>
  <c r="T30" i="71"/>
  <c r="Q31" i="71"/>
  <c r="R26" i="71"/>
  <c r="Q27" i="71"/>
  <c r="S30" i="71"/>
  <c r="S34" i="71"/>
  <c r="T29" i="71"/>
  <c r="R29" i="71"/>
  <c r="R30" i="71"/>
  <c r="R34" i="71"/>
  <c r="T28" i="71"/>
  <c r="S28" i="71"/>
  <c r="Q34" i="71"/>
  <c r="T32" i="71"/>
  <c r="R28" i="71"/>
  <c r="Q26" i="71"/>
  <c r="F9" i="76"/>
  <c r="G9" i="76" s="1"/>
  <c r="H9" i="76"/>
  <c r="O8" i="76"/>
  <c r="M8" i="76"/>
  <c r="N8" i="76" s="1"/>
  <c r="O10" i="76"/>
  <c r="M10" i="76"/>
  <c r="N10" i="76" s="1"/>
  <c r="M9" i="76"/>
  <c r="N9" i="76" s="1"/>
  <c r="O9" i="76"/>
  <c r="H8" i="76"/>
  <c r="F8" i="76"/>
  <c r="G8" i="76" s="1"/>
  <c r="H10" i="76"/>
  <c r="F10" i="76"/>
  <c r="G10" i="76" s="1"/>
  <c r="F7" i="75"/>
  <c r="F8" i="75"/>
  <c r="F9" i="75"/>
  <c r="F6" i="75"/>
  <c r="E7" i="75"/>
  <c r="E8" i="75"/>
  <c r="E9" i="75"/>
  <c r="E6" i="75"/>
  <c r="H25" i="71"/>
  <c r="D25" i="71"/>
  <c r="K188" i="68" l="1"/>
  <c r="J188" i="68"/>
  <c r="F105" i="68"/>
  <c r="E105" i="68"/>
  <c r="K50" i="71"/>
  <c r="K51" i="71"/>
  <c r="K52" i="71"/>
  <c r="K53" i="71"/>
  <c r="K54" i="71"/>
  <c r="K55" i="71"/>
  <c r="K56" i="71"/>
  <c r="K57" i="71"/>
  <c r="K49" i="71"/>
  <c r="G14" i="71"/>
  <c r="G15" i="71"/>
  <c r="G16" i="71"/>
  <c r="G17" i="71"/>
  <c r="G18" i="71"/>
  <c r="G19" i="71"/>
  <c r="G20" i="71"/>
  <c r="G21" i="71"/>
  <c r="G13" i="71"/>
  <c r="K21" i="71"/>
  <c r="F61" i="71"/>
  <c r="F25" i="71"/>
  <c r="J15" i="71"/>
  <c r="K13" i="71" l="1"/>
  <c r="Q11" i="72"/>
  <c r="R11" i="72"/>
  <c r="P11" i="72"/>
  <c r="L12" i="74" l="1"/>
  <c r="M12" i="74"/>
  <c r="L11" i="74"/>
  <c r="M11" i="74"/>
  <c r="K11" i="74"/>
  <c r="K12" i="74"/>
  <c r="L10" i="74"/>
  <c r="M10" i="74"/>
  <c r="K10" i="74"/>
  <c r="C21" i="74"/>
  <c r="C15" i="74"/>
  <c r="R7" i="72"/>
  <c r="R6" i="72"/>
  <c r="H20" i="74" l="1"/>
  <c r="I29" i="74" s="1"/>
  <c r="F19" i="74"/>
  <c r="L18" i="74"/>
  <c r="L21" i="74"/>
  <c r="L20" i="74"/>
  <c r="L19" i="74"/>
  <c r="H21" i="74"/>
  <c r="I135" i="74" s="1"/>
  <c r="F21" i="74"/>
  <c r="C135" i="74" s="1"/>
  <c r="G21" i="74"/>
  <c r="F135" i="74" s="1"/>
  <c r="F20" i="74"/>
  <c r="C29" i="74" s="1"/>
  <c r="H19" i="74"/>
  <c r="G19" i="74"/>
  <c r="G20" i="74"/>
  <c r="F29" i="74" s="1"/>
  <c r="D40" i="71"/>
  <c r="AB11" i="71" s="1"/>
  <c r="D38" i="71"/>
  <c r="D8" i="71"/>
  <c r="D5" i="71"/>
  <c r="AB351" i="71" s="1"/>
  <c r="D2" i="71"/>
  <c r="D3" i="71" s="1"/>
  <c r="L22" i="74" l="1"/>
  <c r="M18" i="74" s="1"/>
  <c r="W576" i="71"/>
  <c r="AB575" i="71"/>
  <c r="AB572" i="71"/>
  <c r="W572" i="71"/>
  <c r="W569" i="71"/>
  <c r="AB568" i="71"/>
  <c r="AB570" i="71"/>
  <c r="W571" i="71"/>
  <c r="AB573" i="71"/>
  <c r="W570" i="71"/>
  <c r="AB569" i="71"/>
  <c r="W575" i="71"/>
  <c r="AB571" i="71"/>
  <c r="AB574" i="71"/>
  <c r="W568" i="71"/>
  <c r="W574" i="71"/>
  <c r="AB576" i="71"/>
  <c r="W573" i="71"/>
  <c r="AB25" i="71"/>
  <c r="AB30" i="71"/>
  <c r="AB26" i="71"/>
  <c r="AB9" i="71"/>
  <c r="AB6" i="71"/>
  <c r="W35" i="71"/>
  <c r="W99" i="71"/>
  <c r="W10" i="71"/>
  <c r="AB220" i="71"/>
  <c r="W88" i="71"/>
  <c r="W418" i="71"/>
  <c r="AB22" i="71"/>
  <c r="W214" i="71"/>
  <c r="W460" i="71"/>
  <c r="W106" i="71"/>
  <c r="W74" i="71"/>
  <c r="W559" i="71"/>
  <c r="W399" i="71"/>
  <c r="W545" i="71"/>
  <c r="W372" i="71"/>
  <c r="AB34" i="71"/>
  <c r="AB17" i="71"/>
  <c r="W498" i="71"/>
  <c r="W24" i="71"/>
  <c r="AB44" i="71"/>
  <c r="W440" i="71"/>
  <c r="AB18" i="71"/>
  <c r="W73" i="71"/>
  <c r="W62" i="71"/>
  <c r="W531" i="71"/>
  <c r="W334" i="71"/>
  <c r="AB33" i="71"/>
  <c r="AB14" i="71"/>
  <c r="W49" i="71"/>
  <c r="W517" i="71"/>
  <c r="W274" i="71"/>
  <c r="AB32" i="71"/>
  <c r="AB10" i="71"/>
  <c r="W100" i="71"/>
  <c r="W89" i="71"/>
  <c r="W75" i="71"/>
  <c r="W64" i="71"/>
  <c r="W50" i="71"/>
  <c r="W38" i="71"/>
  <c r="W25" i="71"/>
  <c r="W11" i="71"/>
  <c r="W108" i="71"/>
  <c r="W562" i="71"/>
  <c r="W548" i="71"/>
  <c r="W534" i="71"/>
  <c r="W519" i="71"/>
  <c r="W500" i="71"/>
  <c r="W481" i="71"/>
  <c r="W442" i="71"/>
  <c r="W421" i="71"/>
  <c r="W402" i="71"/>
  <c r="W376" i="71"/>
  <c r="W342" i="71"/>
  <c r="W281" i="71"/>
  <c r="W221" i="71"/>
  <c r="W120" i="71"/>
  <c r="AB192" i="71"/>
  <c r="AB543" i="71"/>
  <c r="W437" i="71"/>
  <c r="W416" i="71"/>
  <c r="W396" i="71"/>
  <c r="W369" i="71"/>
  <c r="W327" i="71"/>
  <c r="W266" i="71"/>
  <c r="W206" i="71"/>
  <c r="AB64" i="71"/>
  <c r="AB252" i="71"/>
  <c r="W98" i="71"/>
  <c r="W34" i="71"/>
  <c r="W544" i="71"/>
  <c r="W495" i="71"/>
  <c r="W83" i="71"/>
  <c r="W72" i="71"/>
  <c r="W58" i="71"/>
  <c r="W46" i="71"/>
  <c r="W33" i="71"/>
  <c r="W19" i="71"/>
  <c r="W8" i="71"/>
  <c r="W557" i="71"/>
  <c r="W528" i="71"/>
  <c r="W512" i="71"/>
  <c r="W493" i="71"/>
  <c r="W474" i="71"/>
  <c r="W455" i="71"/>
  <c r="W434" i="71"/>
  <c r="W414" i="71"/>
  <c r="W394" i="71"/>
  <c r="W364" i="71"/>
  <c r="W319" i="71"/>
  <c r="W259" i="71"/>
  <c r="W199" i="71"/>
  <c r="AB87" i="71"/>
  <c r="AB284" i="71"/>
  <c r="W59" i="71"/>
  <c r="W530" i="71"/>
  <c r="W457" i="71"/>
  <c r="W96" i="71"/>
  <c r="W70" i="71"/>
  <c r="W57" i="71"/>
  <c r="W43" i="71"/>
  <c r="W32" i="71"/>
  <c r="W18" i="71"/>
  <c r="W6" i="71"/>
  <c r="W555" i="71"/>
  <c r="W541" i="71"/>
  <c r="W510" i="71"/>
  <c r="W491" i="71"/>
  <c r="W471" i="71"/>
  <c r="W453" i="71"/>
  <c r="W432" i="71"/>
  <c r="W411" i="71"/>
  <c r="W361" i="71"/>
  <c r="W251" i="71"/>
  <c r="W191" i="71"/>
  <c r="AB108" i="71"/>
  <c r="AB316" i="71"/>
  <c r="W48" i="71"/>
  <c r="W514" i="71"/>
  <c r="W97" i="71"/>
  <c r="W81" i="71"/>
  <c r="W42" i="71"/>
  <c r="W17" i="71"/>
  <c r="W538" i="71"/>
  <c r="W524" i="71"/>
  <c r="W507" i="71"/>
  <c r="W488" i="71"/>
  <c r="W470" i="71"/>
  <c r="W450" i="71"/>
  <c r="W429" i="71"/>
  <c r="W409" i="71"/>
  <c r="W387" i="71"/>
  <c r="W357" i="71"/>
  <c r="W304" i="71"/>
  <c r="W244" i="71"/>
  <c r="W181" i="71"/>
  <c r="AB128" i="71"/>
  <c r="AB562" i="71"/>
  <c r="AB554" i="71"/>
  <c r="AB546" i="71"/>
  <c r="AB538" i="71"/>
  <c r="AB530" i="71"/>
  <c r="AB522" i="71"/>
  <c r="AB514" i="71"/>
  <c r="AB506" i="71"/>
  <c r="AB498" i="71"/>
  <c r="AB490" i="71"/>
  <c r="AB482" i="71"/>
  <c r="AB474" i="71"/>
  <c r="AB466" i="71"/>
  <c r="AB458" i="71"/>
  <c r="AB450" i="71"/>
  <c r="AB442" i="71"/>
  <c r="AB434" i="71"/>
  <c r="AB426" i="71"/>
  <c r="AB418" i="71"/>
  <c r="AB410" i="71"/>
  <c r="AB402" i="71"/>
  <c r="AB394" i="71"/>
  <c r="AB386" i="71"/>
  <c r="AB378" i="71"/>
  <c r="AB370" i="71"/>
  <c r="AB362" i="71"/>
  <c r="AB354" i="71"/>
  <c r="AB346" i="71"/>
  <c r="AB338" i="71"/>
  <c r="AB330" i="71"/>
  <c r="AB322" i="71"/>
  <c r="AB314" i="71"/>
  <c r="AB306" i="71"/>
  <c r="AB298" i="71"/>
  <c r="AB290" i="71"/>
  <c r="AB282" i="71"/>
  <c r="AB274" i="71"/>
  <c r="AB266" i="71"/>
  <c r="AB258" i="71"/>
  <c r="AB250" i="71"/>
  <c r="AB242" i="71"/>
  <c r="AB234" i="71"/>
  <c r="AB226" i="71"/>
  <c r="AB218" i="71"/>
  <c r="AB210" i="71"/>
  <c r="AB202" i="71"/>
  <c r="AB194" i="71"/>
  <c r="AB186" i="71"/>
  <c r="AB178" i="71"/>
  <c r="AB170" i="71"/>
  <c r="AB162" i="71"/>
  <c r="AB154" i="71"/>
  <c r="AB146" i="71"/>
  <c r="AB138" i="71"/>
  <c r="AB130" i="71"/>
  <c r="AB122" i="71"/>
  <c r="AB114" i="71"/>
  <c r="AB106" i="71"/>
  <c r="AB98" i="71"/>
  <c r="AB90" i="71"/>
  <c r="AB82" i="71"/>
  <c r="AB74" i="71"/>
  <c r="AB66" i="71"/>
  <c r="AB58" i="71"/>
  <c r="AB50" i="71"/>
  <c r="AB42" i="71"/>
  <c r="W117" i="71"/>
  <c r="W125" i="71"/>
  <c r="W133" i="71"/>
  <c r="W140" i="71"/>
  <c r="W148" i="71"/>
  <c r="W155" i="71"/>
  <c r="W163" i="71"/>
  <c r="W170" i="71"/>
  <c r="W178" i="71"/>
  <c r="AB561" i="71"/>
  <c r="AB553" i="71"/>
  <c r="AB545" i="71"/>
  <c r="AB537" i="71"/>
  <c r="AB529" i="71"/>
  <c r="AB521" i="71"/>
  <c r="AB513" i="71"/>
  <c r="AB505" i="71"/>
  <c r="AB497" i="71"/>
  <c r="AB489" i="71"/>
  <c r="AB481" i="71"/>
  <c r="AB473" i="71"/>
  <c r="AB465" i="71"/>
  <c r="AB457" i="71"/>
  <c r="AB449" i="71"/>
  <c r="AB441" i="71"/>
  <c r="AB433" i="71"/>
  <c r="AB425" i="71"/>
  <c r="AB417" i="71"/>
  <c r="AB409" i="71"/>
  <c r="AB401" i="71"/>
  <c r="AB393" i="71"/>
  <c r="AB385" i="71"/>
  <c r="AB377" i="71"/>
  <c r="AB369" i="71"/>
  <c r="AB361" i="71"/>
  <c r="AB353" i="71"/>
  <c r="AB345" i="71"/>
  <c r="AB337" i="71"/>
  <c r="AB329" i="71"/>
  <c r="AB321" i="71"/>
  <c r="AB313" i="71"/>
  <c r="AB305" i="71"/>
  <c r="AB297" i="71"/>
  <c r="AB289" i="71"/>
  <c r="AB281" i="71"/>
  <c r="AB273" i="71"/>
  <c r="AB265" i="71"/>
  <c r="AB257" i="71"/>
  <c r="AB249" i="71"/>
  <c r="AB241" i="71"/>
  <c r="AB233" i="71"/>
  <c r="AB225" i="71"/>
  <c r="AB217" i="71"/>
  <c r="AB209" i="71"/>
  <c r="AB201" i="71"/>
  <c r="AB193" i="71"/>
  <c r="AB185" i="71"/>
  <c r="AB177" i="71"/>
  <c r="AB169" i="71"/>
  <c r="AB161" i="71"/>
  <c r="AB153" i="71"/>
  <c r="AB145" i="71"/>
  <c r="AB137" i="71"/>
  <c r="AB129" i="71"/>
  <c r="AB121" i="71"/>
  <c r="AB113" i="71"/>
  <c r="AB105" i="71"/>
  <c r="AB97" i="71"/>
  <c r="AB89" i="71"/>
  <c r="AB81" i="71"/>
  <c r="AB73" i="71"/>
  <c r="AB65" i="71"/>
  <c r="AB57" i="71"/>
  <c r="AB49" i="71"/>
  <c r="AB41" i="71"/>
  <c r="W118" i="71"/>
  <c r="W126" i="71"/>
  <c r="W134" i="71"/>
  <c r="W141" i="71"/>
  <c r="W149" i="71"/>
  <c r="W156" i="71"/>
  <c r="W164" i="71"/>
  <c r="W171" i="71"/>
  <c r="W179" i="71"/>
  <c r="AB560" i="71"/>
  <c r="AB552" i="71"/>
  <c r="AB544" i="71"/>
  <c r="AB536" i="71"/>
  <c r="AB528" i="71"/>
  <c r="AB520" i="71"/>
  <c r="AB512" i="71"/>
  <c r="AB504" i="71"/>
  <c r="AB496" i="71"/>
  <c r="AB488" i="71"/>
  <c r="AB480" i="71"/>
  <c r="AB472" i="71"/>
  <c r="AB464" i="71"/>
  <c r="AB456" i="71"/>
  <c r="AB448" i="71"/>
  <c r="AB440" i="71"/>
  <c r="AB432" i="71"/>
  <c r="AB424" i="71"/>
  <c r="AB416" i="71"/>
  <c r="AB408" i="71"/>
  <c r="AB400" i="71"/>
  <c r="AB392" i="71"/>
  <c r="AB384" i="71"/>
  <c r="AB376" i="71"/>
  <c r="AB368" i="71"/>
  <c r="AB360" i="71"/>
  <c r="AB352" i="71"/>
  <c r="AB344" i="71"/>
  <c r="AB336" i="71"/>
  <c r="AB328" i="71"/>
  <c r="AB320" i="71"/>
  <c r="AB312" i="71"/>
  <c r="AB304" i="71"/>
  <c r="AB296" i="71"/>
  <c r="AB288" i="71"/>
  <c r="AB280" i="71"/>
  <c r="AB272" i="71"/>
  <c r="AB264" i="71"/>
  <c r="AB256" i="71"/>
  <c r="AB248" i="71"/>
  <c r="AB240" i="71"/>
  <c r="AB232" i="71"/>
  <c r="AB224" i="71"/>
  <c r="AB216" i="71"/>
  <c r="AB208" i="71"/>
  <c r="AB566" i="71"/>
  <c r="AB558" i="71"/>
  <c r="AB550" i="71"/>
  <c r="AB542" i="71"/>
  <c r="AB534" i="71"/>
  <c r="AB526" i="71"/>
  <c r="AB518" i="71"/>
  <c r="AB510" i="71"/>
  <c r="AB502" i="71"/>
  <c r="AB494" i="71"/>
  <c r="AB486" i="71"/>
  <c r="AB478" i="71"/>
  <c r="AB470" i="71"/>
  <c r="AB462" i="71"/>
  <c r="AB454" i="71"/>
  <c r="AB446" i="71"/>
  <c r="AB438" i="71"/>
  <c r="AB430" i="71"/>
  <c r="AB422" i="71"/>
  <c r="AB414" i="71"/>
  <c r="AB406" i="71"/>
  <c r="AB398" i="71"/>
  <c r="AB390" i="71"/>
  <c r="AB382" i="71"/>
  <c r="AB374" i="71"/>
  <c r="AB366" i="71"/>
  <c r="AB358" i="71"/>
  <c r="AB350" i="71"/>
  <c r="AB342" i="71"/>
  <c r="AB334" i="71"/>
  <c r="AB326" i="71"/>
  <c r="AB318" i="71"/>
  <c r="AB310" i="71"/>
  <c r="AB302" i="71"/>
  <c r="AB294" i="71"/>
  <c r="AB286" i="71"/>
  <c r="AB278" i="71"/>
  <c r="AB270" i="71"/>
  <c r="AB262" i="71"/>
  <c r="AB254" i="71"/>
  <c r="AB246" i="71"/>
  <c r="AB238" i="71"/>
  <c r="AB230" i="71"/>
  <c r="AB222" i="71"/>
  <c r="AB214" i="71"/>
  <c r="AB206" i="71"/>
  <c r="AB198" i="71"/>
  <c r="AB190" i="71"/>
  <c r="AB182" i="71"/>
  <c r="AB174" i="71"/>
  <c r="AB166" i="71"/>
  <c r="AB158" i="71"/>
  <c r="AB150" i="71"/>
  <c r="AB142" i="71"/>
  <c r="AB134" i="71"/>
  <c r="AB126" i="71"/>
  <c r="AB118" i="71"/>
  <c r="AB110" i="71"/>
  <c r="AB102" i="71"/>
  <c r="AB94" i="71"/>
  <c r="AB86" i="71"/>
  <c r="AB78" i="71"/>
  <c r="AB70" i="71"/>
  <c r="AB62" i="71"/>
  <c r="AB54" i="71"/>
  <c r="AB46" i="71"/>
  <c r="AB38" i="71"/>
  <c r="W113" i="71"/>
  <c r="W121" i="71"/>
  <c r="W129" i="71"/>
  <c r="W136" i="71"/>
  <c r="W144" i="71"/>
  <c r="W159" i="71"/>
  <c r="W167" i="71"/>
  <c r="W174" i="71"/>
  <c r="W182" i="71"/>
  <c r="AB565" i="71"/>
  <c r="AB557" i="71"/>
  <c r="AB549" i="71"/>
  <c r="AB541" i="71"/>
  <c r="AB533" i="71"/>
  <c r="AB525" i="71"/>
  <c r="AB517" i="71"/>
  <c r="AB509" i="71"/>
  <c r="AB501" i="71"/>
  <c r="AB493" i="71"/>
  <c r="AB485" i="71"/>
  <c r="AB477" i="71"/>
  <c r="AB469" i="71"/>
  <c r="AB461" i="71"/>
  <c r="AB453" i="71"/>
  <c r="AB445" i="71"/>
  <c r="AB437" i="71"/>
  <c r="AB429" i="71"/>
  <c r="AB421" i="71"/>
  <c r="AB413" i="71"/>
  <c r="AB405" i="71"/>
  <c r="AB397" i="71"/>
  <c r="AB389" i="71"/>
  <c r="AB381" i="71"/>
  <c r="AB373" i="71"/>
  <c r="AB365" i="71"/>
  <c r="AB357" i="71"/>
  <c r="AB349" i="71"/>
  <c r="AB341" i="71"/>
  <c r="AB333" i="71"/>
  <c r="AB325" i="71"/>
  <c r="AB317" i="71"/>
  <c r="AB309" i="71"/>
  <c r="AB301" i="71"/>
  <c r="AB293" i="71"/>
  <c r="AB285" i="71"/>
  <c r="AB277" i="71"/>
  <c r="AB269" i="71"/>
  <c r="AB261" i="71"/>
  <c r="AB253" i="71"/>
  <c r="AB245" i="71"/>
  <c r="AB237" i="71"/>
  <c r="AB229" i="71"/>
  <c r="AB221" i="71"/>
  <c r="AB213" i="71"/>
  <c r="AB205" i="71"/>
  <c r="AB197" i="71"/>
  <c r="AB189" i="71"/>
  <c r="AB181" i="71"/>
  <c r="AB173" i="71"/>
  <c r="AB165" i="71"/>
  <c r="AB157" i="71"/>
  <c r="AB149" i="71"/>
  <c r="AB141" i="71"/>
  <c r="AB133" i="71"/>
  <c r="AB125" i="71"/>
  <c r="AB117" i="71"/>
  <c r="AB109" i="71"/>
  <c r="AB101" i="71"/>
  <c r="AB93" i="71"/>
  <c r="AB85" i="71"/>
  <c r="AB77" i="71"/>
  <c r="AB69" i="71"/>
  <c r="AB61" i="71"/>
  <c r="AB53" i="71"/>
  <c r="AB45" i="71"/>
  <c r="AB37" i="71"/>
  <c r="W114" i="71"/>
  <c r="W122" i="71"/>
  <c r="W130" i="71"/>
  <c r="W137" i="71"/>
  <c r="W145" i="71"/>
  <c r="W152" i="71"/>
  <c r="W160" i="71"/>
  <c r="W175" i="71"/>
  <c r="W183" i="71"/>
  <c r="AB564" i="71"/>
  <c r="AB556" i="71"/>
  <c r="AB548" i="71"/>
  <c r="AB540" i="71"/>
  <c r="AB532" i="71"/>
  <c r="AB524" i="71"/>
  <c r="AB516" i="71"/>
  <c r="AB508" i="71"/>
  <c r="AB500" i="71"/>
  <c r="AB492" i="71"/>
  <c r="AB484" i="71"/>
  <c r="AB476" i="71"/>
  <c r="AB468" i="71"/>
  <c r="AB460" i="71"/>
  <c r="AB452" i="71"/>
  <c r="AB444" i="71"/>
  <c r="AB436" i="71"/>
  <c r="AB428" i="71"/>
  <c r="AB420" i="71"/>
  <c r="AB412" i="71"/>
  <c r="AB404" i="71"/>
  <c r="AB396" i="71"/>
  <c r="AB388" i="71"/>
  <c r="AB380" i="71"/>
  <c r="AB372" i="71"/>
  <c r="AB364" i="71"/>
  <c r="AB356" i="71"/>
  <c r="AB348" i="71"/>
  <c r="AB563" i="71"/>
  <c r="AB555" i="71"/>
  <c r="AB547" i="71"/>
  <c r="AB539" i="71"/>
  <c r="AB531" i="71"/>
  <c r="AB523" i="71"/>
  <c r="AB515" i="71"/>
  <c r="AB507" i="71"/>
  <c r="AB499" i="71"/>
  <c r="AB491" i="71"/>
  <c r="AB483" i="71"/>
  <c r="AB475" i="71"/>
  <c r="AB467" i="71"/>
  <c r="AB459" i="71"/>
  <c r="AB451" i="71"/>
  <c r="AB443" i="71"/>
  <c r="AB435" i="71"/>
  <c r="AB427" i="71"/>
  <c r="AB419" i="71"/>
  <c r="AB411" i="71"/>
  <c r="AB403" i="71"/>
  <c r="AB395" i="71"/>
  <c r="AB387" i="71"/>
  <c r="AB379" i="71"/>
  <c r="AB371" i="71"/>
  <c r="AB363" i="71"/>
  <c r="AB355" i="71"/>
  <c r="AB347" i="71"/>
  <c r="AB339" i="71"/>
  <c r="AB331" i="71"/>
  <c r="AB323" i="71"/>
  <c r="AB315" i="71"/>
  <c r="AB307" i="71"/>
  <c r="AB299" i="71"/>
  <c r="AB291" i="71"/>
  <c r="AB283" i="71"/>
  <c r="AB275" i="71"/>
  <c r="AB267" i="71"/>
  <c r="AB259" i="71"/>
  <c r="AB251" i="71"/>
  <c r="AB243" i="71"/>
  <c r="AB235" i="71"/>
  <c r="AB227" i="71"/>
  <c r="AB219" i="71"/>
  <c r="AB211" i="71"/>
  <c r="AB203" i="71"/>
  <c r="AB195" i="71"/>
  <c r="AB187" i="71"/>
  <c r="AB179" i="71"/>
  <c r="AB171" i="71"/>
  <c r="AB163" i="71"/>
  <c r="AB155" i="71"/>
  <c r="AB147" i="71"/>
  <c r="AB139" i="71"/>
  <c r="AB131" i="71"/>
  <c r="AB123" i="71"/>
  <c r="AB115" i="71"/>
  <c r="AB107" i="71"/>
  <c r="AB99" i="71"/>
  <c r="AB91" i="71"/>
  <c r="AB83" i="71"/>
  <c r="AB75" i="71"/>
  <c r="AB67" i="71"/>
  <c r="AB59" i="71"/>
  <c r="AB51" i="71"/>
  <c r="AB43" i="71"/>
  <c r="AB35" i="71"/>
  <c r="W116" i="71"/>
  <c r="W124" i="71"/>
  <c r="W132" i="71"/>
  <c r="W139" i="71"/>
  <c r="W147" i="71"/>
  <c r="W154" i="71"/>
  <c r="W162" i="71"/>
  <c r="W169" i="71"/>
  <c r="W177" i="71"/>
  <c r="W184" i="71"/>
  <c r="AB527" i="71"/>
  <c r="AB463" i="71"/>
  <c r="AB399" i="71"/>
  <c r="AB340" i="71"/>
  <c r="AB308" i="71"/>
  <c r="AB276" i="71"/>
  <c r="AB244" i="71"/>
  <c r="AB212" i="71"/>
  <c r="AB188" i="71"/>
  <c r="AB167" i="71"/>
  <c r="AB144" i="71"/>
  <c r="AB124" i="71"/>
  <c r="AB103" i="71"/>
  <c r="AB80" i="71"/>
  <c r="AB60" i="71"/>
  <c r="AB39" i="71"/>
  <c r="W127" i="71"/>
  <c r="W146" i="71"/>
  <c r="W166" i="71"/>
  <c r="W185" i="71"/>
  <c r="W193" i="71"/>
  <c r="W200" i="71"/>
  <c r="W208" i="71"/>
  <c r="W223" i="71"/>
  <c r="W231" i="71"/>
  <c r="W238" i="71"/>
  <c r="W246" i="71"/>
  <c r="W253" i="71"/>
  <c r="W261" i="71"/>
  <c r="W268" i="71"/>
  <c r="W276" i="71"/>
  <c r="W283" i="71"/>
  <c r="W291" i="71"/>
  <c r="W298" i="71"/>
  <c r="W306" i="71"/>
  <c r="W313" i="71"/>
  <c r="W321" i="71"/>
  <c r="W328" i="71"/>
  <c r="W336" i="71"/>
  <c r="W351" i="71"/>
  <c r="W359" i="71"/>
  <c r="W366" i="71"/>
  <c r="W374" i="71"/>
  <c r="W381" i="71"/>
  <c r="W389" i="71"/>
  <c r="AB519" i="71"/>
  <c r="AB455" i="71"/>
  <c r="AB391" i="71"/>
  <c r="AB335" i="71"/>
  <c r="AB303" i="71"/>
  <c r="AB271" i="71"/>
  <c r="AB239" i="71"/>
  <c r="AB207" i="71"/>
  <c r="AB184" i="71"/>
  <c r="AB164" i="71"/>
  <c r="AB143" i="71"/>
  <c r="AB120" i="71"/>
  <c r="AB100" i="71"/>
  <c r="AB79" i="71"/>
  <c r="AB56" i="71"/>
  <c r="AB36" i="71"/>
  <c r="W128" i="71"/>
  <c r="W150" i="71"/>
  <c r="W168" i="71"/>
  <c r="W186" i="71"/>
  <c r="W194" i="71"/>
  <c r="W201" i="71"/>
  <c r="W209" i="71"/>
  <c r="W216" i="71"/>
  <c r="W224" i="71"/>
  <c r="W239" i="71"/>
  <c r="W247" i="71"/>
  <c r="W254" i="71"/>
  <c r="W262" i="71"/>
  <c r="W269" i="71"/>
  <c r="W277" i="71"/>
  <c r="W284" i="71"/>
  <c r="W292" i="71"/>
  <c r="W299" i="71"/>
  <c r="W307" i="71"/>
  <c r="W314" i="71"/>
  <c r="W322" i="71"/>
  <c r="W329" i="71"/>
  <c r="W337" i="71"/>
  <c r="W344" i="71"/>
  <c r="W352" i="71"/>
  <c r="W367" i="71"/>
  <c r="W375" i="71"/>
  <c r="W382" i="71"/>
  <c r="W390" i="71"/>
  <c r="W397" i="71"/>
  <c r="W405" i="71"/>
  <c r="W412" i="71"/>
  <c r="W419" i="71"/>
  <c r="W427" i="71"/>
  <c r="W435" i="71"/>
  <c r="W443" i="71"/>
  <c r="W451" i="71"/>
  <c r="W458" i="71"/>
  <c r="W465" i="71"/>
  <c r="W472" i="71"/>
  <c r="W479" i="71"/>
  <c r="W494" i="71"/>
  <c r="W501" i="71"/>
  <c r="W508" i="71"/>
  <c r="W515" i="71"/>
  <c r="W522" i="71"/>
  <c r="W529" i="71"/>
  <c r="W536" i="71"/>
  <c r="W543" i="71"/>
  <c r="W558" i="71"/>
  <c r="W565" i="71"/>
  <c r="W111" i="71"/>
  <c r="AB511" i="71"/>
  <c r="AB447" i="71"/>
  <c r="AB383" i="71"/>
  <c r="AB332" i="71"/>
  <c r="AB300" i="71"/>
  <c r="AB268" i="71"/>
  <c r="AB236" i="71"/>
  <c r="AB204" i="71"/>
  <c r="AB183" i="71"/>
  <c r="AB160" i="71"/>
  <c r="AB140" i="71"/>
  <c r="AB119" i="71"/>
  <c r="AB96" i="71"/>
  <c r="AB76" i="71"/>
  <c r="AB55" i="71"/>
  <c r="W112" i="71"/>
  <c r="W131" i="71"/>
  <c r="W151" i="71"/>
  <c r="W172" i="71"/>
  <c r="W187" i="71"/>
  <c r="W195" i="71"/>
  <c r="W202" i="71"/>
  <c r="W210" i="71"/>
  <c r="W217" i="71"/>
  <c r="W225" i="71"/>
  <c r="W232" i="71"/>
  <c r="W240" i="71"/>
  <c r="W255" i="71"/>
  <c r="W263" i="71"/>
  <c r="W270" i="71"/>
  <c r="W278" i="71"/>
  <c r="W285" i="71"/>
  <c r="W293" i="71"/>
  <c r="W300" i="71"/>
  <c r="W308" i="71"/>
  <c r="W315" i="71"/>
  <c r="W323" i="71"/>
  <c r="W330" i="71"/>
  <c r="W338" i="71"/>
  <c r="W345" i="71"/>
  <c r="W353" i="71"/>
  <c r="W360" i="71"/>
  <c r="W368" i="71"/>
  <c r="W383" i="71"/>
  <c r="W391" i="71"/>
  <c r="W398" i="71"/>
  <c r="W406" i="71"/>
  <c r="W413" i="71"/>
  <c r="W420" i="71"/>
  <c r="W428" i="71"/>
  <c r="W436" i="71"/>
  <c r="W444" i="71"/>
  <c r="W452" i="71"/>
  <c r="W459" i="71"/>
  <c r="W466" i="71"/>
  <c r="W473" i="71"/>
  <c r="W480" i="71"/>
  <c r="W487" i="71"/>
  <c r="W502" i="71"/>
  <c r="W509" i="71"/>
  <c r="W516" i="71"/>
  <c r="AB567" i="71"/>
  <c r="AB503" i="71"/>
  <c r="AB439" i="71"/>
  <c r="AB375" i="71"/>
  <c r="AB327" i="71"/>
  <c r="AB295" i="71"/>
  <c r="AB263" i="71"/>
  <c r="AB231" i="71"/>
  <c r="AB200" i="71"/>
  <c r="AB180" i="71"/>
  <c r="AB159" i="71"/>
  <c r="AB136" i="71"/>
  <c r="AB116" i="71"/>
  <c r="AB95" i="71"/>
  <c r="AB72" i="71"/>
  <c r="AB52" i="71"/>
  <c r="W135" i="71"/>
  <c r="W153" i="71"/>
  <c r="W173" i="71"/>
  <c r="W188" i="71"/>
  <c r="W196" i="71"/>
  <c r="W203" i="71"/>
  <c r="W211" i="71"/>
  <c r="W218" i="71"/>
  <c r="W226" i="71"/>
  <c r="W233" i="71"/>
  <c r="W241" i="71"/>
  <c r="W248" i="71"/>
  <c r="W256" i="71"/>
  <c r="W271" i="71"/>
  <c r="W279" i="71"/>
  <c r="W286" i="71"/>
  <c r="W294" i="71"/>
  <c r="W301" i="71"/>
  <c r="W309" i="71"/>
  <c r="W316" i="71"/>
  <c r="W324" i="71"/>
  <c r="W331" i="71"/>
  <c r="W339" i="71"/>
  <c r="W346" i="71"/>
  <c r="AB559" i="71"/>
  <c r="AB495" i="71"/>
  <c r="AB431" i="71"/>
  <c r="AB367" i="71"/>
  <c r="AB324" i="71"/>
  <c r="AB292" i="71"/>
  <c r="AB260" i="71"/>
  <c r="AB228" i="71"/>
  <c r="AB199" i="71"/>
  <c r="AB176" i="71"/>
  <c r="AB156" i="71"/>
  <c r="AB135" i="71"/>
  <c r="AB112" i="71"/>
  <c r="AB92" i="71"/>
  <c r="AB71" i="71"/>
  <c r="AB48" i="71"/>
  <c r="W115" i="71"/>
  <c r="W157" i="71"/>
  <c r="W176" i="71"/>
  <c r="W189" i="71"/>
  <c r="W197" i="71"/>
  <c r="W204" i="71"/>
  <c r="W212" i="71"/>
  <c r="W219" i="71"/>
  <c r="W227" i="71"/>
  <c r="W234" i="71"/>
  <c r="W242" i="71"/>
  <c r="W249" i="71"/>
  <c r="W257" i="71"/>
  <c r="W264" i="71"/>
  <c r="W272" i="71"/>
  <c r="W287" i="71"/>
  <c r="W295" i="71"/>
  <c r="W302" i="71"/>
  <c r="W310" i="71"/>
  <c r="W317" i="71"/>
  <c r="W325" i="71"/>
  <c r="W332" i="71"/>
  <c r="W340" i="71"/>
  <c r="W347" i="71"/>
  <c r="W355" i="71"/>
  <c r="W362" i="71"/>
  <c r="W370" i="71"/>
  <c r="W377" i="71"/>
  <c r="W385" i="71"/>
  <c r="W392" i="71"/>
  <c r="W400" i="71"/>
  <c r="W415" i="71"/>
  <c r="W422" i="71"/>
  <c r="W430" i="71"/>
  <c r="W438" i="71"/>
  <c r="W446" i="71"/>
  <c r="W454" i="71"/>
  <c r="W461" i="71"/>
  <c r="W468" i="71"/>
  <c r="W475" i="71"/>
  <c r="W482" i="71"/>
  <c r="W489" i="71"/>
  <c r="W496" i="71"/>
  <c r="W503" i="71"/>
  <c r="W518" i="71"/>
  <c r="W525" i="71"/>
  <c r="W532" i="71"/>
  <c r="W539" i="71"/>
  <c r="W546" i="71"/>
  <c r="W553" i="71"/>
  <c r="W560" i="71"/>
  <c r="W567" i="71"/>
  <c r="W107" i="71"/>
  <c r="W4" i="71"/>
  <c r="W12" i="71"/>
  <c r="W20" i="71"/>
  <c r="W28" i="71"/>
  <c r="W36" i="71"/>
  <c r="W44" i="71"/>
  <c r="W52" i="71"/>
  <c r="W60" i="71"/>
  <c r="W68" i="71"/>
  <c r="W76" i="71"/>
  <c r="W84" i="71"/>
  <c r="W92" i="71"/>
  <c r="AB551" i="71"/>
  <c r="AB487" i="71"/>
  <c r="AB423" i="71"/>
  <c r="AB359" i="71"/>
  <c r="AB319" i="71"/>
  <c r="AB287" i="71"/>
  <c r="AB255" i="71"/>
  <c r="AB223" i="71"/>
  <c r="AB196" i="71"/>
  <c r="AB175" i="71"/>
  <c r="AB152" i="71"/>
  <c r="AB132" i="71"/>
  <c r="AB111" i="71"/>
  <c r="AB88" i="71"/>
  <c r="AB68" i="71"/>
  <c r="AB47" i="71"/>
  <c r="W119" i="71"/>
  <c r="W138" i="71"/>
  <c r="W158" i="71"/>
  <c r="W180" i="71"/>
  <c r="W190" i="71"/>
  <c r="W198" i="71"/>
  <c r="W205" i="71"/>
  <c r="W213" i="71"/>
  <c r="W220" i="71"/>
  <c r="W228" i="71"/>
  <c r="W235" i="71"/>
  <c r="W243" i="71"/>
  <c r="W250" i="71"/>
  <c r="W258" i="71"/>
  <c r="W265" i="71"/>
  <c r="W273" i="71"/>
  <c r="W280" i="71"/>
  <c r="W288" i="71"/>
  <c r="W303" i="71"/>
  <c r="W311" i="71"/>
  <c r="W318" i="71"/>
  <c r="W326" i="71"/>
  <c r="W333" i="71"/>
  <c r="W341" i="71"/>
  <c r="W348" i="71"/>
  <c r="W356" i="71"/>
  <c r="W363" i="71"/>
  <c r="W371" i="71"/>
  <c r="W378" i="71"/>
  <c r="W386" i="71"/>
  <c r="W393" i="71"/>
  <c r="W401" i="71"/>
  <c r="W408" i="71"/>
  <c r="W423" i="71"/>
  <c r="W431" i="71"/>
  <c r="W439" i="71"/>
  <c r="W447" i="71"/>
  <c r="W462" i="71"/>
  <c r="W469" i="71"/>
  <c r="W476" i="71"/>
  <c r="W483" i="71"/>
  <c r="W490" i="71"/>
  <c r="W497" i="71"/>
  <c r="W504" i="71"/>
  <c r="W511" i="71"/>
  <c r="W526" i="71"/>
  <c r="W533" i="71"/>
  <c r="W540" i="71"/>
  <c r="W547" i="71"/>
  <c r="W554" i="71"/>
  <c r="W561" i="71"/>
  <c r="W103" i="71"/>
  <c r="W5" i="71"/>
  <c r="W13" i="71"/>
  <c r="W21" i="71"/>
  <c r="W29" i="71"/>
  <c r="W37" i="71"/>
  <c r="W45" i="71"/>
  <c r="W53" i="71"/>
  <c r="W61" i="71"/>
  <c r="W69" i="71"/>
  <c r="W77" i="71"/>
  <c r="W85" i="71"/>
  <c r="W93" i="71"/>
  <c r="AB535" i="71"/>
  <c r="AB471" i="71"/>
  <c r="AB407" i="71"/>
  <c r="AB343" i="71"/>
  <c r="AB311" i="71"/>
  <c r="AB279" i="71"/>
  <c r="AB247" i="71"/>
  <c r="AB215" i="71"/>
  <c r="AB191" i="71"/>
  <c r="AB168" i="71"/>
  <c r="AB148" i="71"/>
  <c r="AB127" i="71"/>
  <c r="AB104" i="71"/>
  <c r="AB84" i="71"/>
  <c r="AB63" i="71"/>
  <c r="AB40" i="71"/>
  <c r="W123" i="71"/>
  <c r="W143" i="71"/>
  <c r="W165" i="71"/>
  <c r="W192" i="71"/>
  <c r="W207" i="71"/>
  <c r="W215" i="71"/>
  <c r="W222" i="71"/>
  <c r="W230" i="71"/>
  <c r="W237" i="71"/>
  <c r="W245" i="71"/>
  <c r="W252" i="71"/>
  <c r="W260" i="71"/>
  <c r="W267" i="71"/>
  <c r="W275" i="71"/>
  <c r="W282" i="71"/>
  <c r="W290" i="71"/>
  <c r="W297" i="71"/>
  <c r="W305" i="71"/>
  <c r="W312" i="71"/>
  <c r="W320" i="71"/>
  <c r="W335" i="71"/>
  <c r="W343" i="71"/>
  <c r="W350" i="71"/>
  <c r="W358" i="71"/>
  <c r="W365" i="71"/>
  <c r="W373" i="71"/>
  <c r="W380" i="71"/>
  <c r="W388" i="71"/>
  <c r="W395" i="71"/>
  <c r="W403" i="71"/>
  <c r="W410" i="71"/>
  <c r="W417" i="71"/>
  <c r="W425" i="71"/>
  <c r="W433" i="71"/>
  <c r="W441" i="71"/>
  <c r="W449" i="71"/>
  <c r="W456" i="71"/>
  <c r="W463" i="71"/>
  <c r="W478" i="71"/>
  <c r="W485" i="71"/>
  <c r="W492" i="71"/>
  <c r="W499" i="71"/>
  <c r="W506" i="71"/>
  <c r="W513" i="71"/>
  <c r="W520" i="71"/>
  <c r="W527" i="71"/>
  <c r="W542" i="71"/>
  <c r="W549" i="71"/>
  <c r="W556" i="71"/>
  <c r="W563" i="71"/>
  <c r="W104" i="71"/>
  <c r="W109" i="71"/>
  <c r="W7" i="71"/>
  <c r="W15" i="71"/>
  <c r="W23" i="71"/>
  <c r="W31" i="71"/>
  <c r="W39" i="71"/>
  <c r="W47" i="71"/>
  <c r="W55" i="71"/>
  <c r="W63" i="71"/>
  <c r="W71" i="71"/>
  <c r="W79" i="71"/>
  <c r="W87" i="71"/>
  <c r="W95" i="71"/>
  <c r="W82" i="71"/>
  <c r="W94" i="71"/>
  <c r="W56" i="71"/>
  <c r="W30" i="71"/>
  <c r="W552" i="71"/>
  <c r="W102" i="71"/>
  <c r="W91" i="71"/>
  <c r="W80" i="71"/>
  <c r="W66" i="71"/>
  <c r="W54" i="71"/>
  <c r="W41" i="71"/>
  <c r="W27" i="71"/>
  <c r="W16" i="71"/>
  <c r="W566" i="71"/>
  <c r="W551" i="71"/>
  <c r="W537" i="71"/>
  <c r="W523" i="71"/>
  <c r="W505" i="71"/>
  <c r="W486" i="71"/>
  <c r="W467" i="71"/>
  <c r="W448" i="71"/>
  <c r="W426" i="71"/>
  <c r="W407" i="71"/>
  <c r="W384" i="71"/>
  <c r="W354" i="71"/>
  <c r="W296" i="71"/>
  <c r="W236" i="71"/>
  <c r="W161" i="71"/>
  <c r="AB151" i="71"/>
  <c r="AB415" i="71"/>
  <c r="W86" i="71"/>
  <c r="W22" i="71"/>
  <c r="W9" i="71"/>
  <c r="W105" i="71"/>
  <c r="W477" i="71"/>
  <c r="W3" i="71"/>
  <c r="W67" i="71"/>
  <c r="W101" i="71"/>
  <c r="W90" i="71"/>
  <c r="W78" i="71"/>
  <c r="W65" i="71"/>
  <c r="W51" i="71"/>
  <c r="W40" i="71"/>
  <c r="W26" i="71"/>
  <c r="W14" i="71"/>
  <c r="W110" i="71"/>
  <c r="W564" i="71"/>
  <c r="W550" i="71"/>
  <c r="W535" i="71"/>
  <c r="W521" i="71"/>
  <c r="W484" i="71"/>
  <c r="W464" i="71"/>
  <c r="W445" i="71"/>
  <c r="W424" i="71"/>
  <c r="W404" i="71"/>
  <c r="W379" i="71"/>
  <c r="W349" i="71"/>
  <c r="W289" i="71"/>
  <c r="W229" i="71"/>
  <c r="W142" i="71"/>
  <c r="AB172" i="71"/>
  <c r="AB479" i="71"/>
  <c r="AB24" i="71"/>
  <c r="AB16" i="71"/>
  <c r="AB8" i="71"/>
  <c r="AB31" i="71"/>
  <c r="AB23" i="71"/>
  <c r="AB15" i="71"/>
  <c r="AB7" i="71"/>
  <c r="AB29" i="71"/>
  <c r="AB21" i="71"/>
  <c r="AB13" i="71"/>
  <c r="AB5" i="71"/>
  <c r="AB28" i="71"/>
  <c r="AB20" i="71"/>
  <c r="AB12" i="71"/>
  <c r="AB4" i="71"/>
  <c r="AB3" i="71"/>
  <c r="AB27" i="71"/>
  <c r="AB19" i="71"/>
  <c r="R78" i="71"/>
  <c r="R79" i="71"/>
  <c r="R80" i="71"/>
  <c r="R81" i="71"/>
  <c r="R82" i="71"/>
  <c r="R83" i="71"/>
  <c r="R84" i="71"/>
  <c r="R85" i="71"/>
  <c r="R86" i="71"/>
  <c r="R87" i="71"/>
  <c r="R88" i="71"/>
  <c r="R89" i="71"/>
  <c r="R90" i="71"/>
  <c r="R91" i="71"/>
  <c r="R92" i="71"/>
  <c r="R93" i="71"/>
  <c r="R94" i="71"/>
  <c r="R95" i="71"/>
  <c r="R96" i="71"/>
  <c r="R97" i="71"/>
  <c r="R98" i="71"/>
  <c r="R99" i="71"/>
  <c r="R100" i="71"/>
  <c r="R101" i="71"/>
  <c r="R102" i="71"/>
  <c r="R103" i="71"/>
  <c r="R104" i="71"/>
  <c r="R105" i="71"/>
  <c r="R106" i="71"/>
  <c r="R107" i="71"/>
  <c r="R108" i="71"/>
  <c r="R109" i="71"/>
  <c r="R110" i="71"/>
  <c r="R111" i="71"/>
  <c r="R112" i="71"/>
  <c r="R113" i="71"/>
  <c r="R114" i="71"/>
  <c r="R115" i="71"/>
  <c r="R116" i="71"/>
  <c r="R117" i="71"/>
  <c r="R118" i="71"/>
  <c r="R119" i="71"/>
  <c r="R120" i="71"/>
  <c r="R121" i="71"/>
  <c r="R122" i="71"/>
  <c r="R123" i="71"/>
  <c r="R124" i="71"/>
  <c r="R125" i="71"/>
  <c r="R126" i="71"/>
  <c r="R127" i="71"/>
  <c r="R128" i="71"/>
  <c r="R129" i="71"/>
  <c r="R130" i="71"/>
  <c r="R131" i="71"/>
  <c r="R132" i="71"/>
  <c r="R133" i="71"/>
  <c r="R134" i="71"/>
  <c r="R135" i="71"/>
  <c r="R136" i="71"/>
  <c r="R137" i="71"/>
  <c r="R138" i="71"/>
  <c r="R139" i="71"/>
  <c r="R140" i="71"/>
  <c r="R141" i="71"/>
  <c r="R142" i="71"/>
  <c r="R143" i="71"/>
  <c r="R144" i="71"/>
  <c r="R145" i="71"/>
  <c r="R146" i="71"/>
  <c r="R147" i="71"/>
  <c r="R148" i="71"/>
  <c r="R149" i="71"/>
  <c r="R150" i="71"/>
  <c r="R151" i="71"/>
  <c r="R152" i="71"/>
  <c r="R153" i="71"/>
  <c r="R154" i="71"/>
  <c r="R155" i="71"/>
  <c r="R156" i="71"/>
  <c r="R157" i="71"/>
  <c r="R158" i="71"/>
  <c r="R159" i="71"/>
  <c r="R160" i="71"/>
  <c r="R161" i="71"/>
  <c r="R162" i="71"/>
  <c r="R163" i="71"/>
  <c r="R164" i="71"/>
  <c r="R165" i="71"/>
  <c r="R166" i="71"/>
  <c r="R167" i="71"/>
  <c r="R168" i="71"/>
  <c r="R169" i="71"/>
  <c r="R170" i="71"/>
  <c r="R171" i="71"/>
  <c r="R172" i="71"/>
  <c r="R173" i="71"/>
  <c r="R174" i="71"/>
  <c r="R175" i="71"/>
  <c r="R176" i="71"/>
  <c r="R177" i="71"/>
  <c r="R178" i="71"/>
  <c r="R179" i="71"/>
  <c r="R180" i="71"/>
  <c r="R181" i="71"/>
  <c r="R182" i="71"/>
  <c r="R183" i="71"/>
  <c r="R184" i="71"/>
  <c r="R185" i="71"/>
  <c r="R186" i="71"/>
  <c r="R187" i="71"/>
  <c r="R188" i="71"/>
  <c r="R189" i="71"/>
  <c r="R190" i="71"/>
  <c r="R191" i="71"/>
  <c r="R192" i="71"/>
  <c r="R193" i="71"/>
  <c r="R194" i="71"/>
  <c r="R195" i="71"/>
  <c r="R196" i="71"/>
  <c r="R197" i="71"/>
  <c r="R198" i="71"/>
  <c r="R199" i="71"/>
  <c r="R200" i="71"/>
  <c r="R201" i="71"/>
  <c r="R202" i="71"/>
  <c r="R203" i="71"/>
  <c r="R204" i="71"/>
  <c r="R205" i="71"/>
  <c r="R206" i="71"/>
  <c r="R207" i="71"/>
  <c r="R208" i="71"/>
  <c r="R209" i="71"/>
  <c r="R210" i="71"/>
  <c r="R211" i="71"/>
  <c r="R212" i="71"/>
  <c r="R213" i="71"/>
  <c r="R214" i="71"/>
  <c r="R215" i="71"/>
  <c r="R216" i="71"/>
  <c r="R217" i="71"/>
  <c r="R218" i="71"/>
  <c r="R219" i="71"/>
  <c r="R220" i="71"/>
  <c r="R221" i="71"/>
  <c r="R222" i="71"/>
  <c r="R223" i="71"/>
  <c r="R224" i="71"/>
  <c r="R225" i="71"/>
  <c r="R226" i="71"/>
  <c r="R227" i="71"/>
  <c r="R228" i="71"/>
  <c r="R229" i="71"/>
  <c r="R230" i="71"/>
  <c r="R231" i="71"/>
  <c r="R232" i="71"/>
  <c r="R233" i="71"/>
  <c r="R234" i="71"/>
  <c r="R235" i="71"/>
  <c r="R236" i="71"/>
  <c r="R237" i="71"/>
  <c r="R238" i="71"/>
  <c r="R239" i="71"/>
  <c r="R240" i="71"/>
  <c r="R241" i="71"/>
  <c r="R242" i="71"/>
  <c r="R243" i="71"/>
  <c r="R244" i="71"/>
  <c r="R245" i="71"/>
  <c r="R246" i="71"/>
  <c r="R247" i="71"/>
  <c r="R248" i="71"/>
  <c r="R249" i="71"/>
  <c r="R250" i="71"/>
  <c r="R251" i="71"/>
  <c r="R252" i="71"/>
  <c r="R253" i="71"/>
  <c r="R254" i="71"/>
  <c r="R255" i="71"/>
  <c r="R256" i="71"/>
  <c r="R257" i="71"/>
  <c r="R258" i="71"/>
  <c r="R259" i="71"/>
  <c r="R260" i="71"/>
  <c r="R261" i="71"/>
  <c r="R262" i="71"/>
  <c r="R263" i="71"/>
  <c r="R264" i="71"/>
  <c r="R265" i="71"/>
  <c r="R266" i="71"/>
  <c r="R267" i="71"/>
  <c r="R268" i="71"/>
  <c r="R269" i="71"/>
  <c r="R270" i="71"/>
  <c r="R271" i="71"/>
  <c r="R272" i="71"/>
  <c r="R273" i="71"/>
  <c r="R274" i="71"/>
  <c r="R275" i="71"/>
  <c r="R276" i="71"/>
  <c r="R277" i="71"/>
  <c r="R278" i="71"/>
  <c r="R279" i="71"/>
  <c r="R280" i="71"/>
  <c r="R281" i="71"/>
  <c r="R282" i="71"/>
  <c r="R283" i="71"/>
  <c r="R284" i="71"/>
  <c r="R285" i="71"/>
  <c r="R286" i="71"/>
  <c r="R287" i="71"/>
  <c r="R288" i="71"/>
  <c r="R289" i="71"/>
  <c r="R290" i="71"/>
  <c r="R291" i="71"/>
  <c r="R292" i="71"/>
  <c r="R293" i="71"/>
  <c r="R294" i="71"/>
  <c r="R295" i="71"/>
  <c r="R296" i="71"/>
  <c r="R297" i="71"/>
  <c r="R298" i="71"/>
  <c r="R299" i="71"/>
  <c r="R300" i="71"/>
  <c r="R301" i="71"/>
  <c r="R302" i="71"/>
  <c r="R303" i="71"/>
  <c r="R304" i="71"/>
  <c r="R305" i="71"/>
  <c r="R306" i="71"/>
  <c r="R307" i="71"/>
  <c r="R308" i="71"/>
  <c r="R309" i="71"/>
  <c r="R310" i="71"/>
  <c r="R311" i="71"/>
  <c r="R312" i="71"/>
  <c r="R313" i="71"/>
  <c r="R314" i="71"/>
  <c r="R315" i="71"/>
  <c r="R316" i="71"/>
  <c r="R317" i="71"/>
  <c r="R318" i="71"/>
  <c r="R319" i="71"/>
  <c r="R320" i="71"/>
  <c r="R321" i="71"/>
  <c r="R322" i="71"/>
  <c r="R323" i="71"/>
  <c r="R324" i="71"/>
  <c r="R325" i="71"/>
  <c r="R326" i="71"/>
  <c r="R327" i="71"/>
  <c r="R328" i="71"/>
  <c r="R329" i="71"/>
  <c r="R330" i="71"/>
  <c r="R331" i="71"/>
  <c r="R332" i="71"/>
  <c r="R333" i="71"/>
  <c r="R334" i="71"/>
  <c r="R335" i="71"/>
  <c r="R336" i="71"/>
  <c r="R337" i="71"/>
  <c r="R338" i="71"/>
  <c r="R339" i="71"/>
  <c r="R340" i="71"/>
  <c r="R341" i="71"/>
  <c r="R342" i="71"/>
  <c r="R343" i="71"/>
  <c r="R344" i="71"/>
  <c r="R345" i="71"/>
  <c r="R346" i="71"/>
  <c r="R347" i="71"/>
  <c r="R348" i="71"/>
  <c r="R349" i="71"/>
  <c r="R350" i="71"/>
  <c r="R351" i="71"/>
  <c r="R352" i="71"/>
  <c r="R353" i="71"/>
  <c r="R354" i="71"/>
  <c r="R355" i="71"/>
  <c r="R356" i="71"/>
  <c r="R357" i="71"/>
  <c r="R358" i="71"/>
  <c r="R359" i="71"/>
  <c r="R360" i="71"/>
  <c r="R361" i="71"/>
  <c r="R362" i="71"/>
  <c r="R363" i="71"/>
  <c r="R364" i="71"/>
  <c r="R365" i="71"/>
  <c r="R366" i="71"/>
  <c r="R367" i="71"/>
  <c r="R368" i="71"/>
  <c r="R369" i="71"/>
  <c r="R370" i="71"/>
  <c r="R371" i="71"/>
  <c r="R372" i="71"/>
  <c r="R373" i="71"/>
  <c r="R374" i="71"/>
  <c r="R375" i="71"/>
  <c r="R376" i="71"/>
  <c r="R377" i="71"/>
  <c r="R378" i="71"/>
  <c r="R379" i="71"/>
  <c r="R380" i="71"/>
  <c r="R381" i="71"/>
  <c r="R382" i="71"/>
  <c r="R383" i="71"/>
  <c r="R384" i="71"/>
  <c r="R385" i="71"/>
  <c r="R386" i="71"/>
  <c r="R387" i="71"/>
  <c r="R388" i="71"/>
  <c r="R389" i="71"/>
  <c r="R390" i="71"/>
  <c r="R391" i="71"/>
  <c r="R392" i="71"/>
  <c r="R393" i="71"/>
  <c r="R394" i="71"/>
  <c r="R395" i="71"/>
  <c r="R396" i="71"/>
  <c r="R397" i="71"/>
  <c r="R398" i="71"/>
  <c r="R399" i="71"/>
  <c r="R400" i="71"/>
  <c r="R401" i="71"/>
  <c r="R402" i="71"/>
  <c r="R403" i="71"/>
  <c r="R404" i="71"/>
  <c r="R405" i="71"/>
  <c r="R406" i="71"/>
  <c r="R407" i="71"/>
  <c r="R408" i="71"/>
  <c r="R409" i="71"/>
  <c r="R410" i="71"/>
  <c r="R411" i="71"/>
  <c r="R412" i="71"/>
  <c r="R413" i="71"/>
  <c r="R414" i="71"/>
  <c r="R415" i="71"/>
  <c r="R416" i="71"/>
  <c r="R417" i="71"/>
  <c r="R418" i="71"/>
  <c r="R419" i="71"/>
  <c r="R420" i="71"/>
  <c r="R421" i="71"/>
  <c r="R422" i="71"/>
  <c r="R423" i="71"/>
  <c r="R424" i="71"/>
  <c r="R425" i="71"/>
  <c r="R426" i="71"/>
  <c r="R427" i="71"/>
  <c r="R428" i="71"/>
  <c r="R429" i="71"/>
  <c r="R430" i="71"/>
  <c r="R431" i="71"/>
  <c r="R432" i="71"/>
  <c r="R433" i="71"/>
  <c r="R434" i="71"/>
  <c r="R435" i="71"/>
  <c r="R436" i="71"/>
  <c r="R437" i="71"/>
  <c r="R438" i="71"/>
  <c r="R439" i="71"/>
  <c r="R440" i="71"/>
  <c r="R441" i="71"/>
  <c r="R442" i="71"/>
  <c r="R443" i="71"/>
  <c r="R444" i="71"/>
  <c r="R445" i="71"/>
  <c r="R446" i="71"/>
  <c r="R447" i="71"/>
  <c r="R448" i="71"/>
  <c r="R449" i="71"/>
  <c r="R450" i="71"/>
  <c r="R451" i="71"/>
  <c r="R452" i="71"/>
  <c r="R453" i="71"/>
  <c r="R454" i="71"/>
  <c r="R455" i="71"/>
  <c r="R456" i="71"/>
  <c r="R457" i="71"/>
  <c r="R458" i="71"/>
  <c r="R459" i="71"/>
  <c r="R460" i="71"/>
  <c r="R461" i="71"/>
  <c r="R462" i="71"/>
  <c r="R463" i="71"/>
  <c r="R464" i="71"/>
  <c r="R465" i="71"/>
  <c r="R466" i="71"/>
  <c r="R467" i="71"/>
  <c r="R468" i="71"/>
  <c r="R469" i="71"/>
  <c r="R470" i="71"/>
  <c r="R471" i="71"/>
  <c r="R472" i="71"/>
  <c r="R473" i="71"/>
  <c r="R474" i="71"/>
  <c r="R475" i="71"/>
  <c r="R476" i="71"/>
  <c r="R477" i="71"/>
  <c r="R478" i="71"/>
  <c r="R479" i="71"/>
  <c r="R480" i="71"/>
  <c r="R481" i="71"/>
  <c r="R482" i="71"/>
  <c r="R483" i="71"/>
  <c r="R484" i="71"/>
  <c r="R485" i="71"/>
  <c r="R486" i="71"/>
  <c r="R487" i="71"/>
  <c r="R488" i="71"/>
  <c r="R489" i="71"/>
  <c r="R490" i="71"/>
  <c r="R491" i="71"/>
  <c r="R492" i="71"/>
  <c r="R493" i="71"/>
  <c r="R494" i="71"/>
  <c r="R495" i="71"/>
  <c r="R496" i="71"/>
  <c r="R497" i="71"/>
  <c r="R498" i="71"/>
  <c r="R499" i="71"/>
  <c r="R500" i="71"/>
  <c r="R501" i="71"/>
  <c r="R502" i="71"/>
  <c r="R503" i="71"/>
  <c r="R504" i="71"/>
  <c r="R505" i="71"/>
  <c r="R506" i="71"/>
  <c r="R507" i="71"/>
  <c r="R508" i="71"/>
  <c r="R509" i="71"/>
  <c r="R510" i="71"/>
  <c r="R511" i="71"/>
  <c r="R512" i="71"/>
  <c r="R513" i="71"/>
  <c r="R514" i="71"/>
  <c r="R515" i="71"/>
  <c r="R516" i="71"/>
  <c r="R517" i="71"/>
  <c r="R518" i="71"/>
  <c r="R519" i="71"/>
  <c r="R520" i="71"/>
  <c r="R521" i="71"/>
  <c r="R522" i="71"/>
  <c r="R523" i="71"/>
  <c r="R524" i="71"/>
  <c r="R525" i="71"/>
  <c r="R526" i="71"/>
  <c r="R527" i="71"/>
  <c r="R528" i="71"/>
  <c r="R529" i="71"/>
  <c r="R530" i="71"/>
  <c r="R531" i="71"/>
  <c r="R532" i="71"/>
  <c r="R533" i="71"/>
  <c r="R534" i="71"/>
  <c r="R535" i="71"/>
  <c r="R536" i="71"/>
  <c r="R537" i="71"/>
  <c r="R538" i="71"/>
  <c r="R539" i="71"/>
  <c r="R540" i="71"/>
  <c r="R541" i="71"/>
  <c r="R542" i="71"/>
  <c r="R543" i="71"/>
  <c r="R544" i="71"/>
  <c r="R545" i="71"/>
  <c r="R546" i="71"/>
  <c r="R547" i="71"/>
  <c r="R548" i="71"/>
  <c r="R549" i="71"/>
  <c r="R550" i="71"/>
  <c r="R551" i="71"/>
  <c r="R552" i="71"/>
  <c r="R553" i="71"/>
  <c r="R554" i="71"/>
  <c r="R555" i="71"/>
  <c r="R556" i="71"/>
  <c r="R557" i="71"/>
  <c r="R558" i="71"/>
  <c r="R559" i="71"/>
  <c r="R560" i="71"/>
  <c r="R561" i="71"/>
  <c r="R562" i="71"/>
  <c r="R563" i="71"/>
  <c r="R564" i="71"/>
  <c r="R565" i="71"/>
  <c r="R566" i="71"/>
  <c r="R567" i="71"/>
  <c r="R568" i="71"/>
  <c r="R569" i="71"/>
  <c r="R570" i="71"/>
  <c r="R571" i="71"/>
  <c r="R572" i="71"/>
  <c r="R573" i="71"/>
  <c r="R574" i="71"/>
  <c r="R575" i="71"/>
  <c r="R576" i="71"/>
  <c r="R77" i="71"/>
  <c r="J4" i="73"/>
  <c r="K4" i="73" s="1"/>
  <c r="K227" i="71"/>
  <c r="K228" i="71"/>
  <c r="K229" i="71"/>
  <c r="K230" i="71"/>
  <c r="K231" i="71"/>
  <c r="K232" i="71"/>
  <c r="K233" i="71"/>
  <c r="K234" i="71"/>
  <c r="K235" i="71"/>
  <c r="K236" i="71"/>
  <c r="K237" i="71"/>
  <c r="K238" i="71"/>
  <c r="K239" i="71"/>
  <c r="K240" i="71"/>
  <c r="K241" i="71"/>
  <c r="K242" i="71"/>
  <c r="K243" i="71"/>
  <c r="K244" i="71"/>
  <c r="K245" i="71"/>
  <c r="K246" i="71"/>
  <c r="K247" i="71"/>
  <c r="K248" i="71"/>
  <c r="K249" i="71"/>
  <c r="K250" i="71"/>
  <c r="K251" i="71"/>
  <c r="K252" i="71"/>
  <c r="K253" i="71"/>
  <c r="K254" i="71"/>
  <c r="K255" i="71"/>
  <c r="K256" i="71"/>
  <c r="K257" i="71"/>
  <c r="K258" i="71"/>
  <c r="K259" i="71"/>
  <c r="K260" i="71"/>
  <c r="K261" i="71"/>
  <c r="K262" i="71"/>
  <c r="K263" i="71"/>
  <c r="K264" i="71"/>
  <c r="K265" i="71"/>
  <c r="K266" i="71"/>
  <c r="K267" i="71"/>
  <c r="K268" i="71"/>
  <c r="K269" i="71"/>
  <c r="K270" i="71"/>
  <c r="K271" i="71"/>
  <c r="K272" i="71"/>
  <c r="K273" i="71"/>
  <c r="K274" i="71"/>
  <c r="K275" i="71"/>
  <c r="K276" i="71"/>
  <c r="K277" i="71"/>
  <c r="K278" i="71"/>
  <c r="K279" i="71"/>
  <c r="K280" i="71"/>
  <c r="K281" i="71"/>
  <c r="K282" i="71"/>
  <c r="K283" i="71"/>
  <c r="K284" i="71"/>
  <c r="K285" i="71"/>
  <c r="K286" i="71"/>
  <c r="K287" i="71"/>
  <c r="K288" i="71"/>
  <c r="K289" i="71"/>
  <c r="K290" i="71"/>
  <c r="K291" i="71"/>
  <c r="K292" i="71"/>
  <c r="K293" i="71"/>
  <c r="K294" i="71"/>
  <c r="K295" i="71"/>
  <c r="K296" i="71"/>
  <c r="K297" i="71"/>
  <c r="K298" i="71"/>
  <c r="K299" i="71"/>
  <c r="K300" i="71"/>
  <c r="K301" i="71"/>
  <c r="K302" i="71"/>
  <c r="K303" i="71"/>
  <c r="K304" i="71"/>
  <c r="K305" i="71"/>
  <c r="K306" i="71"/>
  <c r="K307" i="71"/>
  <c r="K308" i="71"/>
  <c r="K309" i="71"/>
  <c r="K310" i="71"/>
  <c r="K311" i="71"/>
  <c r="K312" i="71"/>
  <c r="K313" i="71"/>
  <c r="K314" i="71"/>
  <c r="K315" i="71"/>
  <c r="K316" i="71"/>
  <c r="K317" i="71"/>
  <c r="K318" i="71"/>
  <c r="K319" i="71"/>
  <c r="K320" i="71"/>
  <c r="K321" i="71"/>
  <c r="K322" i="71"/>
  <c r="K323" i="71"/>
  <c r="K324" i="71"/>
  <c r="K325" i="71"/>
  <c r="K326" i="71"/>
  <c r="K327" i="71"/>
  <c r="K328" i="71"/>
  <c r="K329" i="71"/>
  <c r="K330" i="71"/>
  <c r="K331" i="71"/>
  <c r="K332" i="71"/>
  <c r="K333" i="71"/>
  <c r="K334" i="71"/>
  <c r="K335" i="71"/>
  <c r="K336" i="71"/>
  <c r="K337" i="71"/>
  <c r="K338" i="71"/>
  <c r="K339" i="71"/>
  <c r="K340" i="71"/>
  <c r="K341" i="71"/>
  <c r="K342" i="71"/>
  <c r="K343" i="71"/>
  <c r="K344" i="71"/>
  <c r="K345" i="71"/>
  <c r="K346" i="71"/>
  <c r="K347" i="71"/>
  <c r="K348" i="71"/>
  <c r="K349" i="71"/>
  <c r="K350" i="71"/>
  <c r="K351" i="71"/>
  <c r="K352" i="71"/>
  <c r="K353" i="71"/>
  <c r="K354" i="71"/>
  <c r="K355" i="71"/>
  <c r="K356" i="71"/>
  <c r="K357" i="71"/>
  <c r="K358" i="71"/>
  <c r="K359" i="71"/>
  <c r="K360" i="71"/>
  <c r="K361" i="71"/>
  <c r="K362" i="71"/>
  <c r="K363" i="71"/>
  <c r="K364" i="71"/>
  <c r="K365" i="71"/>
  <c r="K366" i="71"/>
  <c r="K367" i="71"/>
  <c r="K368" i="71"/>
  <c r="K369" i="71"/>
  <c r="K370" i="71"/>
  <c r="K371" i="71"/>
  <c r="K372" i="71"/>
  <c r="K373" i="71"/>
  <c r="K374" i="71"/>
  <c r="K375" i="71"/>
  <c r="K376" i="71"/>
  <c r="K377" i="71"/>
  <c r="K378" i="71"/>
  <c r="K379" i="71"/>
  <c r="K380" i="71"/>
  <c r="K381" i="71"/>
  <c r="K382" i="71"/>
  <c r="K383" i="71"/>
  <c r="K384" i="71"/>
  <c r="K385" i="71"/>
  <c r="K386" i="71"/>
  <c r="K387" i="71"/>
  <c r="K388" i="71"/>
  <c r="K389" i="71"/>
  <c r="K390" i="71"/>
  <c r="K391" i="71"/>
  <c r="K392" i="71"/>
  <c r="K393" i="71"/>
  <c r="K394" i="71"/>
  <c r="K395" i="71"/>
  <c r="K396" i="71"/>
  <c r="K397" i="71"/>
  <c r="K398" i="71"/>
  <c r="K399" i="71"/>
  <c r="K400" i="71"/>
  <c r="K401" i="71"/>
  <c r="K402" i="71"/>
  <c r="K403" i="71"/>
  <c r="K404" i="71"/>
  <c r="K405" i="71"/>
  <c r="K406" i="71"/>
  <c r="K407" i="71"/>
  <c r="K408" i="71"/>
  <c r="K409" i="71"/>
  <c r="K410" i="71"/>
  <c r="K411" i="71"/>
  <c r="K412" i="71"/>
  <c r="K413" i="71"/>
  <c r="K414" i="71"/>
  <c r="K415" i="71"/>
  <c r="K416" i="71"/>
  <c r="K417" i="71"/>
  <c r="K418" i="71"/>
  <c r="K419" i="71"/>
  <c r="K420" i="71"/>
  <c r="K421" i="71"/>
  <c r="K422" i="71"/>
  <c r="K423" i="71"/>
  <c r="K424" i="71"/>
  <c r="K425" i="71"/>
  <c r="K426" i="71"/>
  <c r="K427" i="71"/>
  <c r="K428" i="71"/>
  <c r="K429" i="71"/>
  <c r="K430" i="71"/>
  <c r="K431" i="71"/>
  <c r="K432" i="71"/>
  <c r="K433" i="71"/>
  <c r="K434" i="71"/>
  <c r="K435" i="71"/>
  <c r="K436" i="71"/>
  <c r="K437" i="71"/>
  <c r="K438" i="71"/>
  <c r="K439" i="71"/>
  <c r="K440" i="71"/>
  <c r="K441" i="71"/>
  <c r="K442" i="71"/>
  <c r="K443" i="71"/>
  <c r="K444" i="71"/>
  <c r="K445" i="71"/>
  <c r="K446" i="71"/>
  <c r="K447" i="71"/>
  <c r="K448" i="71"/>
  <c r="K449" i="71"/>
  <c r="K450" i="71"/>
  <c r="K451" i="71"/>
  <c r="K452" i="71"/>
  <c r="K453" i="71"/>
  <c r="K454" i="71"/>
  <c r="K455" i="71"/>
  <c r="K456" i="71"/>
  <c r="K457" i="71"/>
  <c r="K458" i="71"/>
  <c r="K459" i="71"/>
  <c r="K460" i="71"/>
  <c r="K461" i="71"/>
  <c r="K462" i="71"/>
  <c r="K463" i="71"/>
  <c r="K464" i="71"/>
  <c r="K465" i="71"/>
  <c r="K466" i="71"/>
  <c r="K467" i="71"/>
  <c r="K468" i="71"/>
  <c r="K469" i="71"/>
  <c r="K470" i="71"/>
  <c r="K471" i="71"/>
  <c r="K472" i="71"/>
  <c r="K473" i="71"/>
  <c r="K474" i="71"/>
  <c r="K475" i="71"/>
  <c r="K476" i="71"/>
  <c r="K477" i="71"/>
  <c r="K478" i="71"/>
  <c r="K479" i="71"/>
  <c r="K480" i="71"/>
  <c r="K481" i="71"/>
  <c r="K482" i="71"/>
  <c r="K483" i="71"/>
  <c r="K484" i="71"/>
  <c r="K485" i="71"/>
  <c r="K486" i="71"/>
  <c r="K487" i="71"/>
  <c r="K488" i="71"/>
  <c r="K489" i="71"/>
  <c r="K490" i="71"/>
  <c r="K491" i="71"/>
  <c r="K492" i="71"/>
  <c r="K493" i="71"/>
  <c r="K494" i="71"/>
  <c r="K495" i="71"/>
  <c r="K496" i="71"/>
  <c r="K497" i="71"/>
  <c r="K498" i="71"/>
  <c r="K499" i="71"/>
  <c r="K500" i="71"/>
  <c r="K501" i="71"/>
  <c r="K502" i="71"/>
  <c r="K503" i="71"/>
  <c r="K504" i="71"/>
  <c r="K505" i="71"/>
  <c r="K506" i="71"/>
  <c r="K507" i="71"/>
  <c r="K508" i="71"/>
  <c r="K509" i="71"/>
  <c r="K510" i="71"/>
  <c r="K511" i="71"/>
  <c r="K512" i="71"/>
  <c r="K513" i="71"/>
  <c r="K514" i="71"/>
  <c r="K515" i="71"/>
  <c r="K516" i="71"/>
  <c r="K517" i="71"/>
  <c r="K518" i="71"/>
  <c r="K519" i="71"/>
  <c r="K520" i="71"/>
  <c r="K521" i="71"/>
  <c r="K522" i="71"/>
  <c r="K523" i="71"/>
  <c r="K524" i="71"/>
  <c r="K525" i="71"/>
  <c r="K526" i="71"/>
  <c r="K527" i="71"/>
  <c r="K528" i="71"/>
  <c r="K529" i="71"/>
  <c r="K530" i="71"/>
  <c r="K531" i="71"/>
  <c r="K532" i="71"/>
  <c r="K533" i="71"/>
  <c r="K534" i="71"/>
  <c r="K535" i="71"/>
  <c r="K536" i="71"/>
  <c r="K537" i="71"/>
  <c r="K538" i="71"/>
  <c r="K539" i="71"/>
  <c r="K540" i="71"/>
  <c r="K541" i="71"/>
  <c r="K542" i="71"/>
  <c r="K543" i="71"/>
  <c r="K544" i="71"/>
  <c r="K545" i="71"/>
  <c r="K546" i="71"/>
  <c r="K547" i="71"/>
  <c r="K548" i="71"/>
  <c r="K549" i="71"/>
  <c r="K550" i="71"/>
  <c r="K551" i="71"/>
  <c r="K552" i="71"/>
  <c r="K553" i="71"/>
  <c r="K554" i="71"/>
  <c r="K555" i="71"/>
  <c r="K556" i="71"/>
  <c r="K557" i="71"/>
  <c r="K558" i="71"/>
  <c r="K559" i="71"/>
  <c r="K560" i="71"/>
  <c r="K561" i="71"/>
  <c r="K562" i="71"/>
  <c r="K563" i="71"/>
  <c r="K564" i="71"/>
  <c r="K565" i="71"/>
  <c r="K566" i="71"/>
  <c r="K567" i="71"/>
  <c r="K568" i="71"/>
  <c r="K569" i="71"/>
  <c r="K570" i="71"/>
  <c r="K571" i="71"/>
  <c r="K572" i="71"/>
  <c r="K573" i="71"/>
  <c r="K574" i="71"/>
  <c r="K575" i="71"/>
  <c r="K576" i="71"/>
  <c r="K78" i="71"/>
  <c r="K79" i="71"/>
  <c r="K80" i="71"/>
  <c r="K81" i="71"/>
  <c r="K82" i="71"/>
  <c r="K83" i="71"/>
  <c r="K84" i="71"/>
  <c r="K85" i="71"/>
  <c r="K86" i="71"/>
  <c r="K87" i="71"/>
  <c r="K88" i="71"/>
  <c r="K89" i="71"/>
  <c r="K90" i="71"/>
  <c r="K91" i="71"/>
  <c r="K92" i="71"/>
  <c r="K93" i="71"/>
  <c r="K94" i="71"/>
  <c r="K95" i="71"/>
  <c r="K96" i="71"/>
  <c r="K97" i="71"/>
  <c r="K98" i="71"/>
  <c r="K99" i="71"/>
  <c r="K100" i="71"/>
  <c r="K101" i="71"/>
  <c r="K102" i="71"/>
  <c r="K103" i="71"/>
  <c r="K104" i="71"/>
  <c r="K105" i="71"/>
  <c r="K106" i="71"/>
  <c r="K107" i="71"/>
  <c r="K108" i="71"/>
  <c r="K109" i="71"/>
  <c r="K110" i="71"/>
  <c r="K111" i="71"/>
  <c r="K112" i="71"/>
  <c r="K113" i="71"/>
  <c r="K114" i="71"/>
  <c r="K115" i="71"/>
  <c r="K116" i="71"/>
  <c r="K117" i="71"/>
  <c r="K118" i="71"/>
  <c r="K119" i="71"/>
  <c r="K120" i="71"/>
  <c r="K121" i="71"/>
  <c r="K122" i="71"/>
  <c r="K123" i="71"/>
  <c r="K124" i="71"/>
  <c r="K125" i="71"/>
  <c r="K126" i="71"/>
  <c r="K127" i="71"/>
  <c r="K128" i="71"/>
  <c r="K129" i="71"/>
  <c r="K130" i="71"/>
  <c r="K131" i="71"/>
  <c r="K132" i="71"/>
  <c r="K133" i="71"/>
  <c r="K134" i="71"/>
  <c r="K135" i="71"/>
  <c r="K136" i="71"/>
  <c r="K137" i="71"/>
  <c r="K138" i="71"/>
  <c r="K139" i="71"/>
  <c r="K140" i="71"/>
  <c r="K141" i="71"/>
  <c r="K142" i="71"/>
  <c r="K143" i="71"/>
  <c r="K144" i="71"/>
  <c r="K145" i="71"/>
  <c r="K146" i="71"/>
  <c r="K147" i="71"/>
  <c r="K148" i="71"/>
  <c r="K149" i="71"/>
  <c r="K150" i="71"/>
  <c r="K151" i="71"/>
  <c r="K152" i="71"/>
  <c r="K153" i="71"/>
  <c r="K154" i="71"/>
  <c r="K155" i="71"/>
  <c r="K156" i="71"/>
  <c r="K157" i="71"/>
  <c r="K158" i="71"/>
  <c r="K159" i="71"/>
  <c r="K160" i="71"/>
  <c r="K161" i="71"/>
  <c r="K162" i="71"/>
  <c r="K163" i="71"/>
  <c r="K164" i="71"/>
  <c r="K165" i="71"/>
  <c r="K166" i="71"/>
  <c r="K167" i="71"/>
  <c r="K168" i="71"/>
  <c r="K169" i="71"/>
  <c r="K170" i="71"/>
  <c r="K171" i="71"/>
  <c r="K172" i="71"/>
  <c r="K173" i="71"/>
  <c r="K174" i="71"/>
  <c r="K175" i="71"/>
  <c r="K176" i="71"/>
  <c r="K177" i="71"/>
  <c r="K178" i="71"/>
  <c r="K179" i="71"/>
  <c r="K180" i="71"/>
  <c r="K181" i="71"/>
  <c r="K182" i="71"/>
  <c r="K183" i="71"/>
  <c r="K184" i="71"/>
  <c r="K185" i="71"/>
  <c r="K186" i="71"/>
  <c r="K187" i="71"/>
  <c r="K188" i="71"/>
  <c r="K189" i="71"/>
  <c r="K190" i="71"/>
  <c r="K191" i="71"/>
  <c r="K192" i="71"/>
  <c r="K193" i="71"/>
  <c r="K194" i="71"/>
  <c r="K195" i="71"/>
  <c r="K196" i="71"/>
  <c r="K197" i="71"/>
  <c r="K198" i="71"/>
  <c r="K199" i="71"/>
  <c r="K200" i="71"/>
  <c r="K201" i="71"/>
  <c r="K202" i="71"/>
  <c r="K203" i="71"/>
  <c r="K204" i="71"/>
  <c r="K205" i="71"/>
  <c r="K206" i="71"/>
  <c r="K207" i="71"/>
  <c r="K208" i="71"/>
  <c r="K209" i="71"/>
  <c r="K210" i="71"/>
  <c r="K211" i="71"/>
  <c r="K212" i="71"/>
  <c r="K213" i="71"/>
  <c r="K214" i="71"/>
  <c r="K215" i="71"/>
  <c r="K216" i="71"/>
  <c r="K217" i="71"/>
  <c r="K218" i="71"/>
  <c r="K219" i="71"/>
  <c r="K220" i="71"/>
  <c r="K221" i="71"/>
  <c r="K222" i="71"/>
  <c r="K223" i="71"/>
  <c r="K224" i="71"/>
  <c r="K225" i="71"/>
  <c r="K226" i="71"/>
  <c r="K77" i="71"/>
  <c r="K76" i="71"/>
  <c r="H58" i="71"/>
  <c r="H16" i="71"/>
  <c r="H15" i="71"/>
  <c r="F50" i="71"/>
  <c r="I50" i="71" s="1"/>
  <c r="F51" i="71"/>
  <c r="I51" i="71" s="1"/>
  <c r="F52" i="71"/>
  <c r="I52" i="71" s="1"/>
  <c r="F53" i="71"/>
  <c r="I53" i="71" s="1"/>
  <c r="F54" i="71"/>
  <c r="I54" i="71" s="1"/>
  <c r="F55" i="71"/>
  <c r="I55" i="71" s="1"/>
  <c r="F56" i="71"/>
  <c r="I56" i="71" s="1"/>
  <c r="F57" i="71"/>
  <c r="I57" i="71" s="1"/>
  <c r="E49" i="71"/>
  <c r="D49" i="71"/>
  <c r="F14" i="71"/>
  <c r="F15" i="71"/>
  <c r="F16" i="71"/>
  <c r="F17" i="71"/>
  <c r="F18" i="71"/>
  <c r="F19" i="71"/>
  <c r="F20" i="71"/>
  <c r="F21" i="71"/>
  <c r="I21" i="71" s="1"/>
  <c r="M21" i="71" s="1"/>
  <c r="E13" i="71"/>
  <c r="E22" i="71" s="1"/>
  <c r="D22" i="71"/>
  <c r="M21" i="74" l="1"/>
  <c r="M20" i="74"/>
  <c r="M19" i="74"/>
  <c r="X570" i="71"/>
  <c r="Y570" i="71" s="1"/>
  <c r="X574" i="71"/>
  <c r="Y574" i="71" s="1"/>
  <c r="X575" i="71"/>
  <c r="Y575" i="71" s="1"/>
  <c r="X569" i="71"/>
  <c r="Y569" i="71" s="1"/>
  <c r="X573" i="71"/>
  <c r="Y573" i="71" s="1"/>
  <c r="X568" i="71"/>
  <c r="Y568" i="71" s="1"/>
  <c r="X571" i="71"/>
  <c r="Y571" i="71" s="1"/>
  <c r="X572" i="71"/>
  <c r="Y572" i="71" s="1"/>
  <c r="X576" i="71"/>
  <c r="Y576" i="71" s="1"/>
  <c r="AC11" i="71"/>
  <c r="AD11" i="71" s="1"/>
  <c r="AC4" i="71"/>
  <c r="AD4" i="71" s="1"/>
  <c r="AC12" i="71"/>
  <c r="AC20" i="71"/>
  <c r="AC28" i="71"/>
  <c r="AD28" i="71" s="1"/>
  <c r="AC36" i="71"/>
  <c r="AC44" i="71"/>
  <c r="AC52" i="71"/>
  <c r="AC60" i="71"/>
  <c r="AC68" i="71"/>
  <c r="AC76" i="71"/>
  <c r="AC84" i="71"/>
  <c r="AC92" i="71"/>
  <c r="AC100" i="71"/>
  <c r="AC108" i="71"/>
  <c r="AC116" i="71"/>
  <c r="AC124" i="71"/>
  <c r="AC132" i="71"/>
  <c r="AC140" i="71"/>
  <c r="AC148" i="71"/>
  <c r="AC156" i="71"/>
  <c r="AC164" i="71"/>
  <c r="AC172" i="71"/>
  <c r="AC180" i="71"/>
  <c r="AC188" i="71"/>
  <c r="AC196" i="71"/>
  <c r="AC204" i="71"/>
  <c r="AC212" i="71"/>
  <c r="AC220" i="71"/>
  <c r="AC228" i="71"/>
  <c r="AC236" i="71"/>
  <c r="AC244" i="71"/>
  <c r="AC252" i="71"/>
  <c r="AC260" i="71"/>
  <c r="AC268" i="71"/>
  <c r="AC276" i="71"/>
  <c r="AC284" i="71"/>
  <c r="AC292" i="71"/>
  <c r="AC300" i="71"/>
  <c r="AC308" i="71"/>
  <c r="AC316" i="71"/>
  <c r="AC324" i="71"/>
  <c r="AC332" i="71"/>
  <c r="AC340" i="71"/>
  <c r="AC348" i="71"/>
  <c r="AC356" i="71"/>
  <c r="AC364" i="71"/>
  <c r="AC372" i="71"/>
  <c r="AC380" i="71"/>
  <c r="AC388" i="71"/>
  <c r="AC396" i="71"/>
  <c r="AC404" i="71"/>
  <c r="AC412" i="71"/>
  <c r="AC420" i="71"/>
  <c r="AC428" i="71"/>
  <c r="AC436" i="71"/>
  <c r="AC444" i="71"/>
  <c r="AC452" i="71"/>
  <c r="AC460" i="71"/>
  <c r="AC468" i="71"/>
  <c r="AC476" i="71"/>
  <c r="AC484" i="71"/>
  <c r="AC492" i="71"/>
  <c r="AC500" i="71"/>
  <c r="AC508" i="71"/>
  <c r="AC516" i="71"/>
  <c r="AC524" i="71"/>
  <c r="AC532" i="71"/>
  <c r="AC540" i="71"/>
  <c r="AC548" i="71"/>
  <c r="AC556" i="71"/>
  <c r="AC564" i="71"/>
  <c r="AC572" i="71"/>
  <c r="AD572" i="71" s="1"/>
  <c r="AC22" i="71"/>
  <c r="AC30" i="71"/>
  <c r="AD30" i="71" s="1"/>
  <c r="AC38" i="71"/>
  <c r="AC46" i="71"/>
  <c r="AC54" i="71"/>
  <c r="AC62" i="71"/>
  <c r="AC70" i="71"/>
  <c r="AC78" i="71"/>
  <c r="AC86" i="71"/>
  <c r="AC94" i="71"/>
  <c r="AC102" i="71"/>
  <c r="AC110" i="71"/>
  <c r="AC118" i="71"/>
  <c r="AC5" i="71"/>
  <c r="AD5" i="71" s="1"/>
  <c r="AC13" i="71"/>
  <c r="AD13" i="71" s="1"/>
  <c r="AC21" i="71"/>
  <c r="AD21" i="71" s="1"/>
  <c r="AC29" i="71"/>
  <c r="AC37" i="71"/>
  <c r="AC45" i="71"/>
  <c r="AC53" i="71"/>
  <c r="AC61" i="71"/>
  <c r="AC69" i="71"/>
  <c r="AC77" i="71"/>
  <c r="AC85" i="71"/>
  <c r="AC93" i="71"/>
  <c r="AC101" i="71"/>
  <c r="AC109" i="71"/>
  <c r="AC117" i="71"/>
  <c r="AC125" i="71"/>
  <c r="AC133" i="71"/>
  <c r="AC141" i="71"/>
  <c r="AC149" i="71"/>
  <c r="AC157" i="71"/>
  <c r="AC165" i="71"/>
  <c r="AC173" i="71"/>
  <c r="AC181" i="71"/>
  <c r="AC189" i="71"/>
  <c r="AC197" i="71"/>
  <c r="AC205" i="71"/>
  <c r="AC213" i="71"/>
  <c r="AC221" i="71"/>
  <c r="AC229" i="71"/>
  <c r="AC237" i="71"/>
  <c r="AC245" i="71"/>
  <c r="AC253" i="71"/>
  <c r="AC261" i="71"/>
  <c r="AC269" i="71"/>
  <c r="AC277" i="71"/>
  <c r="AC285" i="71"/>
  <c r="AC293" i="71"/>
  <c r="AC301" i="71"/>
  <c r="AC309" i="71"/>
  <c r="AC317" i="71"/>
  <c r="AC325" i="71"/>
  <c r="AC333" i="71"/>
  <c r="AC341" i="71"/>
  <c r="AC349" i="71"/>
  <c r="AC357" i="71"/>
  <c r="AC365" i="71"/>
  <c r="AC373" i="71"/>
  <c r="AC381" i="71"/>
  <c r="AC389" i="71"/>
  <c r="AC397" i="71"/>
  <c r="AC405" i="71"/>
  <c r="AC413" i="71"/>
  <c r="AC421" i="71"/>
  <c r="AC429" i="71"/>
  <c r="AC437" i="71"/>
  <c r="AC445" i="71"/>
  <c r="AC453" i="71"/>
  <c r="AC461" i="71"/>
  <c r="AC469" i="71"/>
  <c r="AC477" i="71"/>
  <c r="AC485" i="71"/>
  <c r="AC493" i="71"/>
  <c r="AC501" i="71"/>
  <c r="AC509" i="71"/>
  <c r="AC517" i="71"/>
  <c r="AC525" i="71"/>
  <c r="AC533" i="71"/>
  <c r="AC541" i="71"/>
  <c r="AC549" i="71"/>
  <c r="AC557" i="71"/>
  <c r="AC565" i="71"/>
  <c r="AC573" i="71"/>
  <c r="AD573" i="71" s="1"/>
  <c r="AC14" i="71"/>
  <c r="AD14" i="71" s="1"/>
  <c r="AC6" i="71"/>
  <c r="AD6" i="71" s="1"/>
  <c r="AC7" i="71"/>
  <c r="AD7" i="71" s="1"/>
  <c r="AC8" i="71"/>
  <c r="AC16" i="71"/>
  <c r="AC24" i="71"/>
  <c r="AC32" i="71"/>
  <c r="AD32" i="71" s="1"/>
  <c r="AC40" i="71"/>
  <c r="AC48" i="71"/>
  <c r="AC56" i="71"/>
  <c r="AC64" i="71"/>
  <c r="AC72" i="71"/>
  <c r="AC80" i="71"/>
  <c r="AC88" i="71"/>
  <c r="AC96" i="71"/>
  <c r="AC104" i="71"/>
  <c r="AC112" i="71"/>
  <c r="AC120" i="71"/>
  <c r="AC128" i="71"/>
  <c r="AC136" i="71"/>
  <c r="AC144" i="71"/>
  <c r="AC152" i="71"/>
  <c r="AC160" i="71"/>
  <c r="AC168" i="71"/>
  <c r="AC176" i="71"/>
  <c r="AC184" i="71"/>
  <c r="AC192" i="71"/>
  <c r="AC200" i="71"/>
  <c r="AC208" i="71"/>
  <c r="AC216" i="71"/>
  <c r="AC224" i="71"/>
  <c r="AC232" i="71"/>
  <c r="AC240" i="71"/>
  <c r="AC248" i="71"/>
  <c r="AC256" i="71"/>
  <c r="AC264" i="71"/>
  <c r="AC272" i="71"/>
  <c r="AC280" i="71"/>
  <c r="AC288" i="71"/>
  <c r="AC296" i="71"/>
  <c r="AC304" i="71"/>
  <c r="AC312" i="71"/>
  <c r="AC320" i="71"/>
  <c r="AC328" i="71"/>
  <c r="AC336" i="71"/>
  <c r="AC344" i="71"/>
  <c r="AC352" i="71"/>
  <c r="AC360" i="71"/>
  <c r="AC368" i="71"/>
  <c r="AC376" i="71"/>
  <c r="AC384" i="71"/>
  <c r="AC392" i="71"/>
  <c r="AC400" i="71"/>
  <c r="AC408" i="71"/>
  <c r="AC416" i="71"/>
  <c r="AC424" i="71"/>
  <c r="AC432" i="71"/>
  <c r="AC440" i="71"/>
  <c r="AC448" i="71"/>
  <c r="AC456" i="71"/>
  <c r="AC464" i="71"/>
  <c r="AC472" i="71"/>
  <c r="AC480" i="71"/>
  <c r="AC488" i="71"/>
  <c r="AC496" i="71"/>
  <c r="AC504" i="71"/>
  <c r="AC512" i="71"/>
  <c r="AC520" i="71"/>
  <c r="AC528" i="71"/>
  <c r="AC536" i="71"/>
  <c r="AC544" i="71"/>
  <c r="AC552" i="71"/>
  <c r="AC560" i="71"/>
  <c r="AC568" i="71"/>
  <c r="AD568" i="71" s="1"/>
  <c r="AC576" i="71"/>
  <c r="AD576" i="71" s="1"/>
  <c r="AC41" i="71"/>
  <c r="AC145" i="71"/>
  <c r="AC169" i="71"/>
  <c r="AC177" i="71"/>
  <c r="AC193" i="71"/>
  <c r="AC201" i="71"/>
  <c r="AC209" i="71"/>
  <c r="AC225" i="71"/>
  <c r="AC233" i="71"/>
  <c r="AC249" i="71"/>
  <c r="AC257" i="71"/>
  <c r="AC9" i="71"/>
  <c r="AD9" i="71" s="1"/>
  <c r="AC17" i="71"/>
  <c r="AC25" i="71"/>
  <c r="AC33" i="71"/>
  <c r="AD33" i="71" s="1"/>
  <c r="AC49" i="71"/>
  <c r="AC57" i="71"/>
  <c r="AC65" i="71"/>
  <c r="AC73" i="71"/>
  <c r="AC81" i="71"/>
  <c r="AC89" i="71"/>
  <c r="AC97" i="71"/>
  <c r="AC105" i="71"/>
  <c r="AC113" i="71"/>
  <c r="AC121" i="71"/>
  <c r="AC129" i="71"/>
  <c r="AC137" i="71"/>
  <c r="AC153" i="71"/>
  <c r="AC161" i="71"/>
  <c r="AC185" i="71"/>
  <c r="AC217" i="71"/>
  <c r="AC241" i="71"/>
  <c r="AC10" i="71"/>
  <c r="AD10" i="71" s="1"/>
  <c r="AC34" i="71"/>
  <c r="AD34" i="71" s="1"/>
  <c r="AC55" i="71"/>
  <c r="AC75" i="71"/>
  <c r="AC98" i="71"/>
  <c r="AC119" i="71"/>
  <c r="AC135" i="71"/>
  <c r="AC151" i="71"/>
  <c r="AC167" i="71"/>
  <c r="AC183" i="71"/>
  <c r="AC199" i="71"/>
  <c r="AC215" i="71"/>
  <c r="AC231" i="71"/>
  <c r="AC247" i="71"/>
  <c r="AC263" i="71"/>
  <c r="AC275" i="71"/>
  <c r="AC289" i="71"/>
  <c r="AC302" i="71"/>
  <c r="AC314" i="71"/>
  <c r="AC327" i="71"/>
  <c r="AC339" i="71"/>
  <c r="AC353" i="71"/>
  <c r="AC366" i="71"/>
  <c r="AC378" i="71"/>
  <c r="AC391" i="71"/>
  <c r="AC403" i="71"/>
  <c r="AC417" i="71"/>
  <c r="AC430" i="71"/>
  <c r="AC442" i="71"/>
  <c r="AC455" i="71"/>
  <c r="AC467" i="71"/>
  <c r="AC481" i="71"/>
  <c r="AC494" i="71"/>
  <c r="AC506" i="71"/>
  <c r="AC519" i="71"/>
  <c r="AC531" i="71"/>
  <c r="AC545" i="71"/>
  <c r="AC558" i="71"/>
  <c r="AC570" i="71"/>
  <c r="AD570" i="71" s="1"/>
  <c r="AC66" i="71"/>
  <c r="AC87" i="71"/>
  <c r="AC143" i="71"/>
  <c r="AC191" i="71"/>
  <c r="AC270" i="71"/>
  <c r="AC334" i="71"/>
  <c r="AC371" i="71"/>
  <c r="AC410" i="71"/>
  <c r="AC474" i="71"/>
  <c r="AC526" i="71"/>
  <c r="AC15" i="71"/>
  <c r="AC35" i="71"/>
  <c r="AC58" i="71"/>
  <c r="AC79" i="71"/>
  <c r="AC99" i="71"/>
  <c r="AC122" i="71"/>
  <c r="AC138" i="71"/>
  <c r="AC154" i="71"/>
  <c r="AC170" i="71"/>
  <c r="AC186" i="71"/>
  <c r="AC202" i="71"/>
  <c r="AC218" i="71"/>
  <c r="AC234" i="71"/>
  <c r="AC250" i="71"/>
  <c r="AC265" i="71"/>
  <c r="AC278" i="71"/>
  <c r="AC290" i="71"/>
  <c r="AC303" i="71"/>
  <c r="AC315" i="71"/>
  <c r="AC329" i="71"/>
  <c r="AC342" i="71"/>
  <c r="AC354" i="71"/>
  <c r="AC367" i="71"/>
  <c r="AC379" i="71"/>
  <c r="AC393" i="71"/>
  <c r="AC406" i="71"/>
  <c r="AC418" i="71"/>
  <c r="AC431" i="71"/>
  <c r="AC443" i="71"/>
  <c r="AC457" i="71"/>
  <c r="AC470" i="71"/>
  <c r="AC482" i="71"/>
  <c r="AC495" i="71"/>
  <c r="AC507" i="71"/>
  <c r="AC521" i="71"/>
  <c r="AC534" i="71"/>
  <c r="AC546" i="71"/>
  <c r="AC559" i="71"/>
  <c r="AC571" i="71"/>
  <c r="AD571" i="71" s="1"/>
  <c r="AC449" i="71"/>
  <c r="AC538" i="71"/>
  <c r="AC555" i="71"/>
  <c r="AC18" i="71"/>
  <c r="AC39" i="71"/>
  <c r="AC59" i="71"/>
  <c r="AC82" i="71"/>
  <c r="AC103" i="71"/>
  <c r="AC123" i="71"/>
  <c r="AC139" i="71"/>
  <c r="AC155" i="71"/>
  <c r="AC171" i="71"/>
  <c r="AC187" i="71"/>
  <c r="AC203" i="71"/>
  <c r="AC219" i="71"/>
  <c r="AC235" i="71"/>
  <c r="AC251" i="71"/>
  <c r="AC266" i="71"/>
  <c r="AC279" i="71"/>
  <c r="AC291" i="71"/>
  <c r="AC305" i="71"/>
  <c r="AC318" i="71"/>
  <c r="AC330" i="71"/>
  <c r="AC343" i="71"/>
  <c r="AC355" i="71"/>
  <c r="AC369" i="71"/>
  <c r="AC382" i="71"/>
  <c r="AC394" i="71"/>
  <c r="AC407" i="71"/>
  <c r="AC419" i="71"/>
  <c r="AC433" i="71"/>
  <c r="AC446" i="71"/>
  <c r="AC458" i="71"/>
  <c r="AC471" i="71"/>
  <c r="AC483" i="71"/>
  <c r="AC497" i="71"/>
  <c r="AC510" i="71"/>
  <c r="AC522" i="71"/>
  <c r="AC535" i="71"/>
  <c r="AC547" i="71"/>
  <c r="AC561" i="71"/>
  <c r="AC574" i="71"/>
  <c r="AD574" i="71" s="1"/>
  <c r="AC43" i="71"/>
  <c r="AC107" i="71"/>
  <c r="AC175" i="71"/>
  <c r="AC223" i="71"/>
  <c r="AC239" i="71"/>
  <c r="AC282" i="71"/>
  <c r="AC321" i="71"/>
  <c r="AC359" i="71"/>
  <c r="AC398" i="71"/>
  <c r="AC435" i="71"/>
  <c r="AC487" i="71"/>
  <c r="AC513" i="71"/>
  <c r="AC563" i="71"/>
  <c r="AC569" i="71"/>
  <c r="AD569" i="71" s="1"/>
  <c r="AC19" i="71"/>
  <c r="AC42" i="71"/>
  <c r="AC63" i="71"/>
  <c r="AC83" i="71"/>
  <c r="AC106" i="71"/>
  <c r="AC126" i="71"/>
  <c r="AC142" i="71"/>
  <c r="AC158" i="71"/>
  <c r="AC174" i="71"/>
  <c r="AC190" i="71"/>
  <c r="AC206" i="71"/>
  <c r="AC222" i="71"/>
  <c r="AC238" i="71"/>
  <c r="AC254" i="71"/>
  <c r="AC267" i="71"/>
  <c r="AC281" i="71"/>
  <c r="AC294" i="71"/>
  <c r="AC306" i="71"/>
  <c r="AC319" i="71"/>
  <c r="AC331" i="71"/>
  <c r="AC345" i="71"/>
  <c r="AC358" i="71"/>
  <c r="AC370" i="71"/>
  <c r="AC383" i="71"/>
  <c r="AC395" i="71"/>
  <c r="AC409" i="71"/>
  <c r="AC422" i="71"/>
  <c r="AC434" i="71"/>
  <c r="AC447" i="71"/>
  <c r="AC459" i="71"/>
  <c r="AC473" i="71"/>
  <c r="AC486" i="71"/>
  <c r="AC498" i="71"/>
  <c r="AC511" i="71"/>
  <c r="AC523" i="71"/>
  <c r="AC537" i="71"/>
  <c r="AC550" i="71"/>
  <c r="AC562" i="71"/>
  <c r="AC575" i="71"/>
  <c r="AD575" i="71" s="1"/>
  <c r="AC23" i="71"/>
  <c r="AD23" i="71" s="1"/>
  <c r="AC127" i="71"/>
  <c r="AC159" i="71"/>
  <c r="AC207" i="71"/>
  <c r="AC255" i="71"/>
  <c r="AC295" i="71"/>
  <c r="AC307" i="71"/>
  <c r="AC346" i="71"/>
  <c r="AC385" i="71"/>
  <c r="AC423" i="71"/>
  <c r="AC462" i="71"/>
  <c r="AC499" i="71"/>
  <c r="AC551" i="71"/>
  <c r="AC26" i="71"/>
  <c r="AD26" i="71" s="1"/>
  <c r="AC47" i="71"/>
  <c r="AC67" i="71"/>
  <c r="AC90" i="71"/>
  <c r="AC111" i="71"/>
  <c r="AC130" i="71"/>
  <c r="AC146" i="71"/>
  <c r="AC162" i="71"/>
  <c r="AC178" i="71"/>
  <c r="AC194" i="71"/>
  <c r="AC210" i="71"/>
  <c r="AC226" i="71"/>
  <c r="AC242" i="71"/>
  <c r="AC258" i="71"/>
  <c r="AC271" i="71"/>
  <c r="AC283" i="71"/>
  <c r="AC297" i="71"/>
  <c r="AC310" i="71"/>
  <c r="AC322" i="71"/>
  <c r="AC335" i="71"/>
  <c r="AC347" i="71"/>
  <c r="AC361" i="71"/>
  <c r="AC374" i="71"/>
  <c r="AC386" i="71"/>
  <c r="AC399" i="71"/>
  <c r="AC411" i="71"/>
  <c r="AC425" i="71"/>
  <c r="AC438" i="71"/>
  <c r="AC450" i="71"/>
  <c r="AC463" i="71"/>
  <c r="AC475" i="71"/>
  <c r="AC489" i="71"/>
  <c r="AC502" i="71"/>
  <c r="AC514" i="71"/>
  <c r="AC527" i="71"/>
  <c r="AC539" i="71"/>
  <c r="AC553" i="71"/>
  <c r="AC566" i="71"/>
  <c r="AC554" i="71"/>
  <c r="AC31" i="71"/>
  <c r="AD31" i="71" s="1"/>
  <c r="AC182" i="71"/>
  <c r="AC230" i="71"/>
  <c r="AC274" i="71"/>
  <c r="AC299" i="71"/>
  <c r="AC326" i="71"/>
  <c r="AC351" i="71"/>
  <c r="AC377" i="71"/>
  <c r="AC402" i="71"/>
  <c r="AC427" i="71"/>
  <c r="AC454" i="71"/>
  <c r="AC479" i="71"/>
  <c r="AC505" i="71"/>
  <c r="AC543" i="71"/>
  <c r="AC27" i="71"/>
  <c r="AC50" i="71"/>
  <c r="AC71" i="71"/>
  <c r="AC91" i="71"/>
  <c r="AC114" i="71"/>
  <c r="AC131" i="71"/>
  <c r="AC147" i="71"/>
  <c r="AC163" i="71"/>
  <c r="AC179" i="71"/>
  <c r="AC195" i="71"/>
  <c r="AC211" i="71"/>
  <c r="AC227" i="71"/>
  <c r="AC243" i="71"/>
  <c r="AC259" i="71"/>
  <c r="AC273" i="71"/>
  <c r="AC286" i="71"/>
  <c r="AC298" i="71"/>
  <c r="AC311" i="71"/>
  <c r="AC323" i="71"/>
  <c r="AC337" i="71"/>
  <c r="AC350" i="71"/>
  <c r="AC362" i="71"/>
  <c r="AC375" i="71"/>
  <c r="AC387" i="71"/>
  <c r="AC401" i="71"/>
  <c r="AC414" i="71"/>
  <c r="AC426" i="71"/>
  <c r="AC439" i="71"/>
  <c r="AC451" i="71"/>
  <c r="AC465" i="71"/>
  <c r="AC478" i="71"/>
  <c r="AC490" i="71"/>
  <c r="AC503" i="71"/>
  <c r="AC515" i="71"/>
  <c r="AC529" i="71"/>
  <c r="AC542" i="71"/>
  <c r="AC567" i="71"/>
  <c r="AC51" i="71"/>
  <c r="AC74" i="71"/>
  <c r="AC95" i="71"/>
  <c r="AC115" i="71"/>
  <c r="AC134" i="71"/>
  <c r="AC150" i="71"/>
  <c r="AC166" i="71"/>
  <c r="AC198" i="71"/>
  <c r="AC214" i="71"/>
  <c r="AC246" i="71"/>
  <c r="AC262" i="71"/>
  <c r="AC287" i="71"/>
  <c r="AC313" i="71"/>
  <c r="AC338" i="71"/>
  <c r="AC363" i="71"/>
  <c r="AC390" i="71"/>
  <c r="AC415" i="71"/>
  <c r="AC441" i="71"/>
  <c r="AC466" i="71"/>
  <c r="AC491" i="71"/>
  <c r="AC518" i="71"/>
  <c r="AC530" i="71"/>
  <c r="X555" i="71"/>
  <c r="Y555" i="71" s="1"/>
  <c r="X350" i="71"/>
  <c r="Y350" i="71" s="1"/>
  <c r="X321" i="71"/>
  <c r="Y321" i="71" s="1"/>
  <c r="X24" i="71"/>
  <c r="Y24" i="71" s="1"/>
  <c r="X31" i="71"/>
  <c r="Y31" i="71" s="1"/>
  <c r="X472" i="71"/>
  <c r="Y472" i="71" s="1"/>
  <c r="X9" i="71"/>
  <c r="Y9" i="71" s="1"/>
  <c r="X266" i="71"/>
  <c r="Y266" i="71" s="1"/>
  <c r="D61" i="71"/>
  <c r="X97" i="71"/>
  <c r="Y97" i="71" s="1"/>
  <c r="X51" i="71"/>
  <c r="Y51" i="71" s="1"/>
  <c r="X529" i="71"/>
  <c r="Y529" i="71" s="1"/>
  <c r="X68" i="71"/>
  <c r="Y68" i="71" s="1"/>
  <c r="X114" i="71"/>
  <c r="Y114" i="71" s="1"/>
  <c r="X275" i="71"/>
  <c r="Y275" i="71" s="1"/>
  <c r="X22" i="71"/>
  <c r="Y22" i="71" s="1"/>
  <c r="X303" i="71"/>
  <c r="Y303" i="71" s="1"/>
  <c r="X389" i="71"/>
  <c r="Y389" i="71" s="1"/>
  <c r="X16" i="71"/>
  <c r="Y16" i="71" s="1"/>
  <c r="X501" i="71"/>
  <c r="Y501" i="71" s="1"/>
  <c r="X553" i="71"/>
  <c r="Y553" i="71" s="1"/>
  <c r="X84" i="71"/>
  <c r="Y84" i="71" s="1"/>
  <c r="X38" i="71"/>
  <c r="Y38" i="71" s="1"/>
  <c r="X48" i="71"/>
  <c r="Y48" i="71" s="1"/>
  <c r="X39" i="71"/>
  <c r="Y39" i="71" s="1"/>
  <c r="X32" i="71"/>
  <c r="Y32" i="71" s="1"/>
  <c r="X25" i="71"/>
  <c r="Y25" i="71" s="1"/>
  <c r="X10" i="71"/>
  <c r="Y10" i="71" s="1"/>
  <c r="X59" i="71"/>
  <c r="Y59" i="71" s="1"/>
  <c r="X37" i="71"/>
  <c r="Y37" i="71" s="1"/>
  <c r="X127" i="71"/>
  <c r="Y127" i="71" s="1"/>
  <c r="X367" i="71"/>
  <c r="Y367" i="71" s="1"/>
  <c r="X541" i="71"/>
  <c r="Y541" i="71" s="1"/>
  <c r="X480" i="71"/>
  <c r="Y480" i="71" s="1"/>
  <c r="X410" i="71"/>
  <c r="Y410" i="71" s="1"/>
  <c r="X218" i="71"/>
  <c r="Y218" i="71" s="1"/>
  <c r="X313" i="71"/>
  <c r="Y313" i="71" s="1"/>
  <c r="X294" i="71"/>
  <c r="Y294" i="71" s="1"/>
  <c r="X163" i="71"/>
  <c r="Y163" i="71" s="1"/>
  <c r="X373" i="71"/>
  <c r="Y373" i="71" s="1"/>
  <c r="X524" i="71"/>
  <c r="Y524" i="71" s="1"/>
  <c r="X260" i="71"/>
  <c r="Y260" i="71" s="1"/>
  <c r="X100" i="71"/>
  <c r="Y100" i="71" s="1"/>
  <c r="X46" i="71"/>
  <c r="Y46" i="71" s="1"/>
  <c r="X80" i="71"/>
  <c r="Y80" i="71" s="1"/>
  <c r="X47" i="71"/>
  <c r="Y47" i="71" s="1"/>
  <c r="X40" i="71"/>
  <c r="Y40" i="71" s="1"/>
  <c r="X33" i="71"/>
  <c r="Y33" i="71" s="1"/>
  <c r="X50" i="71"/>
  <c r="Y50" i="71" s="1"/>
  <c r="X67" i="71"/>
  <c r="Y67" i="71" s="1"/>
  <c r="X53" i="71"/>
  <c r="Y53" i="71" s="1"/>
  <c r="X143" i="71"/>
  <c r="Y143" i="71" s="1"/>
  <c r="X383" i="71"/>
  <c r="Y383" i="71" s="1"/>
  <c r="X549" i="71"/>
  <c r="Y549" i="71" s="1"/>
  <c r="X496" i="71"/>
  <c r="Y496" i="71" s="1"/>
  <c r="X402" i="71"/>
  <c r="Y402" i="71" s="1"/>
  <c r="X210" i="71"/>
  <c r="Y210" i="71" s="1"/>
  <c r="X305" i="71"/>
  <c r="Y305" i="71" s="1"/>
  <c r="X238" i="71"/>
  <c r="Y238" i="71" s="1"/>
  <c r="X147" i="71"/>
  <c r="Y147" i="71" s="1"/>
  <c r="X261" i="71"/>
  <c r="Y261" i="71" s="1"/>
  <c r="X559" i="71"/>
  <c r="Y559" i="71" s="1"/>
  <c r="X93" i="71"/>
  <c r="Y93" i="71" s="1"/>
  <c r="X54" i="71"/>
  <c r="Y54" i="71" s="1"/>
  <c r="X96" i="71"/>
  <c r="Y96" i="71" s="1"/>
  <c r="X63" i="71"/>
  <c r="Y63" i="71" s="1"/>
  <c r="X72" i="71"/>
  <c r="Y72" i="71" s="1"/>
  <c r="X41" i="71"/>
  <c r="Y41" i="71" s="1"/>
  <c r="X58" i="71"/>
  <c r="Y58" i="71" s="1"/>
  <c r="X83" i="71"/>
  <c r="Y83" i="71" s="1"/>
  <c r="X101" i="71"/>
  <c r="Y101" i="71" s="1"/>
  <c r="X175" i="71"/>
  <c r="Y175" i="71" s="1"/>
  <c r="X399" i="71"/>
  <c r="Y399" i="71" s="1"/>
  <c r="X565" i="71"/>
  <c r="Y565" i="71" s="1"/>
  <c r="X528" i="71"/>
  <c r="Y528" i="71" s="1"/>
  <c r="X394" i="71"/>
  <c r="Y394" i="71" s="1"/>
  <c r="X202" i="71"/>
  <c r="Y202" i="71" s="1"/>
  <c r="X249" i="71"/>
  <c r="Y249" i="71" s="1"/>
  <c r="X222" i="71"/>
  <c r="Y222" i="71" s="1"/>
  <c r="X384" i="71"/>
  <c r="Y384" i="71" s="1"/>
  <c r="X245" i="71"/>
  <c r="Y245" i="71" s="1"/>
  <c r="X471" i="71"/>
  <c r="Y471" i="71" s="1"/>
  <c r="X21" i="71"/>
  <c r="Y21" i="71" s="1"/>
  <c r="X70" i="71"/>
  <c r="Y70" i="71" s="1"/>
  <c r="X26" i="71"/>
  <c r="Y26" i="71" s="1"/>
  <c r="X71" i="71"/>
  <c r="Y71" i="71" s="1"/>
  <c r="X88" i="71"/>
  <c r="Y88" i="71" s="1"/>
  <c r="X57" i="71"/>
  <c r="Y57" i="71" s="1"/>
  <c r="X82" i="71"/>
  <c r="Y82" i="71" s="1"/>
  <c r="X91" i="71"/>
  <c r="Y91" i="71" s="1"/>
  <c r="X109" i="71"/>
  <c r="Y109" i="71" s="1"/>
  <c r="X191" i="71"/>
  <c r="Y191" i="71" s="1"/>
  <c r="X423" i="71"/>
  <c r="Y423" i="71" s="1"/>
  <c r="X563" i="71"/>
  <c r="Y563" i="71" s="1"/>
  <c r="X536" i="71"/>
  <c r="Y536" i="71" s="1"/>
  <c r="X346" i="71"/>
  <c r="Y346" i="71" s="1"/>
  <c r="X154" i="71"/>
  <c r="Y154" i="71" s="1"/>
  <c r="X193" i="71"/>
  <c r="Y193" i="71" s="1"/>
  <c r="X166" i="71"/>
  <c r="Y166" i="71" s="1"/>
  <c r="X312" i="71"/>
  <c r="Y312" i="71" s="1"/>
  <c r="X189" i="71"/>
  <c r="Y189" i="71" s="1"/>
  <c r="K20" i="71"/>
  <c r="L20" i="71" s="1"/>
  <c r="X28" i="71"/>
  <c r="Y28" i="71" s="1"/>
  <c r="X45" i="71"/>
  <c r="Y45" i="71" s="1"/>
  <c r="X78" i="71"/>
  <c r="Y78" i="71" s="1"/>
  <c r="X98" i="71"/>
  <c r="Y98" i="71" s="1"/>
  <c r="X79" i="71"/>
  <c r="Y79" i="71" s="1"/>
  <c r="X34" i="71"/>
  <c r="Y34" i="71" s="1"/>
  <c r="X65" i="71"/>
  <c r="Y65" i="71" s="1"/>
  <c r="X19" i="71"/>
  <c r="Y19" i="71" s="1"/>
  <c r="X99" i="71"/>
  <c r="Y99" i="71" s="1"/>
  <c r="X110" i="71"/>
  <c r="Y110" i="71" s="1"/>
  <c r="X239" i="71"/>
  <c r="Y239" i="71" s="1"/>
  <c r="X469" i="71"/>
  <c r="Y469" i="71" s="1"/>
  <c r="X119" i="71"/>
  <c r="Y119" i="71" s="1"/>
  <c r="X544" i="71"/>
  <c r="Y544" i="71" s="1"/>
  <c r="X338" i="71"/>
  <c r="Y338" i="71" s="1"/>
  <c r="X138" i="71"/>
  <c r="Y138" i="71" s="1"/>
  <c r="X177" i="71"/>
  <c r="Y177" i="71" s="1"/>
  <c r="X419" i="71"/>
  <c r="Y419" i="71" s="1"/>
  <c r="X256" i="71"/>
  <c r="Y256" i="71" s="1"/>
  <c r="X332" i="71"/>
  <c r="Y332" i="71" s="1"/>
  <c r="X36" i="71"/>
  <c r="Y36" i="71" s="1"/>
  <c r="X6" i="71"/>
  <c r="Y6" i="71" s="1"/>
  <c r="X86" i="71"/>
  <c r="Y86" i="71" s="1"/>
  <c r="X7" i="71"/>
  <c r="Y7" i="71" s="1"/>
  <c r="X95" i="71"/>
  <c r="Y95" i="71" s="1"/>
  <c r="X18" i="71"/>
  <c r="Y18" i="71" s="1"/>
  <c r="X73" i="71"/>
  <c r="Y73" i="71" s="1"/>
  <c r="X27" i="71"/>
  <c r="Y27" i="71" s="1"/>
  <c r="X76" i="71"/>
  <c r="Y76" i="71" s="1"/>
  <c r="X125" i="71"/>
  <c r="Y125" i="71" s="1"/>
  <c r="X255" i="71"/>
  <c r="Y255" i="71" s="1"/>
  <c r="X477" i="71"/>
  <c r="Y477" i="71" s="1"/>
  <c r="X117" i="71"/>
  <c r="Y117" i="71" s="1"/>
  <c r="X560" i="71"/>
  <c r="Y560" i="71" s="1"/>
  <c r="X282" i="71"/>
  <c r="Y282" i="71" s="1"/>
  <c r="X385" i="71"/>
  <c r="Y385" i="71" s="1"/>
  <c r="X121" i="71"/>
  <c r="Y121" i="71" s="1"/>
  <c r="X347" i="71"/>
  <c r="Y347" i="71" s="1"/>
  <c r="X200" i="71"/>
  <c r="Y200" i="71" s="1"/>
  <c r="X445" i="71"/>
  <c r="Y445" i="71" s="1"/>
  <c r="X52" i="71"/>
  <c r="Y52" i="71" s="1"/>
  <c r="X14" i="71"/>
  <c r="Y14" i="71" s="1"/>
  <c r="X102" i="71"/>
  <c r="Y102" i="71" s="1"/>
  <c r="X15" i="71"/>
  <c r="Y15" i="71" s="1"/>
  <c r="X3" i="71"/>
  <c r="X90" i="71"/>
  <c r="Y90" i="71" s="1"/>
  <c r="X89" i="71"/>
  <c r="Y89" i="71" s="1"/>
  <c r="X35" i="71"/>
  <c r="Y35" i="71" s="1"/>
  <c r="X92" i="71"/>
  <c r="Y92" i="71" s="1"/>
  <c r="X115" i="71"/>
  <c r="Y115" i="71" s="1"/>
  <c r="X271" i="71"/>
  <c r="Y271" i="71" s="1"/>
  <c r="X485" i="71"/>
  <c r="Y485" i="71" s="1"/>
  <c r="X430" i="71"/>
  <c r="Y430" i="71" s="1"/>
  <c r="X539" i="71"/>
  <c r="Y539" i="71" s="1"/>
  <c r="X274" i="71"/>
  <c r="Y274" i="71" s="1"/>
  <c r="X377" i="71"/>
  <c r="Y377" i="71" s="1"/>
  <c r="X366" i="71"/>
  <c r="Y366" i="71" s="1"/>
  <c r="X291" i="71"/>
  <c r="Y291" i="71" s="1"/>
  <c r="X128" i="71"/>
  <c r="Y128" i="71" s="1"/>
  <c r="F49" i="71"/>
  <c r="I49" i="71" s="1"/>
  <c r="X241" i="71"/>
  <c r="Y241" i="71" s="1"/>
  <c r="X358" i="71"/>
  <c r="Y358" i="71" s="1"/>
  <c r="X174" i="71"/>
  <c r="Y174" i="71" s="1"/>
  <c r="X339" i="71"/>
  <c r="Y339" i="71" s="1"/>
  <c r="X155" i="71"/>
  <c r="Y155" i="71" s="1"/>
  <c r="X264" i="71"/>
  <c r="Y264" i="71" s="1"/>
  <c r="X120" i="71"/>
  <c r="Y120" i="71" s="1"/>
  <c r="X253" i="71"/>
  <c r="Y253" i="71" s="1"/>
  <c r="X300" i="71"/>
  <c r="Y300" i="71" s="1"/>
  <c r="X465" i="71"/>
  <c r="Y465" i="71" s="1"/>
  <c r="X516" i="71"/>
  <c r="Y516" i="71" s="1"/>
  <c r="X404" i="71"/>
  <c r="Y404" i="71" s="1"/>
  <c r="H22" i="71"/>
  <c r="X369" i="71"/>
  <c r="Y369" i="71" s="1"/>
  <c r="X185" i="71"/>
  <c r="Y185" i="71" s="1"/>
  <c r="X302" i="71"/>
  <c r="Y302" i="71" s="1"/>
  <c r="X158" i="71"/>
  <c r="Y158" i="71" s="1"/>
  <c r="X283" i="71"/>
  <c r="Y283" i="71" s="1"/>
  <c r="X392" i="71"/>
  <c r="Y392" i="71" s="1"/>
  <c r="X248" i="71"/>
  <c r="Y248" i="71" s="1"/>
  <c r="X381" i="71"/>
  <c r="Y381" i="71" s="1"/>
  <c r="X197" i="71"/>
  <c r="Y197" i="71" s="1"/>
  <c r="X348" i="71"/>
  <c r="Y348" i="71" s="1"/>
  <c r="X545" i="71"/>
  <c r="Y545" i="71" s="1"/>
  <c r="X543" i="71"/>
  <c r="Y543" i="71" s="1"/>
  <c r="X495" i="71"/>
  <c r="Y495" i="71" s="1"/>
  <c r="X29" i="71"/>
  <c r="Y29" i="71" s="1"/>
  <c r="X490" i="71"/>
  <c r="Y490" i="71" s="1"/>
  <c r="X432" i="71"/>
  <c r="Y432" i="71" s="1"/>
  <c r="X292" i="71"/>
  <c r="Y292" i="71" s="1"/>
  <c r="X164" i="71"/>
  <c r="Y164" i="71" s="1"/>
  <c r="X441" i="71"/>
  <c r="Y441" i="71" s="1"/>
  <c r="X564" i="71"/>
  <c r="Y564" i="71" s="1"/>
  <c r="X500" i="71"/>
  <c r="Y500" i="71" s="1"/>
  <c r="X446" i="71"/>
  <c r="Y446" i="71" s="1"/>
  <c r="X435" i="71"/>
  <c r="Y435" i="71" s="1"/>
  <c r="X505" i="71"/>
  <c r="Y505" i="71" s="1"/>
  <c r="X440" i="71"/>
  <c r="Y440" i="71" s="1"/>
  <c r="X459" i="71"/>
  <c r="Y459" i="71" s="1"/>
  <c r="X380" i="71"/>
  <c r="Y380" i="71" s="1"/>
  <c r="X252" i="71"/>
  <c r="Y252" i="71" s="1"/>
  <c r="X133" i="71"/>
  <c r="Y133" i="71" s="1"/>
  <c r="X567" i="71"/>
  <c r="Y567" i="71" s="1"/>
  <c r="X372" i="71"/>
  <c r="Y372" i="71" s="1"/>
  <c r="X244" i="71"/>
  <c r="Y244" i="71" s="1"/>
  <c r="X116" i="71"/>
  <c r="Y116" i="71" s="1"/>
  <c r="X527" i="71"/>
  <c r="Y527" i="71" s="1"/>
  <c r="X540" i="71"/>
  <c r="Y540" i="71" s="1"/>
  <c r="X535" i="71"/>
  <c r="Y535" i="71" s="1"/>
  <c r="X356" i="71"/>
  <c r="Y356" i="71" s="1"/>
  <c r="X228" i="71"/>
  <c r="Y228" i="71" s="1"/>
  <c r="X554" i="71"/>
  <c r="Y554" i="71" s="1"/>
  <c r="X511" i="71"/>
  <c r="Y511" i="71" s="1"/>
  <c r="X532" i="71"/>
  <c r="Y532" i="71" s="1"/>
  <c r="X468" i="71"/>
  <c r="Y468" i="71" s="1"/>
  <c r="X444" i="71"/>
  <c r="Y444" i="71" s="1"/>
  <c r="X537" i="71"/>
  <c r="Y537" i="71" s="1"/>
  <c r="X473" i="71"/>
  <c r="Y473" i="71" s="1"/>
  <c r="X547" i="71"/>
  <c r="Y547" i="71" s="1"/>
  <c r="X424" i="71"/>
  <c r="Y424" i="71" s="1"/>
  <c r="X316" i="71"/>
  <c r="Y316" i="71" s="1"/>
  <c r="X188" i="71"/>
  <c r="Y188" i="71" s="1"/>
  <c r="X522" i="71"/>
  <c r="Y522" i="71" s="1"/>
  <c r="X340" i="71"/>
  <c r="Y340" i="71" s="1"/>
  <c r="X148" i="71"/>
  <c r="Y148" i="71" s="1"/>
  <c r="X487" i="71"/>
  <c r="Y487" i="71" s="1"/>
  <c r="X484" i="71"/>
  <c r="Y484" i="71" s="1"/>
  <c r="X551" i="71"/>
  <c r="Y551" i="71" s="1"/>
  <c r="X513" i="71"/>
  <c r="Y513" i="71" s="1"/>
  <c r="X431" i="71"/>
  <c r="Y431" i="71" s="1"/>
  <c r="X417" i="71"/>
  <c r="Y417" i="71" s="1"/>
  <c r="X268" i="71"/>
  <c r="Y268" i="71" s="1"/>
  <c r="X149" i="71"/>
  <c r="Y149" i="71" s="1"/>
  <c r="X213" i="71"/>
  <c r="Y213" i="71" s="1"/>
  <c r="X277" i="71"/>
  <c r="Y277" i="71" s="1"/>
  <c r="X341" i="71"/>
  <c r="Y341" i="71" s="1"/>
  <c r="X405" i="71"/>
  <c r="Y405" i="71" s="1"/>
  <c r="X152" i="71"/>
  <c r="Y152" i="71" s="1"/>
  <c r="X216" i="71"/>
  <c r="Y216" i="71" s="1"/>
  <c r="X280" i="71"/>
  <c r="Y280" i="71" s="1"/>
  <c r="X344" i="71"/>
  <c r="Y344" i="71" s="1"/>
  <c r="X408" i="71"/>
  <c r="Y408" i="71" s="1"/>
  <c r="X179" i="71"/>
  <c r="Y179" i="71" s="1"/>
  <c r="X243" i="71"/>
  <c r="Y243" i="71" s="1"/>
  <c r="X307" i="71"/>
  <c r="Y307" i="71" s="1"/>
  <c r="X371" i="71"/>
  <c r="Y371" i="71" s="1"/>
  <c r="X126" i="71"/>
  <c r="Y126" i="71" s="1"/>
  <c r="X190" i="71"/>
  <c r="Y190" i="71" s="1"/>
  <c r="X254" i="71"/>
  <c r="Y254" i="71" s="1"/>
  <c r="X318" i="71"/>
  <c r="Y318" i="71" s="1"/>
  <c r="X382" i="71"/>
  <c r="Y382" i="71" s="1"/>
  <c r="X145" i="71"/>
  <c r="Y145" i="71" s="1"/>
  <c r="X209" i="71"/>
  <c r="Y209" i="71" s="1"/>
  <c r="X273" i="71"/>
  <c r="Y273" i="71" s="1"/>
  <c r="X337" i="71"/>
  <c r="Y337" i="71" s="1"/>
  <c r="X401" i="71"/>
  <c r="Y401" i="71" s="1"/>
  <c r="X170" i="71"/>
  <c r="Y170" i="71" s="1"/>
  <c r="X234" i="71"/>
  <c r="Y234" i="71" s="1"/>
  <c r="X298" i="71"/>
  <c r="Y298" i="71" s="1"/>
  <c r="X362" i="71"/>
  <c r="Y362" i="71" s="1"/>
  <c r="X426" i="71"/>
  <c r="Y426" i="71" s="1"/>
  <c r="X467" i="71"/>
  <c r="Y467" i="71" s="1"/>
  <c r="X512" i="71"/>
  <c r="Y512" i="71" s="1"/>
  <c r="X436" i="71"/>
  <c r="Y436" i="71" s="1"/>
  <c r="X507" i="71"/>
  <c r="Y507" i="71" s="1"/>
  <c r="X517" i="71"/>
  <c r="Y517" i="71" s="1"/>
  <c r="X453" i="71"/>
  <c r="Y453" i="71" s="1"/>
  <c r="X335" i="71"/>
  <c r="Y335" i="71" s="1"/>
  <c r="X207" i="71"/>
  <c r="Y207" i="71" s="1"/>
  <c r="X123" i="71"/>
  <c r="Y123" i="71" s="1"/>
  <c r="X61" i="71"/>
  <c r="Y61" i="71" s="1"/>
  <c r="X466" i="71"/>
  <c r="Y466" i="71" s="1"/>
  <c r="X324" i="71"/>
  <c r="Y324" i="71" s="1"/>
  <c r="X132" i="71"/>
  <c r="Y132" i="71" s="1"/>
  <c r="X463" i="71"/>
  <c r="Y463" i="71" s="1"/>
  <c r="X476" i="71"/>
  <c r="Y476" i="71" s="1"/>
  <c r="X479" i="71"/>
  <c r="Y479" i="71" s="1"/>
  <c r="X497" i="71"/>
  <c r="Y497" i="71" s="1"/>
  <c r="X428" i="71"/>
  <c r="Y428" i="71" s="1"/>
  <c r="X412" i="71"/>
  <c r="Y412" i="71" s="1"/>
  <c r="X236" i="71"/>
  <c r="Y236" i="71" s="1"/>
  <c r="X157" i="71"/>
  <c r="Y157" i="71" s="1"/>
  <c r="X221" i="71"/>
  <c r="Y221" i="71" s="1"/>
  <c r="X285" i="71"/>
  <c r="Y285" i="71" s="1"/>
  <c r="X349" i="71"/>
  <c r="Y349" i="71" s="1"/>
  <c r="X413" i="71"/>
  <c r="Y413" i="71" s="1"/>
  <c r="X160" i="71"/>
  <c r="Y160" i="71" s="1"/>
  <c r="X224" i="71"/>
  <c r="Y224" i="71" s="1"/>
  <c r="X288" i="71"/>
  <c r="Y288" i="71" s="1"/>
  <c r="X352" i="71"/>
  <c r="Y352" i="71" s="1"/>
  <c r="X416" i="71"/>
  <c r="Y416" i="71" s="1"/>
  <c r="X187" i="71"/>
  <c r="Y187" i="71" s="1"/>
  <c r="X251" i="71"/>
  <c r="Y251" i="71" s="1"/>
  <c r="X315" i="71"/>
  <c r="Y315" i="71" s="1"/>
  <c r="X379" i="71"/>
  <c r="Y379" i="71" s="1"/>
  <c r="X134" i="71"/>
  <c r="Y134" i="71" s="1"/>
  <c r="X198" i="71"/>
  <c r="Y198" i="71" s="1"/>
  <c r="X262" i="71"/>
  <c r="Y262" i="71" s="1"/>
  <c r="X326" i="71"/>
  <c r="Y326" i="71" s="1"/>
  <c r="X390" i="71"/>
  <c r="Y390" i="71" s="1"/>
  <c r="X153" i="71"/>
  <c r="Y153" i="71" s="1"/>
  <c r="X217" i="71"/>
  <c r="Y217" i="71" s="1"/>
  <c r="X281" i="71"/>
  <c r="Y281" i="71" s="1"/>
  <c r="X345" i="71"/>
  <c r="Y345" i="71" s="1"/>
  <c r="X409" i="71"/>
  <c r="Y409" i="71" s="1"/>
  <c r="X178" i="71"/>
  <c r="Y178" i="71" s="1"/>
  <c r="X242" i="71"/>
  <c r="Y242" i="71" s="1"/>
  <c r="X306" i="71"/>
  <c r="Y306" i="71" s="1"/>
  <c r="X370" i="71"/>
  <c r="Y370" i="71" s="1"/>
  <c r="X434" i="71"/>
  <c r="Y434" i="71" s="1"/>
  <c r="X448" i="71"/>
  <c r="Y448" i="71" s="1"/>
  <c r="X504" i="71"/>
  <c r="Y504" i="71" s="1"/>
  <c r="X433" i="71"/>
  <c r="Y433" i="71" s="1"/>
  <c r="X483" i="71"/>
  <c r="Y483" i="71" s="1"/>
  <c r="X509" i="71"/>
  <c r="Y509" i="71" s="1"/>
  <c r="X447" i="71"/>
  <c r="Y447" i="71" s="1"/>
  <c r="X319" i="71"/>
  <c r="Y319" i="71" s="1"/>
  <c r="X438" i="71"/>
  <c r="Y438" i="71" s="1"/>
  <c r="X308" i="71"/>
  <c r="Y308" i="71" s="1"/>
  <c r="X530" i="71"/>
  <c r="Y530" i="71" s="1"/>
  <c r="X556" i="71"/>
  <c r="Y556" i="71" s="1"/>
  <c r="X460" i="71"/>
  <c r="Y460" i="71" s="1"/>
  <c r="X455" i="71"/>
  <c r="Y455" i="71" s="1"/>
  <c r="X489" i="71"/>
  <c r="Y489" i="71" s="1"/>
  <c r="X515" i="71"/>
  <c r="Y515" i="71" s="1"/>
  <c r="X396" i="71"/>
  <c r="Y396" i="71" s="1"/>
  <c r="X220" i="71"/>
  <c r="Y220" i="71" s="1"/>
  <c r="X165" i="71"/>
  <c r="Y165" i="71" s="1"/>
  <c r="X229" i="71"/>
  <c r="Y229" i="71" s="1"/>
  <c r="X293" i="71"/>
  <c r="Y293" i="71" s="1"/>
  <c r="X357" i="71"/>
  <c r="Y357" i="71" s="1"/>
  <c r="X421" i="71"/>
  <c r="Y421" i="71" s="1"/>
  <c r="X168" i="71"/>
  <c r="Y168" i="71" s="1"/>
  <c r="X232" i="71"/>
  <c r="Y232" i="71" s="1"/>
  <c r="X296" i="71"/>
  <c r="Y296" i="71" s="1"/>
  <c r="X360" i="71"/>
  <c r="Y360" i="71" s="1"/>
  <c r="X131" i="71"/>
  <c r="Y131" i="71" s="1"/>
  <c r="X195" i="71"/>
  <c r="Y195" i="71" s="1"/>
  <c r="X259" i="71"/>
  <c r="Y259" i="71" s="1"/>
  <c r="X323" i="71"/>
  <c r="Y323" i="71" s="1"/>
  <c r="X387" i="71"/>
  <c r="Y387" i="71" s="1"/>
  <c r="X142" i="71"/>
  <c r="Y142" i="71" s="1"/>
  <c r="X206" i="71"/>
  <c r="Y206" i="71" s="1"/>
  <c r="X270" i="71"/>
  <c r="Y270" i="71" s="1"/>
  <c r="X334" i="71"/>
  <c r="Y334" i="71" s="1"/>
  <c r="X398" i="71"/>
  <c r="Y398" i="71" s="1"/>
  <c r="X161" i="71"/>
  <c r="Y161" i="71" s="1"/>
  <c r="X225" i="71"/>
  <c r="Y225" i="71" s="1"/>
  <c r="X289" i="71"/>
  <c r="Y289" i="71" s="1"/>
  <c r="X353" i="71"/>
  <c r="Y353" i="71" s="1"/>
  <c r="X122" i="71"/>
  <c r="Y122" i="71" s="1"/>
  <c r="X186" i="71"/>
  <c r="Y186" i="71" s="1"/>
  <c r="X250" i="71"/>
  <c r="Y250" i="71" s="1"/>
  <c r="X314" i="71"/>
  <c r="Y314" i="71" s="1"/>
  <c r="X378" i="71"/>
  <c r="Y378" i="71" s="1"/>
  <c r="X442" i="71"/>
  <c r="Y442" i="71" s="1"/>
  <c r="X519" i="71"/>
  <c r="Y519" i="71" s="1"/>
  <c r="X276" i="71"/>
  <c r="Y276" i="71" s="1"/>
  <c r="X514" i="71"/>
  <c r="Y514" i="71" s="1"/>
  <c r="X548" i="71"/>
  <c r="Y548" i="71" s="1"/>
  <c r="X452" i="71"/>
  <c r="Y452" i="71" s="1"/>
  <c r="X561" i="71"/>
  <c r="Y561" i="71" s="1"/>
  <c r="X481" i="71"/>
  <c r="Y481" i="71" s="1"/>
  <c r="X491" i="71"/>
  <c r="Y491" i="71" s="1"/>
  <c r="X364" i="71"/>
  <c r="Y364" i="71" s="1"/>
  <c r="X204" i="71"/>
  <c r="Y204" i="71" s="1"/>
  <c r="X173" i="71"/>
  <c r="Y173" i="71" s="1"/>
  <c r="X237" i="71"/>
  <c r="Y237" i="71" s="1"/>
  <c r="X301" i="71"/>
  <c r="Y301" i="71" s="1"/>
  <c r="X365" i="71"/>
  <c r="Y365" i="71" s="1"/>
  <c r="X429" i="71"/>
  <c r="Y429" i="71" s="1"/>
  <c r="X176" i="71"/>
  <c r="Y176" i="71" s="1"/>
  <c r="X240" i="71"/>
  <c r="Y240" i="71" s="1"/>
  <c r="X304" i="71"/>
  <c r="Y304" i="71" s="1"/>
  <c r="X368" i="71"/>
  <c r="Y368" i="71" s="1"/>
  <c r="X139" i="71"/>
  <c r="Y139" i="71" s="1"/>
  <c r="X203" i="71"/>
  <c r="Y203" i="71" s="1"/>
  <c r="X267" i="71"/>
  <c r="Y267" i="71" s="1"/>
  <c r="X331" i="71"/>
  <c r="Y331" i="71" s="1"/>
  <c r="X395" i="71"/>
  <c r="Y395" i="71" s="1"/>
  <c r="X150" i="71"/>
  <c r="Y150" i="71" s="1"/>
  <c r="X214" i="71"/>
  <c r="Y214" i="71" s="1"/>
  <c r="X278" i="71"/>
  <c r="Y278" i="71" s="1"/>
  <c r="X342" i="71"/>
  <c r="Y342" i="71" s="1"/>
  <c r="X406" i="71"/>
  <c r="Y406" i="71" s="1"/>
  <c r="X169" i="71"/>
  <c r="Y169" i="71" s="1"/>
  <c r="X233" i="71"/>
  <c r="Y233" i="71" s="1"/>
  <c r="X297" i="71"/>
  <c r="Y297" i="71" s="1"/>
  <c r="X361" i="71"/>
  <c r="Y361" i="71" s="1"/>
  <c r="X130" i="71"/>
  <c r="Y130" i="71" s="1"/>
  <c r="X194" i="71"/>
  <c r="Y194" i="71" s="1"/>
  <c r="X258" i="71"/>
  <c r="Y258" i="71" s="1"/>
  <c r="X322" i="71"/>
  <c r="Y322" i="71" s="1"/>
  <c r="X386" i="71"/>
  <c r="Y386" i="71" s="1"/>
  <c r="X450" i="71"/>
  <c r="Y450" i="71" s="1"/>
  <c r="X552" i="71"/>
  <c r="Y552" i="71" s="1"/>
  <c r="X488" i="71"/>
  <c r="Y488" i="71" s="1"/>
  <c r="X427" i="71"/>
  <c r="Y427" i="71" s="1"/>
  <c r="X557" i="71"/>
  <c r="Y557" i="71" s="1"/>
  <c r="X493" i="71"/>
  <c r="Y493" i="71" s="1"/>
  <c r="X420" i="71"/>
  <c r="Y420" i="71" s="1"/>
  <c r="X287" i="71"/>
  <c r="Y287" i="71" s="1"/>
  <c r="X159" i="71"/>
  <c r="Y159" i="71" s="1"/>
  <c r="X105" i="71"/>
  <c r="Y105" i="71" s="1"/>
  <c r="X13" i="71"/>
  <c r="Y13" i="71" s="1"/>
  <c r="X75" i="71"/>
  <c r="Y75" i="71" s="1"/>
  <c r="X11" i="71"/>
  <c r="Y11" i="71" s="1"/>
  <c r="X81" i="71"/>
  <c r="Y81" i="71" s="1"/>
  <c r="X17" i="71"/>
  <c r="Y17" i="71" s="1"/>
  <c r="X56" i="71"/>
  <c r="Y56" i="71" s="1"/>
  <c r="X87" i="71"/>
  <c r="Y87" i="71" s="1"/>
  <c r="X23" i="71"/>
  <c r="Y23" i="71" s="1"/>
  <c r="X64" i="71"/>
  <c r="Y64" i="71" s="1"/>
  <c r="X62" i="71"/>
  <c r="Y62" i="71" s="1"/>
  <c r="X69" i="71"/>
  <c r="Y69" i="71" s="1"/>
  <c r="X60" i="71"/>
  <c r="Y60" i="71" s="1"/>
  <c r="X388" i="71"/>
  <c r="Y388" i="71" s="1"/>
  <c r="X180" i="71"/>
  <c r="Y180" i="71" s="1"/>
  <c r="X503" i="71"/>
  <c r="Y503" i="71" s="1"/>
  <c r="X492" i="71"/>
  <c r="Y492" i="71" s="1"/>
  <c r="X458" i="71"/>
  <c r="Y458" i="71" s="1"/>
  <c r="X521" i="71"/>
  <c r="Y521" i="71" s="1"/>
  <c r="X437" i="71"/>
  <c r="Y437" i="71" s="1"/>
  <c r="X439" i="71"/>
  <c r="Y439" i="71" s="1"/>
  <c r="X284" i="71"/>
  <c r="Y284" i="71" s="1"/>
  <c r="X141" i="71"/>
  <c r="Y141" i="71" s="1"/>
  <c r="X205" i="71"/>
  <c r="Y205" i="71" s="1"/>
  <c r="X269" i="71"/>
  <c r="Y269" i="71" s="1"/>
  <c r="X333" i="71"/>
  <c r="Y333" i="71" s="1"/>
  <c r="X397" i="71"/>
  <c r="Y397" i="71" s="1"/>
  <c r="X144" i="71"/>
  <c r="Y144" i="71" s="1"/>
  <c r="X208" i="71"/>
  <c r="Y208" i="71" s="1"/>
  <c r="X272" i="71"/>
  <c r="Y272" i="71" s="1"/>
  <c r="X336" i="71"/>
  <c r="Y336" i="71" s="1"/>
  <c r="X400" i="71"/>
  <c r="Y400" i="71" s="1"/>
  <c r="X171" i="71"/>
  <c r="Y171" i="71" s="1"/>
  <c r="X235" i="71"/>
  <c r="Y235" i="71" s="1"/>
  <c r="X299" i="71"/>
  <c r="Y299" i="71" s="1"/>
  <c r="X363" i="71"/>
  <c r="Y363" i="71" s="1"/>
  <c r="X118" i="71"/>
  <c r="Y118" i="71" s="1"/>
  <c r="X182" i="71"/>
  <c r="Y182" i="71" s="1"/>
  <c r="X246" i="71"/>
  <c r="Y246" i="71" s="1"/>
  <c r="X310" i="71"/>
  <c r="Y310" i="71" s="1"/>
  <c r="X374" i="71"/>
  <c r="Y374" i="71" s="1"/>
  <c r="X137" i="71"/>
  <c r="Y137" i="71" s="1"/>
  <c r="X201" i="71"/>
  <c r="Y201" i="71" s="1"/>
  <c r="X265" i="71"/>
  <c r="Y265" i="71" s="1"/>
  <c r="X329" i="71"/>
  <c r="Y329" i="71" s="1"/>
  <c r="X393" i="71"/>
  <c r="Y393" i="71" s="1"/>
  <c r="X162" i="71"/>
  <c r="Y162" i="71" s="1"/>
  <c r="X226" i="71"/>
  <c r="Y226" i="71" s="1"/>
  <c r="X290" i="71"/>
  <c r="Y290" i="71" s="1"/>
  <c r="X354" i="71"/>
  <c r="Y354" i="71" s="1"/>
  <c r="X418" i="71"/>
  <c r="Y418" i="71" s="1"/>
  <c r="X499" i="71"/>
  <c r="Y499" i="71" s="1"/>
  <c r="X520" i="71"/>
  <c r="Y520" i="71" s="1"/>
  <c r="X456" i="71"/>
  <c r="Y456" i="71" s="1"/>
  <c r="X531" i="71"/>
  <c r="Y531" i="71" s="1"/>
  <c r="X525" i="71"/>
  <c r="Y525" i="71" s="1"/>
  <c r="X461" i="71"/>
  <c r="Y461" i="71" s="1"/>
  <c r="X351" i="71"/>
  <c r="Y351" i="71" s="1"/>
  <c r="X223" i="71"/>
  <c r="Y223" i="71" s="1"/>
  <c r="X113" i="71"/>
  <c r="Y113" i="71" s="1"/>
  <c r="X85" i="71"/>
  <c r="Y85" i="71" s="1"/>
  <c r="X44" i="71"/>
  <c r="Y44" i="71" s="1"/>
  <c r="X43" i="71"/>
  <c r="Y43" i="71" s="1"/>
  <c r="X42" i="71"/>
  <c r="Y42" i="71" s="1"/>
  <c r="X49" i="71"/>
  <c r="Y49" i="71" s="1"/>
  <c r="X74" i="71"/>
  <c r="Y74" i="71" s="1"/>
  <c r="X8" i="71"/>
  <c r="Y8" i="71" s="1"/>
  <c r="X55" i="71"/>
  <c r="Y55" i="71" s="1"/>
  <c r="X66" i="71"/>
  <c r="Y66" i="71" s="1"/>
  <c r="X94" i="71"/>
  <c r="Y94" i="71" s="1"/>
  <c r="X30" i="71"/>
  <c r="Y30" i="71" s="1"/>
  <c r="X77" i="71"/>
  <c r="Y77" i="71" s="1"/>
  <c r="X20" i="71"/>
  <c r="Y20" i="71" s="1"/>
  <c r="Y3" i="71"/>
  <c r="X129" i="71"/>
  <c r="Y129" i="71" s="1"/>
  <c r="X286" i="71"/>
  <c r="Y286" i="71" s="1"/>
  <c r="X411" i="71"/>
  <c r="Y411" i="71" s="1"/>
  <c r="X227" i="71"/>
  <c r="Y227" i="71" s="1"/>
  <c r="X376" i="71"/>
  <c r="Y376" i="71" s="1"/>
  <c r="X192" i="71"/>
  <c r="Y192" i="71" s="1"/>
  <c r="X325" i="71"/>
  <c r="Y325" i="71" s="1"/>
  <c r="X181" i="71"/>
  <c r="Y181" i="71" s="1"/>
  <c r="X451" i="71"/>
  <c r="Y451" i="71" s="1"/>
  <c r="X422" i="71"/>
  <c r="Y422" i="71" s="1"/>
  <c r="X474" i="71"/>
  <c r="Y474" i="71" s="1"/>
  <c r="X403" i="71"/>
  <c r="Y403" i="71" s="1"/>
  <c r="X219" i="71"/>
  <c r="Y219" i="71" s="1"/>
  <c r="X328" i="71"/>
  <c r="Y328" i="71" s="1"/>
  <c r="X184" i="71"/>
  <c r="Y184" i="71" s="1"/>
  <c r="X317" i="71"/>
  <c r="Y317" i="71" s="1"/>
  <c r="X140" i="71"/>
  <c r="Y140" i="71" s="1"/>
  <c r="X475" i="71"/>
  <c r="Y475" i="71" s="1"/>
  <c r="X425" i="71"/>
  <c r="Y425" i="71" s="1"/>
  <c r="X196" i="71"/>
  <c r="Y196" i="71" s="1"/>
  <c r="X533" i="71"/>
  <c r="Y533" i="71" s="1"/>
  <c r="X464" i="71"/>
  <c r="Y464" i="71" s="1"/>
  <c r="X523" i="71"/>
  <c r="Y523" i="71" s="1"/>
  <c r="X330" i="71"/>
  <c r="Y330" i="71" s="1"/>
  <c r="X146" i="71"/>
  <c r="Y146" i="71" s="1"/>
  <c r="X257" i="71"/>
  <c r="Y257" i="71" s="1"/>
  <c r="X414" i="71"/>
  <c r="Y414" i="71" s="1"/>
  <c r="X230" i="71"/>
  <c r="Y230" i="71" s="1"/>
  <c r="X355" i="71"/>
  <c r="Y355" i="71" s="1"/>
  <c r="X211" i="71"/>
  <c r="Y211" i="71" s="1"/>
  <c r="X320" i="71"/>
  <c r="Y320" i="71" s="1"/>
  <c r="X136" i="71"/>
  <c r="Y136" i="71" s="1"/>
  <c r="X309" i="71"/>
  <c r="Y309" i="71" s="1"/>
  <c r="X156" i="71"/>
  <c r="Y156" i="71" s="1"/>
  <c r="X443" i="71"/>
  <c r="Y443" i="71" s="1"/>
  <c r="X449" i="71"/>
  <c r="Y449" i="71" s="1"/>
  <c r="X212" i="71"/>
  <c r="Y212" i="71" s="1"/>
  <c r="X172" i="71"/>
  <c r="Y172" i="71" s="1"/>
  <c r="X457" i="71"/>
  <c r="Y457" i="71" s="1"/>
  <c r="X508" i="71"/>
  <c r="Y508" i="71" s="1"/>
  <c r="X562" i="71"/>
  <c r="Y562" i="71" s="1"/>
  <c r="X498" i="71"/>
  <c r="Y498" i="71" s="1"/>
  <c r="X4" i="71"/>
  <c r="Y4" i="71" s="1"/>
  <c r="X151" i="71"/>
  <c r="Y151" i="71" s="1"/>
  <c r="X167" i="71"/>
  <c r="Y167" i="71" s="1"/>
  <c r="X215" i="71"/>
  <c r="Y215" i="71" s="1"/>
  <c r="X343" i="71"/>
  <c r="Y343" i="71" s="1"/>
  <c r="X231" i="71"/>
  <c r="Y231" i="71" s="1"/>
  <c r="X359" i="71"/>
  <c r="Y359" i="71" s="1"/>
  <c r="X486" i="71"/>
  <c r="Y486" i="71" s="1"/>
  <c r="X550" i="71"/>
  <c r="Y550" i="71" s="1"/>
  <c r="X247" i="71"/>
  <c r="Y247" i="71" s="1"/>
  <c r="X375" i="71"/>
  <c r="Y375" i="71" s="1"/>
  <c r="X494" i="71"/>
  <c r="Y494" i="71" s="1"/>
  <c r="X112" i="71"/>
  <c r="Y112" i="71" s="1"/>
  <c r="X263" i="71"/>
  <c r="Y263" i="71" s="1"/>
  <c r="X135" i="71"/>
  <c r="Y135" i="71" s="1"/>
  <c r="X279" i="71"/>
  <c r="Y279" i="71" s="1"/>
  <c r="X407" i="71"/>
  <c r="Y407" i="71" s="1"/>
  <c r="X510" i="71"/>
  <c r="Y510" i="71" s="1"/>
  <c r="X295" i="71"/>
  <c r="Y295" i="71" s="1"/>
  <c r="X415" i="71"/>
  <c r="Y415" i="71" s="1"/>
  <c r="X454" i="71"/>
  <c r="Y454" i="71" s="1"/>
  <c r="X518" i="71"/>
  <c r="Y518" i="71" s="1"/>
  <c r="X107" i="71"/>
  <c r="Y107" i="71" s="1"/>
  <c r="X183" i="71"/>
  <c r="Y183" i="71" s="1"/>
  <c r="X199" i="71"/>
  <c r="Y199" i="71" s="1"/>
  <c r="X327" i="71"/>
  <c r="Y327" i="71" s="1"/>
  <c r="X470" i="71"/>
  <c r="Y470" i="71" s="1"/>
  <c r="X534" i="71"/>
  <c r="Y534" i="71" s="1"/>
  <c r="X502" i="71"/>
  <c r="Y502" i="71" s="1"/>
  <c r="X558" i="71"/>
  <c r="Y558" i="71" s="1"/>
  <c r="X111" i="71"/>
  <c r="Y111" i="71" s="1"/>
  <c r="X5" i="71"/>
  <c r="Y5" i="71" s="1"/>
  <c r="X566" i="71"/>
  <c r="Y566" i="71" s="1"/>
  <c r="X478" i="71"/>
  <c r="Y478" i="71" s="1"/>
  <c r="X311" i="71"/>
  <c r="Y311" i="71" s="1"/>
  <c r="X391" i="71"/>
  <c r="Y391" i="71" s="1"/>
  <c r="X526" i="71"/>
  <c r="Y526" i="71" s="1"/>
  <c r="X103" i="71"/>
  <c r="Y103" i="71" s="1"/>
  <c r="X542" i="71"/>
  <c r="Y542" i="71" s="1"/>
  <c r="X104" i="71"/>
  <c r="Y104" i="71" s="1"/>
  <c r="X462" i="71"/>
  <c r="Y462" i="71" s="1"/>
  <c r="X106" i="71"/>
  <c r="Y106" i="71" s="1"/>
  <c r="X546" i="71"/>
  <c r="Y546" i="71" s="1"/>
  <c r="X506" i="71"/>
  <c r="Y506" i="71" s="1"/>
  <c r="X108" i="71"/>
  <c r="Y108" i="71" s="1"/>
  <c r="AD19" i="71"/>
  <c r="AD27" i="71"/>
  <c r="AC3" i="71"/>
  <c r="AD3" i="71" s="1"/>
  <c r="AD12" i="71"/>
  <c r="AD20" i="71"/>
  <c r="AD29" i="71"/>
  <c r="AD15" i="71"/>
  <c r="AD8" i="71"/>
  <c r="AD16" i="71"/>
  <c r="AD24" i="71"/>
  <c r="AD17" i="71"/>
  <c r="AD25" i="71"/>
  <c r="AD18" i="71"/>
  <c r="AD22" i="71"/>
  <c r="X538" i="71"/>
  <c r="Y538" i="71" s="1"/>
  <c r="X124" i="71"/>
  <c r="Y124" i="71" s="1"/>
  <c r="X482" i="71"/>
  <c r="Y482" i="71" s="1"/>
  <c r="X12" i="71"/>
  <c r="Y12" i="71" s="1"/>
  <c r="I14" i="71"/>
  <c r="M14" i="71" s="1"/>
  <c r="I20" i="71"/>
  <c r="M20" i="71" s="1"/>
  <c r="F13" i="71"/>
  <c r="I13" i="71" s="1"/>
  <c r="M13" i="71" s="1"/>
  <c r="P14" i="72"/>
  <c r="D96" i="73"/>
  <c r="E97" i="73"/>
  <c r="E96" i="73"/>
  <c r="D97" i="73"/>
  <c r="E94" i="73"/>
  <c r="E93" i="73"/>
  <c r="D94" i="73"/>
  <c r="D93" i="73"/>
  <c r="D73" i="73"/>
  <c r="D72" i="73"/>
  <c r="D81" i="73"/>
  <c r="D80" i="73"/>
  <c r="E81" i="73"/>
  <c r="E80" i="73"/>
  <c r="E73" i="73"/>
  <c r="E72" i="73"/>
  <c r="E59" i="73"/>
  <c r="E58" i="73"/>
  <c r="D59" i="73"/>
  <c r="D58" i="73"/>
  <c r="E50" i="73"/>
  <c r="E45" i="73" s="1"/>
  <c r="E49" i="73"/>
  <c r="E44" i="73" s="1"/>
  <c r="D45" i="73"/>
  <c r="D44" i="73"/>
  <c r="F36" i="73"/>
  <c r="E29" i="73"/>
  <c r="E27" i="73" s="1"/>
  <c r="E5" i="73" s="1"/>
  <c r="G53" i="71" l="1"/>
  <c r="G54" i="71"/>
  <c r="G55" i="71"/>
  <c r="G56" i="71"/>
  <c r="G57" i="71"/>
  <c r="G50" i="71"/>
  <c r="G51" i="71"/>
  <c r="G52" i="71"/>
  <c r="E36" i="73"/>
  <c r="G49" i="71"/>
  <c r="E37" i="73"/>
  <c r="AD168" i="71"/>
  <c r="AD141" i="71"/>
  <c r="AD209" i="71"/>
  <c r="AD106" i="71"/>
  <c r="AD466" i="71"/>
  <c r="AD364" i="71"/>
  <c r="AD103" i="71"/>
  <c r="AD562" i="71"/>
  <c r="AD443" i="71"/>
  <c r="AD212" i="71"/>
  <c r="AD46" i="71"/>
  <c r="AD324" i="71"/>
  <c r="AD114" i="71"/>
  <c r="AD341" i="71"/>
  <c r="AD220" i="71"/>
  <c r="AD129" i="71"/>
  <c r="AD115" i="71"/>
  <c r="AD303" i="71"/>
  <c r="AD157" i="71"/>
  <c r="AD468" i="71"/>
  <c r="AD172" i="71"/>
  <c r="AD252" i="71"/>
  <c r="AD391" i="71"/>
  <c r="AD238" i="71"/>
  <c r="AD348" i="71"/>
  <c r="AD130" i="71"/>
  <c r="AD351" i="71"/>
  <c r="AD492" i="71"/>
  <c r="AD131" i="71"/>
  <c r="AD477" i="71"/>
  <c r="AD408" i="71"/>
  <c r="AD484" i="71"/>
  <c r="AD54" i="71"/>
  <c r="AD223" i="71"/>
  <c r="AD411" i="71"/>
  <c r="AD222" i="71"/>
  <c r="AD205" i="71"/>
  <c r="AD56" i="71"/>
  <c r="AD450" i="71"/>
  <c r="AD101" i="71"/>
  <c r="AD471" i="71"/>
  <c r="AD326" i="71"/>
  <c r="AD410" i="71"/>
  <c r="AD290" i="71"/>
  <c r="AD268" i="71"/>
  <c r="AD259" i="71"/>
  <c r="AD459" i="71"/>
  <c r="AD174" i="71"/>
  <c r="AD404" i="71"/>
  <c r="AD112" i="71"/>
  <c r="AD79" i="71"/>
  <c r="AD144" i="71"/>
  <c r="AD418" i="71"/>
  <c r="AD137" i="71"/>
  <c r="AD462" i="71"/>
  <c r="AD286" i="71"/>
  <c r="AD424" i="71"/>
  <c r="AD360" i="71"/>
  <c r="AD214" i="71"/>
  <c r="AD146" i="71"/>
  <c r="AD335" i="71"/>
  <c r="AD480" i="71"/>
  <c r="AD246" i="71"/>
  <c r="AD263" i="71"/>
  <c r="AD78" i="71"/>
  <c r="AD440" i="71"/>
  <c r="AD320" i="71"/>
  <c r="AD441" i="71"/>
  <c r="AD228" i="71"/>
  <c r="AD385" i="71"/>
  <c r="AD280" i="71"/>
  <c r="D29" i="71"/>
  <c r="AD527" i="71"/>
  <c r="AD379" i="71"/>
  <c r="AD295" i="71"/>
  <c r="AD249" i="71"/>
  <c r="AD98" i="71"/>
  <c r="AD119" i="71"/>
  <c r="AD261" i="71"/>
  <c r="AD182" i="71"/>
  <c r="AD59" i="71"/>
  <c r="AD266" i="71"/>
  <c r="AD254" i="71"/>
  <c r="AD127" i="71"/>
  <c r="AD381" i="71"/>
  <c r="AD511" i="71"/>
  <c r="AD521" i="71"/>
  <c r="AD395" i="71"/>
  <c r="AD509" i="71"/>
  <c r="AD311" i="71"/>
  <c r="AD321" i="71"/>
  <c r="AD528" i="71"/>
  <c r="AD104" i="71"/>
  <c r="AD154" i="71"/>
  <c r="AD164" i="71"/>
  <c r="AD166" i="71"/>
  <c r="AD554" i="71"/>
  <c r="AD367" i="71"/>
  <c r="AD45" i="71"/>
  <c r="AD551" i="71"/>
  <c r="AD561" i="71"/>
  <c r="AD435" i="71"/>
  <c r="AD69" i="71"/>
  <c r="AD346" i="71"/>
  <c r="AD420" i="71"/>
  <c r="AD555" i="71"/>
  <c r="AD376" i="71"/>
  <c r="AD242" i="71"/>
  <c r="AD262" i="71"/>
  <c r="AD237" i="71"/>
  <c r="AD63" i="71"/>
  <c r="AD407" i="71"/>
  <c r="AD417" i="71"/>
  <c r="AD291" i="71"/>
  <c r="AD200" i="71"/>
  <c r="AD284" i="71"/>
  <c r="AD247" i="71"/>
  <c r="AD41" i="71"/>
  <c r="AD413" i="71"/>
  <c r="AD386" i="71"/>
  <c r="AD460" i="71"/>
  <c r="AD470" i="71"/>
  <c r="AD416" i="71"/>
  <c r="AD406" i="71"/>
  <c r="AD421" i="71"/>
  <c r="AD414" i="71"/>
  <c r="AD377" i="71"/>
  <c r="AD565" i="71"/>
  <c r="AD81" i="71"/>
  <c r="AD552" i="71"/>
  <c r="AD373" i="71"/>
  <c r="AD118" i="71"/>
  <c r="AD520" i="71"/>
  <c r="AD357" i="71"/>
  <c r="AD110" i="71"/>
  <c r="AD488" i="71"/>
  <c r="AD309" i="71"/>
  <c r="AD139" i="71"/>
  <c r="AD260" i="71"/>
  <c r="AD95" i="71"/>
  <c r="AD155" i="71"/>
  <c r="AD232" i="71"/>
  <c r="AD92" i="71"/>
  <c r="AD163" i="71"/>
  <c r="AD473" i="71"/>
  <c r="AD125" i="71"/>
  <c r="AD317" i="71"/>
  <c r="AD340" i="71"/>
  <c r="AD257" i="71"/>
  <c r="AD479" i="71"/>
  <c r="AD476" i="71"/>
  <c r="AD438" i="71"/>
  <c r="AD134" i="71"/>
  <c r="AD519" i="71"/>
  <c r="AD541" i="71"/>
  <c r="AD153" i="71"/>
  <c r="AD187" i="71"/>
  <c r="AD171" i="71"/>
  <c r="AD289" i="71"/>
  <c r="AD399" i="71"/>
  <c r="AD44" i="71"/>
  <c r="AD231" i="71"/>
  <c r="AD202" i="71"/>
  <c r="AD179" i="71"/>
  <c r="AD447" i="71"/>
  <c r="AD457" i="71"/>
  <c r="AD331" i="71"/>
  <c r="AD434" i="71"/>
  <c r="AD508" i="71"/>
  <c r="AD518" i="71"/>
  <c r="AD464" i="71"/>
  <c r="AD40" i="71"/>
  <c r="AD90" i="71"/>
  <c r="AD100" i="71"/>
  <c r="AD102" i="71"/>
  <c r="AD490" i="71"/>
  <c r="AD564" i="71"/>
  <c r="AD278" i="71"/>
  <c r="AD487" i="71"/>
  <c r="AD497" i="71"/>
  <c r="AD371" i="71"/>
  <c r="AD50" i="71"/>
  <c r="AD282" i="71"/>
  <c r="AD356" i="71"/>
  <c r="AD491" i="71"/>
  <c r="AD312" i="71"/>
  <c r="AD173" i="71"/>
  <c r="AD175" i="71"/>
  <c r="AD177" i="71"/>
  <c r="AD37" i="71"/>
  <c r="AD343" i="71"/>
  <c r="AD353" i="71"/>
  <c r="AD560" i="71"/>
  <c r="AD136" i="71"/>
  <c r="AD186" i="71"/>
  <c r="AD196" i="71"/>
  <c r="AD453" i="71"/>
  <c r="AD349" i="71"/>
  <c r="AD322" i="71"/>
  <c r="AD396" i="71"/>
  <c r="AD531" i="71"/>
  <c r="AD352" i="71"/>
  <c r="AD281" i="71"/>
  <c r="AD305" i="71"/>
  <c r="AD293" i="71"/>
  <c r="AD507" i="71"/>
  <c r="AD162" i="71"/>
  <c r="AD271" i="71"/>
  <c r="AD296" i="71"/>
  <c r="AD191" i="71"/>
  <c r="AD219" i="71"/>
  <c r="AD264" i="71"/>
  <c r="AD183" i="71"/>
  <c r="AD39" i="71"/>
  <c r="AD256" i="71"/>
  <c r="AD159" i="71"/>
  <c r="AD99" i="71"/>
  <c r="AD128" i="71"/>
  <c r="AD188" i="71"/>
  <c r="AD333" i="71"/>
  <c r="AD478" i="71"/>
  <c r="AD269" i="71"/>
  <c r="AD62" i="71"/>
  <c r="AD61" i="71"/>
  <c r="AD152" i="71"/>
  <c r="AD158" i="71"/>
  <c r="AD397" i="71"/>
  <c r="AD546" i="71"/>
  <c r="AD276" i="71"/>
  <c r="AD58" i="71"/>
  <c r="AD403" i="71"/>
  <c r="AD207" i="71"/>
  <c r="AD88" i="71"/>
  <c r="AD124" i="71"/>
  <c r="AD82" i="71"/>
  <c r="AD277" i="71"/>
  <c r="AD43" i="71"/>
  <c r="AD383" i="71"/>
  <c r="AD393" i="71"/>
  <c r="AD267" i="71"/>
  <c r="AD370" i="71"/>
  <c r="AD444" i="71"/>
  <c r="AD454" i="71"/>
  <c r="AD400" i="71"/>
  <c r="AD374" i="71"/>
  <c r="AD389" i="71"/>
  <c r="AD382" i="71"/>
  <c r="AD38" i="71"/>
  <c r="AD426" i="71"/>
  <c r="AD500" i="71"/>
  <c r="AD67" i="71"/>
  <c r="AD423" i="71"/>
  <c r="AD433" i="71"/>
  <c r="AD307" i="71"/>
  <c r="AD47" i="71"/>
  <c r="AD543" i="71"/>
  <c r="AD553" i="71"/>
  <c r="AD427" i="71"/>
  <c r="AD248" i="71"/>
  <c r="AD109" i="71"/>
  <c r="AD111" i="71"/>
  <c r="AD113" i="71"/>
  <c r="AD227" i="71"/>
  <c r="AD540" i="71"/>
  <c r="AD550" i="71"/>
  <c r="AD496" i="71"/>
  <c r="AD72" i="71"/>
  <c r="AD122" i="71"/>
  <c r="AD132" i="71"/>
  <c r="AD198" i="71"/>
  <c r="AD75" i="71"/>
  <c r="AD258" i="71"/>
  <c r="AD332" i="71"/>
  <c r="AD467" i="71"/>
  <c r="AD288" i="71"/>
  <c r="AD213" i="71"/>
  <c r="AD215" i="71"/>
  <c r="AD217" i="71"/>
  <c r="AD251" i="71"/>
  <c r="AD405" i="71"/>
  <c r="AD126" i="71"/>
  <c r="AD224" i="71"/>
  <c r="AD461" i="71"/>
  <c r="AD52" i="71"/>
  <c r="AD216" i="71"/>
  <c r="AD279" i="71"/>
  <c r="AD60" i="71"/>
  <c r="AD192" i="71"/>
  <c r="AD244" i="71"/>
  <c r="AD35" i="71"/>
  <c r="D65" i="71" s="1"/>
  <c r="AD422" i="71"/>
  <c r="AD430" i="71"/>
  <c r="AD253" i="71"/>
  <c r="AD107" i="71"/>
  <c r="AD226" i="71"/>
  <c r="AD121" i="71"/>
  <c r="AD456" i="71"/>
  <c r="AD145" i="71"/>
  <c r="AD71" i="71"/>
  <c r="AD498" i="71"/>
  <c r="AD380" i="71"/>
  <c r="AD336" i="71"/>
  <c r="AD294" i="71"/>
  <c r="AD51" i="71"/>
  <c r="AD436" i="71"/>
  <c r="AD369" i="71"/>
  <c r="AD243" i="71"/>
  <c r="AD489" i="71"/>
  <c r="AD292" i="71"/>
  <c r="AD287" i="71"/>
  <c r="AD402" i="71"/>
  <c r="AD486" i="71"/>
  <c r="AD68" i="71"/>
  <c r="AD529" i="71"/>
  <c r="AD151" i="71"/>
  <c r="AD96" i="71"/>
  <c r="AD64" i="71"/>
  <c r="AD225" i="71"/>
  <c r="AD392" i="71"/>
  <c r="AD245" i="71"/>
  <c r="AD445" i="71"/>
  <c r="AD506" i="71"/>
  <c r="AD319" i="71"/>
  <c r="AD329" i="71"/>
  <c r="AD536" i="71"/>
  <c r="AD306" i="71"/>
  <c r="AD515" i="71"/>
  <c r="AD270" i="71"/>
  <c r="AD265" i="71"/>
  <c r="AD362" i="71"/>
  <c r="AD359" i="71"/>
  <c r="AD285" i="71"/>
  <c r="AD363" i="71"/>
  <c r="AD49" i="71"/>
  <c r="AD432" i="71"/>
  <c r="AD147" i="71"/>
  <c r="AD149" i="71"/>
  <c r="AD328" i="71"/>
  <c r="AD156" i="71"/>
  <c r="AD148" i="71"/>
  <c r="AD221" i="71"/>
  <c r="AD176" i="71"/>
  <c r="AD446" i="71"/>
  <c r="AD442" i="71"/>
  <c r="AD516" i="71"/>
  <c r="AD526" i="71"/>
  <c r="AD472" i="71"/>
  <c r="AD567" i="71"/>
  <c r="AD316" i="71"/>
  <c r="AD451" i="71"/>
  <c r="AD272" i="71"/>
  <c r="AD197" i="71"/>
  <c r="AD199" i="71"/>
  <c r="AD201" i="71"/>
  <c r="AD429" i="71"/>
  <c r="AD298" i="71"/>
  <c r="AD372" i="71"/>
  <c r="AD482" i="71"/>
  <c r="AD556" i="71"/>
  <c r="AD566" i="71"/>
  <c r="AD512" i="71"/>
  <c r="AD91" i="71"/>
  <c r="AD415" i="71"/>
  <c r="AD425" i="71"/>
  <c r="AD299" i="71"/>
  <c r="AD208" i="71"/>
  <c r="AD194" i="71"/>
  <c r="AD204" i="71"/>
  <c r="AD485" i="71"/>
  <c r="AD338" i="71"/>
  <c r="AD412" i="71"/>
  <c r="AD547" i="71"/>
  <c r="AD368" i="71"/>
  <c r="AD310" i="71"/>
  <c r="AD325" i="71"/>
  <c r="AD318" i="71"/>
  <c r="AD70" i="71"/>
  <c r="AD36" i="71"/>
  <c r="AD455" i="71"/>
  <c r="AD465" i="71"/>
  <c r="AD339" i="71"/>
  <c r="AD239" i="71"/>
  <c r="AD85" i="71"/>
  <c r="AD557" i="71"/>
  <c r="AD89" i="71"/>
  <c r="AD236" i="71"/>
  <c r="AD525" i="71"/>
  <c r="AD458" i="71"/>
  <c r="AD358" i="71"/>
  <c r="AD366" i="71"/>
  <c r="AD394" i="71"/>
  <c r="AD342" i="71"/>
  <c r="AD350" i="71"/>
  <c r="AD330" i="71"/>
  <c r="AD302" i="71"/>
  <c r="AD297" i="71"/>
  <c r="AD409" i="71"/>
  <c r="AD93" i="71"/>
  <c r="AD97" i="71"/>
  <c r="AD549" i="71"/>
  <c r="AD510" i="71"/>
  <c r="AD273" i="71"/>
  <c r="AD86" i="71"/>
  <c r="AD74" i="71"/>
  <c r="AD83" i="71"/>
  <c r="AD211" i="71"/>
  <c r="AD347" i="71"/>
  <c r="AD55" i="71"/>
  <c r="AD87" i="71"/>
  <c r="AD463" i="71"/>
  <c r="AD517" i="71"/>
  <c r="AD314" i="71"/>
  <c r="AD388" i="71"/>
  <c r="AD523" i="71"/>
  <c r="AD344" i="71"/>
  <c r="AD439" i="71"/>
  <c r="AD449" i="71"/>
  <c r="AD323" i="71"/>
  <c r="AD233" i="71"/>
  <c r="AD533" i="71"/>
  <c r="AD493" i="71"/>
  <c r="AD73" i="71"/>
  <c r="AD42" i="71"/>
  <c r="AD495" i="71"/>
  <c r="AD505" i="71"/>
  <c r="AD354" i="71"/>
  <c r="AD428" i="71"/>
  <c r="AD563" i="71"/>
  <c r="AD384" i="71"/>
  <c r="AD474" i="71"/>
  <c r="AD548" i="71"/>
  <c r="AD558" i="71"/>
  <c r="AD504" i="71"/>
  <c r="AD80" i="71"/>
  <c r="AD66" i="71"/>
  <c r="AD76" i="71"/>
  <c r="AD142" i="71"/>
  <c r="AD535" i="71"/>
  <c r="AD545" i="71"/>
  <c r="AD419" i="71"/>
  <c r="AD240" i="71"/>
  <c r="AD165" i="71"/>
  <c r="AD167" i="71"/>
  <c r="AD169" i="71"/>
  <c r="AD77" i="71"/>
  <c r="AD514" i="71"/>
  <c r="AD327" i="71"/>
  <c r="AD337" i="71"/>
  <c r="AD544" i="71"/>
  <c r="AD120" i="71"/>
  <c r="AD170" i="71"/>
  <c r="AD180" i="71"/>
  <c r="AD522" i="71"/>
  <c r="AD390" i="71"/>
  <c r="AD398" i="71"/>
  <c r="AD345" i="71"/>
  <c r="AD501" i="71"/>
  <c r="AD65" i="71"/>
  <c r="AD313" i="71"/>
  <c r="AD469" i="71"/>
  <c r="AD57" i="71"/>
  <c r="AD542" i="71"/>
  <c r="AD255" i="71"/>
  <c r="AD190" i="71"/>
  <c r="AD283" i="71"/>
  <c r="AD437" i="71"/>
  <c r="AD150" i="71"/>
  <c r="AD143" i="71"/>
  <c r="AD195" i="71"/>
  <c r="AD48" i="71"/>
  <c r="AD229" i="71"/>
  <c r="AD117" i="71"/>
  <c r="AD539" i="71"/>
  <c r="AD185" i="71"/>
  <c r="AD189" i="71"/>
  <c r="AD300" i="71"/>
  <c r="AD275" i="71"/>
  <c r="AD123" i="71"/>
  <c r="AD304" i="71"/>
  <c r="AD206" i="71"/>
  <c r="AD235" i="71"/>
  <c r="AD448" i="71"/>
  <c r="AD308" i="71"/>
  <c r="AD135" i="71"/>
  <c r="AD513" i="71"/>
  <c r="AD452" i="71"/>
  <c r="AD481" i="71"/>
  <c r="AD178" i="71"/>
  <c r="AD193" i="71"/>
  <c r="AD184" i="71"/>
  <c r="AD274" i="71"/>
  <c r="AD538" i="71"/>
  <c r="AD387" i="71"/>
  <c r="AD365" i="71"/>
  <c r="AD53" i="71"/>
  <c r="AD315" i="71"/>
  <c r="AD537" i="71"/>
  <c r="AD108" i="71"/>
  <c r="AD210" i="71"/>
  <c r="AD94" i="71"/>
  <c r="AD138" i="71"/>
  <c r="AD475" i="71"/>
  <c r="AD116" i="71"/>
  <c r="AD534" i="71"/>
  <c r="AD105" i="71"/>
  <c r="AD355" i="71"/>
  <c r="AD334" i="71"/>
  <c r="AD494" i="71"/>
  <c r="AD499" i="71"/>
  <c r="AD431" i="71"/>
  <c r="AD218" i="71"/>
  <c r="AD375" i="71"/>
  <c r="AD250" i="71"/>
  <c r="AD524" i="71"/>
  <c r="AD230" i="71"/>
  <c r="AD203" i="71"/>
  <c r="AD530" i="71"/>
  <c r="AD160" i="71"/>
  <c r="AD301" i="71"/>
  <c r="AD84" i="71"/>
  <c r="AD161" i="71"/>
  <c r="AD181" i="71"/>
  <c r="AD532" i="71"/>
  <c r="AD241" i="71"/>
  <c r="AD401" i="71"/>
  <c r="AD234" i="71"/>
  <c r="AD483" i="71"/>
  <c r="AD140" i="71"/>
  <c r="AD361" i="71"/>
  <c r="AD502" i="71"/>
  <c r="AD559" i="71"/>
  <c r="AD133" i="71"/>
  <c r="AD503" i="71"/>
  <c r="AD378" i="71"/>
  <c r="K14" i="71"/>
  <c r="L14" i="71" s="1"/>
  <c r="E26" i="73"/>
  <c r="E4" i="73" s="1"/>
  <c r="I11" i="72"/>
  <c r="K11" i="72"/>
  <c r="L11" i="72"/>
  <c r="J12" i="72"/>
  <c r="L13" i="72"/>
  <c r="D10" i="72"/>
  <c r="E10" i="72"/>
  <c r="F10" i="72"/>
  <c r="G10" i="72"/>
  <c r="H10" i="72"/>
  <c r="I10" i="72"/>
  <c r="C10" i="72"/>
  <c r="D4" i="72"/>
  <c r="E4" i="72" s="1"/>
  <c r="J4" i="72" s="1"/>
  <c r="J11" i="72" s="1"/>
  <c r="Q6" i="72"/>
  <c r="P6" i="72"/>
  <c r="P7" i="72"/>
  <c r="Q7" i="72"/>
  <c r="C11" i="72" l="1"/>
  <c r="E11" i="72"/>
  <c r="D11" i="72"/>
  <c r="F4" i="72"/>
  <c r="F5" i="72" s="1"/>
  <c r="L57" i="71"/>
  <c r="L49" i="71"/>
  <c r="L56" i="71" l="1"/>
  <c r="L50" i="71"/>
  <c r="F6" i="72"/>
  <c r="F13" i="72" s="1"/>
  <c r="F12" i="72"/>
  <c r="G4" i="72"/>
  <c r="F11" i="72"/>
  <c r="G11" i="72" l="1"/>
  <c r="H4" i="72"/>
  <c r="G5" i="72"/>
  <c r="G6" i="72" l="1"/>
  <c r="G13" i="72" s="1"/>
  <c r="G12" i="72"/>
  <c r="H5" i="72"/>
  <c r="H11" i="72"/>
  <c r="I5" i="72" l="1"/>
  <c r="I12" i="72" s="1"/>
  <c r="H12" i="72"/>
  <c r="E5" i="72"/>
  <c r="H6" i="72"/>
  <c r="H13" i="72" l="1"/>
  <c r="I6" i="72"/>
  <c r="I13" i="72" s="1"/>
  <c r="E6" i="72"/>
  <c r="D5" i="72"/>
  <c r="E12" i="72"/>
  <c r="C5" i="72" l="1"/>
  <c r="D12" i="72"/>
  <c r="E13" i="72"/>
  <c r="J6" i="72"/>
  <c r="D6" i="72"/>
  <c r="I13" i="68"/>
  <c r="I14" i="68"/>
  <c r="I15" i="68"/>
  <c r="I16" i="68"/>
  <c r="I17" i="68"/>
  <c r="I18" i="68"/>
  <c r="I19" i="68"/>
  <c r="I20" i="68"/>
  <c r="I21" i="68"/>
  <c r="I12" i="68"/>
  <c r="C12" i="72" l="1"/>
  <c r="K5" i="72"/>
  <c r="L5" i="72"/>
  <c r="C6" i="72"/>
  <c r="C13" i="72" s="1"/>
  <c r="D13" i="72"/>
  <c r="K6" i="72"/>
  <c r="K13" i="72" s="1"/>
  <c r="J13" i="72"/>
  <c r="G13" i="68"/>
  <c r="G14" i="68"/>
  <c r="G15" i="68"/>
  <c r="G16" i="68"/>
  <c r="G17" i="68"/>
  <c r="G18" i="68"/>
  <c r="G19" i="68"/>
  <c r="G20" i="68"/>
  <c r="G21" i="68"/>
  <c r="G12" i="68"/>
  <c r="F13" i="68"/>
  <c r="F14" i="68"/>
  <c r="F15" i="68"/>
  <c r="F16" i="68"/>
  <c r="F17" i="68"/>
  <c r="F18" i="68"/>
  <c r="F19" i="68"/>
  <c r="F20" i="68"/>
  <c r="F21" i="68"/>
  <c r="F12" i="68"/>
  <c r="K12" i="72" l="1"/>
  <c r="K8" i="72"/>
  <c r="L12" i="72"/>
  <c r="L8" i="72"/>
  <c r="K69" i="67" l="1"/>
  <c r="M69" i="67"/>
  <c r="M57" i="67"/>
  <c r="K31" i="67" l="1"/>
  <c r="J23" i="67"/>
  <c r="J24" i="67"/>
  <c r="J25" i="67"/>
  <c r="J9" i="67"/>
  <c r="J10" i="67"/>
  <c r="J11" i="67"/>
  <c r="J12" i="67"/>
  <c r="J15" i="67"/>
  <c r="J16" i="67"/>
  <c r="J17" i="67"/>
  <c r="J18" i="67"/>
  <c r="J19" i="67"/>
  <c r="J20" i="67"/>
  <c r="J21" i="67"/>
  <c r="J22" i="67"/>
  <c r="I14" i="67" l="1"/>
  <c r="J14" i="67" s="1"/>
  <c r="I13" i="67"/>
  <c r="J13" i="67" s="1"/>
  <c r="J5" i="67"/>
  <c r="J6" i="67"/>
  <c r="J7" i="67"/>
  <c r="J4" i="67"/>
  <c r="I8" i="67"/>
  <c r="J8" i="67" s="1"/>
  <c r="C112" i="65" l="1"/>
  <c r="C85" i="65" l="1"/>
  <c r="C99" i="65"/>
  <c r="C100" i="65" s="1"/>
  <c r="C101" i="65" s="1"/>
  <c r="C72" i="65" s="1"/>
  <c r="C94" i="65"/>
  <c r="C88" i="65"/>
  <c r="C89" i="65" s="1"/>
  <c r="C90" i="65" s="1"/>
  <c r="C70" i="65"/>
  <c r="C76" i="65" l="1"/>
  <c r="C73" i="65"/>
  <c r="C95" i="65"/>
  <c r="C96" i="65" s="1"/>
  <c r="C75" i="65"/>
  <c r="C52" i="65"/>
  <c r="C62" i="65"/>
  <c r="J19" i="65"/>
  <c r="K19" i="65" s="1"/>
  <c r="J23" i="65"/>
  <c r="K23" i="65" s="1"/>
  <c r="J22" i="65"/>
  <c r="K22" i="65" s="1"/>
  <c r="C97" i="65" l="1"/>
  <c r="C5" i="65"/>
  <c r="C37" i="65" s="1"/>
  <c r="C38" i="65" s="1"/>
  <c r="C39" i="65" s="1"/>
  <c r="C55" i="65" s="1"/>
  <c r="C58" i="65" s="1"/>
  <c r="C12" i="65"/>
  <c r="C13" i="65" s="1"/>
  <c r="C14" i="65" s="1"/>
  <c r="C9" i="65"/>
  <c r="C41" i="65"/>
  <c r="C45" i="65" s="1"/>
  <c r="C30" i="65"/>
  <c r="C27" i="65"/>
  <c r="C42" i="65" s="1"/>
  <c r="C46" i="65" s="1"/>
  <c r="C63" i="65" l="1"/>
  <c r="C18" i="65"/>
  <c r="C20" i="65" s="1"/>
  <c r="C16" i="65"/>
  <c r="C31" i="65"/>
  <c r="C21" i="65" l="1"/>
  <c r="C32" i="65" s="1"/>
  <c r="C28" i="65"/>
  <c r="C43" i="65" s="1"/>
  <c r="C47" i="65" s="1"/>
  <c r="L21" i="71" l="1"/>
  <c r="L13" i="71" l="1"/>
  <c r="I18" i="71"/>
  <c r="M18" i="71" s="1"/>
  <c r="I19" i="71"/>
  <c r="M19" i="71" s="1"/>
  <c r="I16" i="71"/>
  <c r="M16" i="71" s="1"/>
  <c r="K18" i="71"/>
  <c r="L18" i="71" s="1"/>
  <c r="K19" i="71"/>
  <c r="L19" i="71" s="1"/>
  <c r="G22" i="71"/>
  <c r="K17" i="71"/>
  <c r="L17" i="71" s="1"/>
  <c r="K15" i="71"/>
  <c r="L15" i="71" s="1"/>
  <c r="I17" i="71"/>
  <c r="M17" i="71" s="1"/>
  <c r="I15" i="71"/>
  <c r="K16" i="71"/>
  <c r="L16" i="71" s="1"/>
  <c r="I22" i="71" l="1"/>
  <c r="M15" i="71"/>
  <c r="L22" i="71"/>
  <c r="O17" i="71" s="1"/>
  <c r="N15" i="71"/>
  <c r="K22" i="71"/>
  <c r="N16" i="71" l="1"/>
  <c r="N20" i="71"/>
  <c r="N21" i="71"/>
  <c r="N14" i="71"/>
  <c r="N18" i="71"/>
  <c r="D27" i="71"/>
  <c r="D28" i="71" s="1"/>
  <c r="D30" i="71" s="1"/>
  <c r="D31" i="71" s="1"/>
  <c r="N19" i="71"/>
  <c r="N13" i="71"/>
  <c r="N17" i="71"/>
  <c r="O20" i="71"/>
  <c r="O13" i="71"/>
  <c r="L27" i="71"/>
  <c r="L28" i="71" s="1"/>
  <c r="O21" i="71"/>
  <c r="O14" i="71"/>
  <c r="O18" i="71"/>
  <c r="O19" i="71"/>
  <c r="O15" i="71"/>
  <c r="O16" i="71"/>
  <c r="L54" i="71"/>
  <c r="L53" i="71"/>
  <c r="G58" i="71"/>
  <c r="K58" i="71"/>
  <c r="L52" i="71"/>
  <c r="L55" i="71"/>
  <c r="I58" i="71"/>
  <c r="M195" i="71" l="1"/>
  <c r="N195" i="71" s="1"/>
  <c r="M211" i="71"/>
  <c r="N211" i="71" s="1"/>
  <c r="M475" i="71"/>
  <c r="N475" i="71" s="1"/>
  <c r="M130" i="71"/>
  <c r="N130" i="71" s="1"/>
  <c r="M187" i="71"/>
  <c r="N187" i="71" s="1"/>
  <c r="M114" i="71"/>
  <c r="N114" i="71" s="1"/>
  <c r="M188" i="71"/>
  <c r="N188" i="71" s="1"/>
  <c r="M459" i="71"/>
  <c r="N459" i="71" s="1"/>
  <c r="M419" i="71"/>
  <c r="N419" i="71" s="1"/>
  <c r="M283" i="71"/>
  <c r="N283" i="71" s="1"/>
  <c r="M171" i="71"/>
  <c r="N171" i="71" s="1"/>
  <c r="M531" i="71"/>
  <c r="N531" i="71" s="1"/>
  <c r="M124" i="71"/>
  <c r="N124" i="71" s="1"/>
  <c r="M147" i="71"/>
  <c r="N147" i="71" s="1"/>
  <c r="M89" i="71"/>
  <c r="N89" i="71" s="1"/>
  <c r="M483" i="71"/>
  <c r="N483" i="71" s="1"/>
  <c r="M83" i="71"/>
  <c r="N83" i="71" s="1"/>
  <c r="M81" i="71"/>
  <c r="N81" i="71" s="1"/>
  <c r="M291" i="71"/>
  <c r="N291" i="71" s="1"/>
  <c r="M411" i="71"/>
  <c r="N411" i="71" s="1"/>
  <c r="M467" i="71"/>
  <c r="N467" i="71" s="1"/>
  <c r="M152" i="71"/>
  <c r="N152" i="71" s="1"/>
  <c r="M202" i="71"/>
  <c r="N202" i="71" s="1"/>
  <c r="M339" i="71"/>
  <c r="N339" i="71" s="1"/>
  <c r="M136" i="71"/>
  <c r="N136" i="71" s="1"/>
  <c r="M131" i="71"/>
  <c r="N131" i="71" s="1"/>
  <c r="M194" i="71"/>
  <c r="N194" i="71" s="1"/>
  <c r="M217" i="71"/>
  <c r="N217" i="71" s="1"/>
  <c r="M215" i="71"/>
  <c r="N215" i="71" s="1"/>
  <c r="M123" i="71"/>
  <c r="N123" i="71" s="1"/>
  <c r="M178" i="71"/>
  <c r="N178" i="71" s="1"/>
  <c r="M145" i="71"/>
  <c r="N145" i="71" s="1"/>
  <c r="M191" i="71"/>
  <c r="N191" i="71" s="1"/>
  <c r="M107" i="71"/>
  <c r="N107" i="71" s="1"/>
  <c r="M138" i="71"/>
  <c r="N138" i="71" s="1"/>
  <c r="M129" i="71"/>
  <c r="N129" i="71" s="1"/>
  <c r="M132" i="71"/>
  <c r="N132" i="71" s="1"/>
  <c r="M209" i="71"/>
  <c r="N209" i="71" s="1"/>
  <c r="M224" i="71"/>
  <c r="N224" i="71" s="1"/>
  <c r="M563" i="71"/>
  <c r="N563" i="71" s="1"/>
  <c r="M193" i="71"/>
  <c r="N193" i="71" s="1"/>
  <c r="M216" i="71"/>
  <c r="N216" i="71" s="1"/>
  <c r="M243" i="71"/>
  <c r="N243" i="71" s="1"/>
  <c r="M153" i="71"/>
  <c r="N153" i="71" s="1"/>
  <c r="M200" i="71"/>
  <c r="N200" i="71" s="1"/>
  <c r="M180" i="71"/>
  <c r="N180" i="71" s="1"/>
  <c r="M151" i="71"/>
  <c r="N151" i="71" s="1"/>
  <c r="M299" i="71"/>
  <c r="N299" i="71" s="1"/>
  <c r="M143" i="71"/>
  <c r="N143" i="71" s="1"/>
  <c r="M466" i="71"/>
  <c r="N466" i="71" s="1"/>
  <c r="M220" i="71"/>
  <c r="N220" i="71" s="1"/>
  <c r="M458" i="71"/>
  <c r="N458" i="71" s="1"/>
  <c r="M160" i="71"/>
  <c r="N160" i="71" s="1"/>
  <c r="M196" i="71"/>
  <c r="N196" i="71" s="1"/>
  <c r="M222" i="71"/>
  <c r="N222" i="71" s="1"/>
  <c r="M221" i="71"/>
  <c r="N221" i="71" s="1"/>
  <c r="M442" i="71"/>
  <c r="N442" i="71" s="1"/>
  <c r="M96" i="71"/>
  <c r="N96" i="71" s="1"/>
  <c r="M127" i="71"/>
  <c r="N127" i="71" s="1"/>
  <c r="M214" i="71"/>
  <c r="N214" i="71" s="1"/>
  <c r="M173" i="71"/>
  <c r="N173" i="71" s="1"/>
  <c r="M553" i="71"/>
  <c r="N553" i="71" s="1"/>
  <c r="M88" i="71"/>
  <c r="N88" i="71" s="1"/>
  <c r="M87" i="71"/>
  <c r="N87" i="71" s="1"/>
  <c r="M198" i="71"/>
  <c r="N198" i="71" s="1"/>
  <c r="M109" i="71"/>
  <c r="N109" i="71" s="1"/>
  <c r="M441" i="71"/>
  <c r="N441" i="71" s="1"/>
  <c r="M515" i="71"/>
  <c r="N515" i="71" s="1"/>
  <c r="M79" i="71"/>
  <c r="N79" i="71" s="1"/>
  <c r="M158" i="71"/>
  <c r="N158" i="71" s="1"/>
  <c r="M93" i="71"/>
  <c r="N93" i="71" s="1"/>
  <c r="M377" i="71"/>
  <c r="N377" i="71" s="1"/>
  <c r="M223" i="71"/>
  <c r="N223" i="71" s="1"/>
  <c r="M507" i="71"/>
  <c r="N507" i="71" s="1"/>
  <c r="M134" i="71"/>
  <c r="N134" i="71" s="1"/>
  <c r="M363" i="71"/>
  <c r="N363" i="71" s="1"/>
  <c r="M402" i="71"/>
  <c r="N402" i="71" s="1"/>
  <c r="M273" i="71"/>
  <c r="N273" i="71" s="1"/>
  <c r="M150" i="71"/>
  <c r="N150" i="71" s="1"/>
  <c r="M181" i="71"/>
  <c r="N181" i="71" s="1"/>
  <c r="M570" i="71"/>
  <c r="N570" i="71" s="1"/>
  <c r="M394" i="71"/>
  <c r="N394" i="71" s="1"/>
  <c r="M463" i="71"/>
  <c r="N463" i="71" s="1"/>
  <c r="M530" i="71"/>
  <c r="N530" i="71" s="1"/>
  <c r="M378" i="71"/>
  <c r="N378" i="71" s="1"/>
  <c r="M439" i="71"/>
  <c r="N439" i="71" s="1"/>
  <c r="M94" i="71"/>
  <c r="N94" i="71" s="1"/>
  <c r="M157" i="71"/>
  <c r="N157" i="71" s="1"/>
  <c r="M522" i="71"/>
  <c r="N522" i="71" s="1"/>
  <c r="M338" i="71"/>
  <c r="N338" i="71" s="1"/>
  <c r="M271" i="71"/>
  <c r="N271" i="71" s="1"/>
  <c r="M86" i="71"/>
  <c r="N86" i="71" s="1"/>
  <c r="M117" i="71"/>
  <c r="N117" i="71" s="1"/>
  <c r="M506" i="71"/>
  <c r="N506" i="71" s="1"/>
  <c r="M330" i="71"/>
  <c r="N330" i="71" s="1"/>
  <c r="M249" i="71"/>
  <c r="N249" i="71" s="1"/>
  <c r="M454" i="71"/>
  <c r="N454" i="71" s="1"/>
  <c r="M560" i="71"/>
  <c r="N560" i="71" s="1"/>
  <c r="M278" i="71"/>
  <c r="N278" i="71" s="1"/>
  <c r="M314" i="71"/>
  <c r="N314" i="71" s="1"/>
  <c r="M392" i="71"/>
  <c r="N392" i="71" s="1"/>
  <c r="M238" i="71"/>
  <c r="N238" i="71" s="1"/>
  <c r="M258" i="71"/>
  <c r="N258" i="71" s="1"/>
  <c r="M264" i="71"/>
  <c r="N264" i="71" s="1"/>
  <c r="M269" i="71"/>
  <c r="N269" i="71" s="1"/>
  <c r="M567" i="71"/>
  <c r="N567" i="71" s="1"/>
  <c r="M470" i="71"/>
  <c r="N470" i="71" s="1"/>
  <c r="M250" i="71"/>
  <c r="N250" i="71" s="1"/>
  <c r="M456" i="71"/>
  <c r="N456" i="71" s="1"/>
  <c r="M399" i="71"/>
  <c r="N399" i="71" s="1"/>
  <c r="M461" i="71"/>
  <c r="N461" i="71" s="1"/>
  <c r="M432" i="71"/>
  <c r="N432" i="71" s="1"/>
  <c r="M295" i="71"/>
  <c r="N295" i="71" s="1"/>
  <c r="M421" i="71"/>
  <c r="N421" i="71" s="1"/>
  <c r="M425" i="71"/>
  <c r="N425" i="71" s="1"/>
  <c r="M280" i="71"/>
  <c r="N280" i="71" s="1"/>
  <c r="M231" i="71"/>
  <c r="N231" i="71" s="1"/>
  <c r="M485" i="71"/>
  <c r="N485" i="71" s="1"/>
  <c r="M406" i="71"/>
  <c r="N406" i="71" s="1"/>
  <c r="M245" i="71"/>
  <c r="N245" i="71" s="1"/>
  <c r="M302" i="71"/>
  <c r="N302" i="71" s="1"/>
  <c r="M532" i="71"/>
  <c r="N532" i="71" s="1"/>
  <c r="M212" i="71"/>
  <c r="N212" i="71" s="1"/>
  <c r="M355" i="71"/>
  <c r="N355" i="71" s="1"/>
  <c r="M179" i="71"/>
  <c r="N179" i="71" s="1"/>
  <c r="M115" i="71"/>
  <c r="N115" i="71" s="1"/>
  <c r="M347" i="71"/>
  <c r="N347" i="71" s="1"/>
  <c r="M186" i="71"/>
  <c r="N186" i="71" s="1"/>
  <c r="M122" i="71"/>
  <c r="N122" i="71" s="1"/>
  <c r="M403" i="71"/>
  <c r="N403" i="71" s="1"/>
  <c r="M201" i="71"/>
  <c r="N201" i="71" s="1"/>
  <c r="M137" i="71"/>
  <c r="N137" i="71" s="1"/>
  <c r="M523" i="71"/>
  <c r="N523" i="71" s="1"/>
  <c r="M208" i="71"/>
  <c r="N208" i="71" s="1"/>
  <c r="M144" i="71"/>
  <c r="N144" i="71" s="1"/>
  <c r="M80" i="71"/>
  <c r="N80" i="71" s="1"/>
  <c r="M207" i="71"/>
  <c r="N207" i="71" s="1"/>
  <c r="M135" i="71"/>
  <c r="N135" i="71" s="1"/>
  <c r="M571" i="71"/>
  <c r="N571" i="71" s="1"/>
  <c r="M156" i="71"/>
  <c r="N156" i="71" s="1"/>
  <c r="M206" i="71"/>
  <c r="N206" i="71" s="1"/>
  <c r="M142" i="71"/>
  <c r="N142" i="71" s="1"/>
  <c r="M78" i="71"/>
  <c r="N78" i="71" s="1"/>
  <c r="M100" i="71"/>
  <c r="N100" i="71" s="1"/>
  <c r="M165" i="71"/>
  <c r="N165" i="71" s="1"/>
  <c r="M101" i="71"/>
  <c r="N101" i="71" s="1"/>
  <c r="M235" i="71"/>
  <c r="N235" i="71" s="1"/>
  <c r="M514" i="71"/>
  <c r="N514" i="71" s="1"/>
  <c r="M450" i="71"/>
  <c r="N450" i="71" s="1"/>
  <c r="M386" i="71"/>
  <c r="N386" i="71" s="1"/>
  <c r="M322" i="71"/>
  <c r="N322" i="71" s="1"/>
  <c r="M569" i="71"/>
  <c r="N569" i="71" s="1"/>
  <c r="M401" i="71"/>
  <c r="N401" i="71" s="1"/>
  <c r="M233" i="71"/>
  <c r="N233" i="71" s="1"/>
  <c r="M408" i="71"/>
  <c r="N408" i="71" s="1"/>
  <c r="M240" i="71"/>
  <c r="N240" i="71" s="1"/>
  <c r="M423" i="71"/>
  <c r="N423" i="71" s="1"/>
  <c r="M247" i="71"/>
  <c r="N247" i="71" s="1"/>
  <c r="M430" i="71"/>
  <c r="N430" i="71" s="1"/>
  <c r="M262" i="71"/>
  <c r="N262" i="71" s="1"/>
  <c r="M437" i="71"/>
  <c r="N437" i="71" s="1"/>
  <c r="M229" i="71"/>
  <c r="N229" i="71" s="1"/>
  <c r="M164" i="71"/>
  <c r="N164" i="71" s="1"/>
  <c r="M77" i="71"/>
  <c r="N77" i="71" s="1"/>
  <c r="M163" i="71"/>
  <c r="N163" i="71" s="1"/>
  <c r="M99" i="71"/>
  <c r="N99" i="71" s="1"/>
  <c r="M148" i="71"/>
  <c r="N148" i="71" s="1"/>
  <c r="M170" i="71"/>
  <c r="N170" i="71" s="1"/>
  <c r="M106" i="71"/>
  <c r="N106" i="71" s="1"/>
  <c r="M275" i="71"/>
  <c r="N275" i="71" s="1"/>
  <c r="M185" i="71"/>
  <c r="N185" i="71" s="1"/>
  <c r="M121" i="71"/>
  <c r="N121" i="71" s="1"/>
  <c r="M395" i="71"/>
  <c r="N395" i="71" s="1"/>
  <c r="M192" i="71"/>
  <c r="N192" i="71" s="1"/>
  <c r="M128" i="71"/>
  <c r="N128" i="71" s="1"/>
  <c r="M451" i="71"/>
  <c r="N451" i="71" s="1"/>
  <c r="M183" i="71"/>
  <c r="N183" i="71" s="1"/>
  <c r="M119" i="71"/>
  <c r="N119" i="71" s="1"/>
  <c r="M443" i="71"/>
  <c r="N443" i="71" s="1"/>
  <c r="M116" i="71"/>
  <c r="N116" i="71" s="1"/>
  <c r="M190" i="71"/>
  <c r="N190" i="71" s="1"/>
  <c r="M126" i="71"/>
  <c r="N126" i="71" s="1"/>
  <c r="M499" i="71"/>
  <c r="N499" i="71" s="1"/>
  <c r="M213" i="71"/>
  <c r="N213" i="71" s="1"/>
  <c r="M149" i="71"/>
  <c r="N149" i="71" s="1"/>
  <c r="M85" i="71"/>
  <c r="N85" i="71" s="1"/>
  <c r="M562" i="71"/>
  <c r="N562" i="71" s="1"/>
  <c r="M498" i="71"/>
  <c r="N498" i="71" s="1"/>
  <c r="M434" i="71"/>
  <c r="N434" i="71" s="1"/>
  <c r="M370" i="71"/>
  <c r="N370" i="71" s="1"/>
  <c r="M298" i="71"/>
  <c r="N298" i="71" s="1"/>
  <c r="M529" i="71"/>
  <c r="N529" i="71" s="1"/>
  <c r="M361" i="71"/>
  <c r="N361" i="71" s="1"/>
  <c r="M536" i="71"/>
  <c r="N536" i="71" s="1"/>
  <c r="M368" i="71"/>
  <c r="N368" i="71" s="1"/>
  <c r="M551" i="71"/>
  <c r="N551" i="71" s="1"/>
  <c r="M375" i="71"/>
  <c r="N375" i="71" s="1"/>
  <c r="M558" i="71"/>
  <c r="N558" i="71" s="1"/>
  <c r="M390" i="71"/>
  <c r="N390" i="71" s="1"/>
  <c r="M565" i="71"/>
  <c r="N565" i="71" s="1"/>
  <c r="M397" i="71"/>
  <c r="N397" i="71" s="1"/>
  <c r="M468" i="71"/>
  <c r="N468" i="71" s="1"/>
  <c r="M140" i="71"/>
  <c r="N140" i="71" s="1"/>
  <c r="M219" i="71"/>
  <c r="N219" i="71" s="1"/>
  <c r="M155" i="71"/>
  <c r="N155" i="71" s="1"/>
  <c r="M91" i="71"/>
  <c r="N91" i="71" s="1"/>
  <c r="M226" i="71"/>
  <c r="N226" i="71" s="1"/>
  <c r="M162" i="71"/>
  <c r="N162" i="71" s="1"/>
  <c r="M98" i="71"/>
  <c r="N98" i="71" s="1"/>
  <c r="M172" i="71"/>
  <c r="N172" i="71" s="1"/>
  <c r="M177" i="71"/>
  <c r="N177" i="71" s="1"/>
  <c r="M113" i="71"/>
  <c r="N113" i="71" s="1"/>
  <c r="M331" i="71"/>
  <c r="N331" i="71" s="1"/>
  <c r="M184" i="71"/>
  <c r="N184" i="71" s="1"/>
  <c r="M120" i="71"/>
  <c r="N120" i="71" s="1"/>
  <c r="M387" i="71"/>
  <c r="N387" i="71" s="1"/>
  <c r="M175" i="71"/>
  <c r="N175" i="71" s="1"/>
  <c r="M111" i="71"/>
  <c r="N111" i="71" s="1"/>
  <c r="M379" i="71"/>
  <c r="N379" i="71" s="1"/>
  <c r="M84" i="71"/>
  <c r="N84" i="71" s="1"/>
  <c r="M182" i="71"/>
  <c r="N182" i="71" s="1"/>
  <c r="M118" i="71"/>
  <c r="N118" i="71" s="1"/>
  <c r="M435" i="71"/>
  <c r="N435" i="71" s="1"/>
  <c r="M205" i="71"/>
  <c r="N205" i="71" s="1"/>
  <c r="M141" i="71"/>
  <c r="N141" i="71" s="1"/>
  <c r="M555" i="71"/>
  <c r="N555" i="71" s="1"/>
  <c r="M554" i="71"/>
  <c r="N554" i="71" s="1"/>
  <c r="M490" i="71"/>
  <c r="N490" i="71" s="1"/>
  <c r="M426" i="71"/>
  <c r="N426" i="71" s="1"/>
  <c r="M362" i="71"/>
  <c r="N362" i="71" s="1"/>
  <c r="M290" i="71"/>
  <c r="N290" i="71" s="1"/>
  <c r="M505" i="71"/>
  <c r="N505" i="71" s="1"/>
  <c r="M337" i="71"/>
  <c r="N337" i="71" s="1"/>
  <c r="M520" i="71"/>
  <c r="N520" i="71" s="1"/>
  <c r="M344" i="71"/>
  <c r="N344" i="71" s="1"/>
  <c r="M527" i="71"/>
  <c r="N527" i="71" s="1"/>
  <c r="M359" i="71"/>
  <c r="N359" i="71" s="1"/>
  <c r="M534" i="71"/>
  <c r="N534" i="71" s="1"/>
  <c r="M366" i="71"/>
  <c r="N366" i="71" s="1"/>
  <c r="M549" i="71"/>
  <c r="N549" i="71" s="1"/>
  <c r="M373" i="71"/>
  <c r="N373" i="71" s="1"/>
  <c r="M452" i="71"/>
  <c r="N452" i="71" s="1"/>
  <c r="M218" i="71"/>
  <c r="N218" i="71" s="1"/>
  <c r="M154" i="71"/>
  <c r="N154" i="71" s="1"/>
  <c r="M90" i="71"/>
  <c r="N90" i="71" s="1"/>
  <c r="M108" i="71"/>
  <c r="N108" i="71" s="1"/>
  <c r="M169" i="71"/>
  <c r="N169" i="71" s="1"/>
  <c r="M105" i="71"/>
  <c r="N105" i="71" s="1"/>
  <c r="M267" i="71"/>
  <c r="N267" i="71" s="1"/>
  <c r="M176" i="71"/>
  <c r="N176" i="71" s="1"/>
  <c r="M112" i="71"/>
  <c r="N112" i="71" s="1"/>
  <c r="M323" i="71"/>
  <c r="N323" i="71" s="1"/>
  <c r="M167" i="71"/>
  <c r="N167" i="71" s="1"/>
  <c r="M103" i="71"/>
  <c r="N103" i="71" s="1"/>
  <c r="M315" i="71"/>
  <c r="N315" i="71" s="1"/>
  <c r="M547" i="71"/>
  <c r="N547" i="71" s="1"/>
  <c r="M174" i="71"/>
  <c r="N174" i="71" s="1"/>
  <c r="M110" i="71"/>
  <c r="N110" i="71" s="1"/>
  <c r="M371" i="71"/>
  <c r="N371" i="71" s="1"/>
  <c r="M197" i="71"/>
  <c r="N197" i="71" s="1"/>
  <c r="M133" i="71"/>
  <c r="N133" i="71" s="1"/>
  <c r="M491" i="71"/>
  <c r="N491" i="71" s="1"/>
  <c r="M546" i="71"/>
  <c r="N546" i="71" s="1"/>
  <c r="M482" i="71"/>
  <c r="N482" i="71" s="1"/>
  <c r="M418" i="71"/>
  <c r="N418" i="71" s="1"/>
  <c r="M354" i="71"/>
  <c r="N354" i="71" s="1"/>
  <c r="M282" i="71"/>
  <c r="N282" i="71" s="1"/>
  <c r="M489" i="71"/>
  <c r="N489" i="71" s="1"/>
  <c r="M313" i="71"/>
  <c r="N313" i="71" s="1"/>
  <c r="M496" i="71"/>
  <c r="N496" i="71" s="1"/>
  <c r="M328" i="71"/>
  <c r="N328" i="71" s="1"/>
  <c r="M503" i="71"/>
  <c r="N503" i="71" s="1"/>
  <c r="M335" i="71"/>
  <c r="N335" i="71" s="1"/>
  <c r="M518" i="71"/>
  <c r="N518" i="71" s="1"/>
  <c r="M342" i="71"/>
  <c r="N342" i="71" s="1"/>
  <c r="M525" i="71"/>
  <c r="N525" i="71" s="1"/>
  <c r="M357" i="71"/>
  <c r="N357" i="71" s="1"/>
  <c r="M428" i="71"/>
  <c r="N428" i="71" s="1"/>
  <c r="M92" i="71"/>
  <c r="N92" i="71" s="1"/>
  <c r="M203" i="71"/>
  <c r="N203" i="71" s="1"/>
  <c r="M139" i="71"/>
  <c r="N139" i="71" s="1"/>
  <c r="M539" i="71"/>
  <c r="N539" i="71" s="1"/>
  <c r="M210" i="71"/>
  <c r="N210" i="71" s="1"/>
  <c r="M146" i="71"/>
  <c r="N146" i="71" s="1"/>
  <c r="M82" i="71"/>
  <c r="N82" i="71" s="1"/>
  <c r="M225" i="71"/>
  <c r="N225" i="71" s="1"/>
  <c r="M161" i="71"/>
  <c r="N161" i="71" s="1"/>
  <c r="M97" i="71"/>
  <c r="N97" i="71" s="1"/>
  <c r="M204" i="71"/>
  <c r="N204" i="71" s="1"/>
  <c r="M168" i="71"/>
  <c r="N168" i="71" s="1"/>
  <c r="M104" i="71"/>
  <c r="N104" i="71" s="1"/>
  <c r="M259" i="71"/>
  <c r="N259" i="71" s="1"/>
  <c r="M159" i="71"/>
  <c r="N159" i="71" s="1"/>
  <c r="M95" i="71"/>
  <c r="N95" i="71" s="1"/>
  <c r="M251" i="71"/>
  <c r="N251" i="71" s="1"/>
  <c r="M199" i="71"/>
  <c r="N199" i="71" s="1"/>
  <c r="M166" i="71"/>
  <c r="N166" i="71" s="1"/>
  <c r="M102" i="71"/>
  <c r="N102" i="71" s="1"/>
  <c r="M307" i="71"/>
  <c r="N307" i="71" s="1"/>
  <c r="M189" i="71"/>
  <c r="N189" i="71" s="1"/>
  <c r="M125" i="71"/>
  <c r="N125" i="71" s="1"/>
  <c r="M427" i="71"/>
  <c r="N427" i="71" s="1"/>
  <c r="M538" i="71"/>
  <c r="N538" i="71" s="1"/>
  <c r="M474" i="71"/>
  <c r="N474" i="71" s="1"/>
  <c r="M410" i="71"/>
  <c r="N410" i="71" s="1"/>
  <c r="M346" i="71"/>
  <c r="N346" i="71" s="1"/>
  <c r="M274" i="71"/>
  <c r="N274" i="71" s="1"/>
  <c r="M465" i="71"/>
  <c r="N465" i="71" s="1"/>
  <c r="M297" i="71"/>
  <c r="N297" i="71" s="1"/>
  <c r="M472" i="71"/>
  <c r="N472" i="71" s="1"/>
  <c r="M304" i="71"/>
  <c r="N304" i="71" s="1"/>
  <c r="M487" i="71"/>
  <c r="N487" i="71" s="1"/>
  <c r="M311" i="71"/>
  <c r="N311" i="71" s="1"/>
  <c r="M494" i="71"/>
  <c r="N494" i="71" s="1"/>
  <c r="M326" i="71"/>
  <c r="N326" i="71" s="1"/>
  <c r="M501" i="71"/>
  <c r="N501" i="71" s="1"/>
  <c r="M293" i="71"/>
  <c r="N293" i="71" s="1"/>
  <c r="M404" i="71"/>
  <c r="N404" i="71" s="1"/>
  <c r="M556" i="71"/>
  <c r="N556" i="71" s="1"/>
  <c r="M388" i="71"/>
  <c r="N388" i="71" s="1"/>
  <c r="M364" i="71"/>
  <c r="N364" i="71" s="1"/>
  <c r="M333" i="71"/>
  <c r="N333" i="71" s="1"/>
  <c r="M516" i="71"/>
  <c r="N516" i="71" s="1"/>
  <c r="M316" i="71"/>
  <c r="N316" i="71" s="1"/>
  <c r="M309" i="71"/>
  <c r="N309" i="71" s="1"/>
  <c r="M492" i="71"/>
  <c r="N492" i="71" s="1"/>
  <c r="M300" i="71"/>
  <c r="N300" i="71" s="1"/>
  <c r="M234" i="71"/>
  <c r="N234" i="71" s="1"/>
  <c r="M513" i="71"/>
  <c r="N513" i="71" s="1"/>
  <c r="M449" i="71"/>
  <c r="N449" i="71" s="1"/>
  <c r="M385" i="71"/>
  <c r="N385" i="71" s="1"/>
  <c r="M321" i="71"/>
  <c r="N321" i="71" s="1"/>
  <c r="M257" i="71"/>
  <c r="N257" i="71" s="1"/>
  <c r="M544" i="71"/>
  <c r="N544" i="71" s="1"/>
  <c r="M480" i="71"/>
  <c r="N480" i="71" s="1"/>
  <c r="M416" i="71"/>
  <c r="N416" i="71" s="1"/>
  <c r="M352" i="71"/>
  <c r="N352" i="71" s="1"/>
  <c r="M288" i="71"/>
  <c r="N288" i="71" s="1"/>
  <c r="M575" i="71"/>
  <c r="N575" i="71" s="1"/>
  <c r="M511" i="71"/>
  <c r="N511" i="71" s="1"/>
  <c r="M447" i="71"/>
  <c r="N447" i="71" s="1"/>
  <c r="M383" i="71"/>
  <c r="N383" i="71" s="1"/>
  <c r="M319" i="71"/>
  <c r="N319" i="71" s="1"/>
  <c r="M255" i="71"/>
  <c r="N255" i="71" s="1"/>
  <c r="M542" i="71"/>
  <c r="N542" i="71" s="1"/>
  <c r="M478" i="71"/>
  <c r="N478" i="71" s="1"/>
  <c r="M414" i="71"/>
  <c r="N414" i="71" s="1"/>
  <c r="M350" i="71"/>
  <c r="N350" i="71" s="1"/>
  <c r="M286" i="71"/>
  <c r="N286" i="71" s="1"/>
  <c r="M573" i="71"/>
  <c r="N573" i="71" s="1"/>
  <c r="M509" i="71"/>
  <c r="N509" i="71" s="1"/>
  <c r="M445" i="71"/>
  <c r="N445" i="71" s="1"/>
  <c r="M381" i="71"/>
  <c r="N381" i="71" s="1"/>
  <c r="M317" i="71"/>
  <c r="N317" i="71" s="1"/>
  <c r="M253" i="71"/>
  <c r="N253" i="71" s="1"/>
  <c r="M540" i="71"/>
  <c r="N540" i="71" s="1"/>
  <c r="M476" i="71"/>
  <c r="N476" i="71" s="1"/>
  <c r="M412" i="71"/>
  <c r="N412" i="71" s="1"/>
  <c r="M324" i="71"/>
  <c r="N324" i="71" s="1"/>
  <c r="M561" i="71"/>
  <c r="N561" i="71" s="1"/>
  <c r="M497" i="71"/>
  <c r="N497" i="71" s="1"/>
  <c r="M433" i="71"/>
  <c r="N433" i="71" s="1"/>
  <c r="M369" i="71"/>
  <c r="N369" i="71" s="1"/>
  <c r="M305" i="71"/>
  <c r="N305" i="71" s="1"/>
  <c r="M241" i="71"/>
  <c r="N241" i="71" s="1"/>
  <c r="M528" i="71"/>
  <c r="N528" i="71" s="1"/>
  <c r="M464" i="71"/>
  <c r="N464" i="71" s="1"/>
  <c r="M400" i="71"/>
  <c r="N400" i="71" s="1"/>
  <c r="M336" i="71"/>
  <c r="N336" i="71" s="1"/>
  <c r="M272" i="71"/>
  <c r="N272" i="71" s="1"/>
  <c r="M559" i="71"/>
  <c r="N559" i="71" s="1"/>
  <c r="M495" i="71"/>
  <c r="N495" i="71" s="1"/>
  <c r="M431" i="71"/>
  <c r="N431" i="71" s="1"/>
  <c r="M367" i="71"/>
  <c r="N367" i="71" s="1"/>
  <c r="M303" i="71"/>
  <c r="N303" i="71" s="1"/>
  <c r="M239" i="71"/>
  <c r="N239" i="71" s="1"/>
  <c r="M526" i="71"/>
  <c r="N526" i="71" s="1"/>
  <c r="M462" i="71"/>
  <c r="N462" i="71" s="1"/>
  <c r="M398" i="71"/>
  <c r="N398" i="71" s="1"/>
  <c r="M334" i="71"/>
  <c r="N334" i="71" s="1"/>
  <c r="M270" i="71"/>
  <c r="N270" i="71" s="1"/>
  <c r="M557" i="71"/>
  <c r="N557" i="71" s="1"/>
  <c r="M493" i="71"/>
  <c r="N493" i="71" s="1"/>
  <c r="M429" i="71"/>
  <c r="N429" i="71" s="1"/>
  <c r="M365" i="71"/>
  <c r="N365" i="71" s="1"/>
  <c r="M301" i="71"/>
  <c r="N301" i="71" s="1"/>
  <c r="M237" i="71"/>
  <c r="N237" i="71" s="1"/>
  <c r="M524" i="71"/>
  <c r="N524" i="71" s="1"/>
  <c r="M460" i="71"/>
  <c r="N460" i="71" s="1"/>
  <c r="M396" i="71"/>
  <c r="N396" i="71" s="1"/>
  <c r="M308" i="71"/>
  <c r="N308" i="71" s="1"/>
  <c r="M266" i="71"/>
  <c r="N266" i="71" s="1"/>
  <c r="M545" i="71"/>
  <c r="N545" i="71" s="1"/>
  <c r="M481" i="71"/>
  <c r="N481" i="71" s="1"/>
  <c r="M417" i="71"/>
  <c r="N417" i="71" s="1"/>
  <c r="M353" i="71"/>
  <c r="N353" i="71" s="1"/>
  <c r="M289" i="71"/>
  <c r="N289" i="71" s="1"/>
  <c r="M576" i="71"/>
  <c r="N576" i="71" s="1"/>
  <c r="M512" i="71"/>
  <c r="N512" i="71" s="1"/>
  <c r="M448" i="71"/>
  <c r="N448" i="71" s="1"/>
  <c r="M384" i="71"/>
  <c r="N384" i="71" s="1"/>
  <c r="M320" i="71"/>
  <c r="N320" i="71" s="1"/>
  <c r="M256" i="71"/>
  <c r="N256" i="71" s="1"/>
  <c r="M543" i="71"/>
  <c r="N543" i="71" s="1"/>
  <c r="M479" i="71"/>
  <c r="N479" i="71" s="1"/>
  <c r="M415" i="71"/>
  <c r="N415" i="71" s="1"/>
  <c r="M351" i="71"/>
  <c r="N351" i="71" s="1"/>
  <c r="M287" i="71"/>
  <c r="N287" i="71" s="1"/>
  <c r="M574" i="71"/>
  <c r="N574" i="71" s="1"/>
  <c r="M510" i="71"/>
  <c r="N510" i="71" s="1"/>
  <c r="M446" i="71"/>
  <c r="N446" i="71" s="1"/>
  <c r="M382" i="71"/>
  <c r="N382" i="71" s="1"/>
  <c r="M318" i="71"/>
  <c r="N318" i="71" s="1"/>
  <c r="M254" i="71"/>
  <c r="N254" i="71" s="1"/>
  <c r="M541" i="71"/>
  <c r="N541" i="71" s="1"/>
  <c r="M477" i="71"/>
  <c r="N477" i="71" s="1"/>
  <c r="M413" i="71"/>
  <c r="N413" i="71" s="1"/>
  <c r="M349" i="71"/>
  <c r="N349" i="71" s="1"/>
  <c r="M285" i="71"/>
  <c r="N285" i="71" s="1"/>
  <c r="M572" i="71"/>
  <c r="N572" i="71" s="1"/>
  <c r="M508" i="71"/>
  <c r="N508" i="71" s="1"/>
  <c r="M444" i="71"/>
  <c r="N444" i="71" s="1"/>
  <c r="M380" i="71"/>
  <c r="N380" i="71" s="1"/>
  <c r="M268" i="71"/>
  <c r="N268" i="71" s="1"/>
  <c r="M537" i="71"/>
  <c r="N537" i="71" s="1"/>
  <c r="M473" i="71"/>
  <c r="N473" i="71" s="1"/>
  <c r="M409" i="71"/>
  <c r="N409" i="71" s="1"/>
  <c r="M345" i="71"/>
  <c r="N345" i="71" s="1"/>
  <c r="M281" i="71"/>
  <c r="N281" i="71" s="1"/>
  <c r="M568" i="71"/>
  <c r="N568" i="71" s="1"/>
  <c r="M504" i="71"/>
  <c r="N504" i="71" s="1"/>
  <c r="M440" i="71"/>
  <c r="N440" i="71" s="1"/>
  <c r="M376" i="71"/>
  <c r="N376" i="71" s="1"/>
  <c r="M312" i="71"/>
  <c r="N312" i="71" s="1"/>
  <c r="M248" i="71"/>
  <c r="N248" i="71" s="1"/>
  <c r="M535" i="71"/>
  <c r="N535" i="71" s="1"/>
  <c r="M471" i="71"/>
  <c r="N471" i="71" s="1"/>
  <c r="M407" i="71"/>
  <c r="N407" i="71" s="1"/>
  <c r="M343" i="71"/>
  <c r="N343" i="71" s="1"/>
  <c r="M279" i="71"/>
  <c r="N279" i="71" s="1"/>
  <c r="M566" i="71"/>
  <c r="N566" i="71" s="1"/>
  <c r="M502" i="71"/>
  <c r="N502" i="71" s="1"/>
  <c r="M438" i="71"/>
  <c r="N438" i="71" s="1"/>
  <c r="M374" i="71"/>
  <c r="N374" i="71" s="1"/>
  <c r="M310" i="71"/>
  <c r="N310" i="71" s="1"/>
  <c r="M246" i="71"/>
  <c r="N246" i="71" s="1"/>
  <c r="M533" i="71"/>
  <c r="N533" i="71" s="1"/>
  <c r="M469" i="71"/>
  <c r="N469" i="71" s="1"/>
  <c r="M405" i="71"/>
  <c r="N405" i="71" s="1"/>
  <c r="M341" i="71"/>
  <c r="N341" i="71" s="1"/>
  <c r="M277" i="71"/>
  <c r="N277" i="71" s="1"/>
  <c r="M564" i="71"/>
  <c r="N564" i="71" s="1"/>
  <c r="M500" i="71"/>
  <c r="N500" i="71" s="1"/>
  <c r="M436" i="71"/>
  <c r="N436" i="71" s="1"/>
  <c r="M372" i="71"/>
  <c r="N372" i="71" s="1"/>
  <c r="M260" i="71"/>
  <c r="N260" i="71" s="1"/>
  <c r="M252" i="71"/>
  <c r="N252" i="71" s="1"/>
  <c r="M306" i="71"/>
  <c r="N306" i="71" s="1"/>
  <c r="M242" i="71"/>
  <c r="N242" i="71" s="1"/>
  <c r="M521" i="71"/>
  <c r="N521" i="71" s="1"/>
  <c r="M457" i="71"/>
  <c r="N457" i="71" s="1"/>
  <c r="M393" i="71"/>
  <c r="N393" i="71" s="1"/>
  <c r="M329" i="71"/>
  <c r="N329" i="71" s="1"/>
  <c r="M265" i="71"/>
  <c r="N265" i="71" s="1"/>
  <c r="M552" i="71"/>
  <c r="N552" i="71" s="1"/>
  <c r="M488" i="71"/>
  <c r="N488" i="71" s="1"/>
  <c r="M424" i="71"/>
  <c r="N424" i="71" s="1"/>
  <c r="M360" i="71"/>
  <c r="N360" i="71" s="1"/>
  <c r="M296" i="71"/>
  <c r="N296" i="71" s="1"/>
  <c r="M232" i="71"/>
  <c r="N232" i="71" s="1"/>
  <c r="M519" i="71"/>
  <c r="N519" i="71" s="1"/>
  <c r="M455" i="71"/>
  <c r="N455" i="71" s="1"/>
  <c r="M391" i="71"/>
  <c r="N391" i="71" s="1"/>
  <c r="M327" i="71"/>
  <c r="N327" i="71" s="1"/>
  <c r="M263" i="71"/>
  <c r="N263" i="71" s="1"/>
  <c r="M550" i="71"/>
  <c r="N550" i="71" s="1"/>
  <c r="M486" i="71"/>
  <c r="N486" i="71" s="1"/>
  <c r="M422" i="71"/>
  <c r="N422" i="71" s="1"/>
  <c r="M358" i="71"/>
  <c r="N358" i="71" s="1"/>
  <c r="M294" i="71"/>
  <c r="N294" i="71" s="1"/>
  <c r="M230" i="71"/>
  <c r="N230" i="71" s="1"/>
  <c r="M517" i="71"/>
  <c r="N517" i="71" s="1"/>
  <c r="M453" i="71"/>
  <c r="N453" i="71" s="1"/>
  <c r="M389" i="71"/>
  <c r="N389" i="71" s="1"/>
  <c r="M325" i="71"/>
  <c r="N325" i="71" s="1"/>
  <c r="M261" i="71"/>
  <c r="N261" i="71" s="1"/>
  <c r="M548" i="71"/>
  <c r="N548" i="71" s="1"/>
  <c r="M484" i="71"/>
  <c r="N484" i="71" s="1"/>
  <c r="M420" i="71"/>
  <c r="N420" i="71" s="1"/>
  <c r="M332" i="71"/>
  <c r="N332" i="71" s="1"/>
  <c r="M244" i="71"/>
  <c r="N244" i="71" s="1"/>
  <c r="M236" i="71"/>
  <c r="N236" i="71" s="1"/>
  <c r="M356" i="71"/>
  <c r="N356" i="71" s="1"/>
  <c r="M292" i="71"/>
  <c r="N292" i="71" s="1"/>
  <c r="M228" i="71"/>
  <c r="N228" i="71" s="1"/>
  <c r="M348" i="71"/>
  <c r="N348" i="71" s="1"/>
  <c r="M284" i="71"/>
  <c r="N284" i="71" s="1"/>
  <c r="M227" i="71"/>
  <c r="N227" i="71" s="1"/>
  <c r="M340" i="71"/>
  <c r="N340" i="71" s="1"/>
  <c r="M276" i="71"/>
  <c r="N276" i="71" s="1"/>
  <c r="D32" i="71"/>
  <c r="D33" i="71" s="1"/>
  <c r="L76" i="71"/>
  <c r="L30" i="71"/>
  <c r="L31" i="71" s="1"/>
  <c r="L32" i="71" s="1"/>
  <c r="L33" i="71" s="1"/>
  <c r="L51" i="71"/>
  <c r="L58" i="71" s="1"/>
  <c r="M54" i="71"/>
  <c r="D63" i="71"/>
  <c r="M56" i="71"/>
  <c r="M50" i="71"/>
  <c r="M49" i="71"/>
  <c r="M57" i="71"/>
  <c r="M55" i="71"/>
  <c r="M53" i="71"/>
  <c r="M52" i="71"/>
  <c r="M51" i="71"/>
  <c r="D64" i="71" l="1"/>
  <c r="D66" i="71" s="1"/>
  <c r="D67" i="71" s="1"/>
  <c r="D68" i="71" s="1"/>
  <c r="D69" i="71" s="1"/>
  <c r="F69" i="71"/>
  <c r="N74" i="71"/>
  <c r="H232" i="71"/>
  <c r="I232" i="71" s="1"/>
  <c r="H240" i="71"/>
  <c r="I240" i="71" s="1"/>
  <c r="H248" i="71"/>
  <c r="I248" i="71" s="1"/>
  <c r="H256" i="71"/>
  <c r="I256" i="71" s="1"/>
  <c r="H264" i="71"/>
  <c r="I264" i="71" s="1"/>
  <c r="H272" i="71"/>
  <c r="I272" i="71" s="1"/>
  <c r="H280" i="71"/>
  <c r="I280" i="71" s="1"/>
  <c r="H288" i="71"/>
  <c r="I288" i="71" s="1"/>
  <c r="H296" i="71"/>
  <c r="I296" i="71" s="1"/>
  <c r="H304" i="71"/>
  <c r="I304" i="71" s="1"/>
  <c r="H312" i="71"/>
  <c r="I312" i="71" s="1"/>
  <c r="H320" i="71"/>
  <c r="I320" i="71" s="1"/>
  <c r="H328" i="71"/>
  <c r="I328" i="71" s="1"/>
  <c r="H336" i="71"/>
  <c r="I336" i="71" s="1"/>
  <c r="H344" i="71"/>
  <c r="I344" i="71" s="1"/>
  <c r="H352" i="71"/>
  <c r="I352" i="71" s="1"/>
  <c r="H360" i="71"/>
  <c r="I360" i="71" s="1"/>
  <c r="H368" i="71"/>
  <c r="I368" i="71" s="1"/>
  <c r="H376" i="71"/>
  <c r="I376" i="71" s="1"/>
  <c r="H384" i="71"/>
  <c r="I384" i="71" s="1"/>
  <c r="H392" i="71"/>
  <c r="I392" i="71" s="1"/>
  <c r="H400" i="71"/>
  <c r="I400" i="71" s="1"/>
  <c r="H408" i="71"/>
  <c r="I408" i="71" s="1"/>
  <c r="H416" i="71"/>
  <c r="I416" i="71" s="1"/>
  <c r="H424" i="71"/>
  <c r="I424" i="71" s="1"/>
  <c r="H432" i="71"/>
  <c r="I432" i="71" s="1"/>
  <c r="H440" i="71"/>
  <c r="I440" i="71" s="1"/>
  <c r="H448" i="71"/>
  <c r="I448" i="71" s="1"/>
  <c r="H456" i="71"/>
  <c r="I456" i="71" s="1"/>
  <c r="H464" i="71"/>
  <c r="I464" i="71" s="1"/>
  <c r="H472" i="71"/>
  <c r="I472" i="71" s="1"/>
  <c r="H480" i="71"/>
  <c r="I480" i="71" s="1"/>
  <c r="H488" i="71"/>
  <c r="I488" i="71" s="1"/>
  <c r="H496" i="71"/>
  <c r="I496" i="71" s="1"/>
  <c r="H504" i="71"/>
  <c r="I504" i="71" s="1"/>
  <c r="H512" i="71"/>
  <c r="I512" i="71" s="1"/>
  <c r="H233" i="71"/>
  <c r="I233" i="71" s="1"/>
  <c r="H241" i="71"/>
  <c r="I241" i="71" s="1"/>
  <c r="H249" i="71"/>
  <c r="I249" i="71" s="1"/>
  <c r="H257" i="71"/>
  <c r="I257" i="71" s="1"/>
  <c r="H265" i="71"/>
  <c r="I265" i="71" s="1"/>
  <c r="H273" i="71"/>
  <c r="I273" i="71" s="1"/>
  <c r="H281" i="71"/>
  <c r="I281" i="71" s="1"/>
  <c r="H289" i="71"/>
  <c r="I289" i="71" s="1"/>
  <c r="H297" i="71"/>
  <c r="I297" i="71" s="1"/>
  <c r="H305" i="71"/>
  <c r="I305" i="71" s="1"/>
  <c r="H313" i="71"/>
  <c r="I313" i="71" s="1"/>
  <c r="H321" i="71"/>
  <c r="I321" i="71" s="1"/>
  <c r="H329" i="71"/>
  <c r="I329" i="71" s="1"/>
  <c r="H337" i="71"/>
  <c r="I337" i="71" s="1"/>
  <c r="H345" i="71"/>
  <c r="I345" i="71" s="1"/>
  <c r="H353" i="71"/>
  <c r="I353" i="71" s="1"/>
  <c r="H361" i="71"/>
  <c r="I361" i="71" s="1"/>
  <c r="H369" i="71"/>
  <c r="I369" i="71" s="1"/>
  <c r="H377" i="71"/>
  <c r="I377" i="71" s="1"/>
  <c r="H385" i="71"/>
  <c r="I385" i="71" s="1"/>
  <c r="H393" i="71"/>
  <c r="I393" i="71" s="1"/>
  <c r="H401" i="71"/>
  <c r="I401" i="71" s="1"/>
  <c r="H409" i="71"/>
  <c r="I409" i="71" s="1"/>
  <c r="H417" i="71"/>
  <c r="I417" i="71" s="1"/>
  <c r="H234" i="71"/>
  <c r="I234" i="71" s="1"/>
  <c r="H242" i="71"/>
  <c r="I242" i="71" s="1"/>
  <c r="H250" i="71"/>
  <c r="I250" i="71" s="1"/>
  <c r="H258" i="71"/>
  <c r="I258" i="71" s="1"/>
  <c r="H266" i="71"/>
  <c r="I266" i="71" s="1"/>
  <c r="H274" i="71"/>
  <c r="I274" i="71" s="1"/>
  <c r="H282" i="71"/>
  <c r="I282" i="71" s="1"/>
  <c r="H290" i="71"/>
  <c r="I290" i="71" s="1"/>
  <c r="H298" i="71"/>
  <c r="I298" i="71" s="1"/>
  <c r="H306" i="71"/>
  <c r="I306" i="71" s="1"/>
  <c r="H314" i="71"/>
  <c r="I314" i="71" s="1"/>
  <c r="H322" i="71"/>
  <c r="I322" i="71" s="1"/>
  <c r="H330" i="71"/>
  <c r="I330" i="71" s="1"/>
  <c r="H338" i="71"/>
  <c r="I338" i="71" s="1"/>
  <c r="H346" i="71"/>
  <c r="I346" i="71" s="1"/>
  <c r="H354" i="71"/>
  <c r="I354" i="71" s="1"/>
  <c r="H362" i="71"/>
  <c r="I362" i="71" s="1"/>
  <c r="H370" i="71"/>
  <c r="I370" i="71" s="1"/>
  <c r="H378" i="71"/>
  <c r="I378" i="71" s="1"/>
  <c r="H386" i="71"/>
  <c r="I386" i="71" s="1"/>
  <c r="H394" i="71"/>
  <c r="I394" i="71" s="1"/>
  <c r="H402" i="71"/>
  <c r="I402" i="71" s="1"/>
  <c r="H410" i="71"/>
  <c r="I410" i="71" s="1"/>
  <c r="H418" i="71"/>
  <c r="I418" i="71" s="1"/>
  <c r="H426" i="71"/>
  <c r="I426" i="71" s="1"/>
  <c r="H434" i="71"/>
  <c r="I434" i="71" s="1"/>
  <c r="H442" i="71"/>
  <c r="I442" i="71" s="1"/>
  <c r="H227" i="71"/>
  <c r="I227" i="71" s="1"/>
  <c r="H235" i="71"/>
  <c r="I235" i="71" s="1"/>
  <c r="H243" i="71"/>
  <c r="I243" i="71" s="1"/>
  <c r="H251" i="71"/>
  <c r="I251" i="71" s="1"/>
  <c r="H259" i="71"/>
  <c r="I259" i="71" s="1"/>
  <c r="H267" i="71"/>
  <c r="I267" i="71" s="1"/>
  <c r="H275" i="71"/>
  <c r="I275" i="71" s="1"/>
  <c r="H283" i="71"/>
  <c r="I283" i="71" s="1"/>
  <c r="H291" i="71"/>
  <c r="I291" i="71" s="1"/>
  <c r="H299" i="71"/>
  <c r="I299" i="71" s="1"/>
  <c r="H307" i="71"/>
  <c r="I307" i="71" s="1"/>
  <c r="H315" i="71"/>
  <c r="I315" i="71" s="1"/>
  <c r="H323" i="71"/>
  <c r="I323" i="71" s="1"/>
  <c r="H331" i="71"/>
  <c r="I331" i="71" s="1"/>
  <c r="H339" i="71"/>
  <c r="I339" i="71" s="1"/>
  <c r="H347" i="71"/>
  <c r="I347" i="71" s="1"/>
  <c r="H355" i="71"/>
  <c r="I355" i="71" s="1"/>
  <c r="H363" i="71"/>
  <c r="I363" i="71" s="1"/>
  <c r="H371" i="71"/>
  <c r="I371" i="71" s="1"/>
  <c r="H379" i="71"/>
  <c r="I379" i="71" s="1"/>
  <c r="H387" i="71"/>
  <c r="I387" i="71" s="1"/>
  <c r="H395" i="71"/>
  <c r="I395" i="71" s="1"/>
  <c r="H403" i="71"/>
  <c r="I403" i="71" s="1"/>
  <c r="H411" i="71"/>
  <c r="I411" i="71" s="1"/>
  <c r="H419" i="71"/>
  <c r="I419" i="71" s="1"/>
  <c r="H427" i="71"/>
  <c r="I427" i="71" s="1"/>
  <c r="H435" i="71"/>
  <c r="I435" i="71" s="1"/>
  <c r="H443" i="71"/>
  <c r="I443" i="71" s="1"/>
  <c r="H451" i="71"/>
  <c r="I451" i="71" s="1"/>
  <c r="H459" i="71"/>
  <c r="I459" i="71" s="1"/>
  <c r="H467" i="71"/>
  <c r="I467" i="71" s="1"/>
  <c r="H475" i="71"/>
  <c r="I475" i="71" s="1"/>
  <c r="H483" i="71"/>
  <c r="I483" i="71" s="1"/>
  <c r="H491" i="71"/>
  <c r="I491" i="71" s="1"/>
  <c r="H499" i="71"/>
  <c r="I499" i="71" s="1"/>
  <c r="H507" i="71"/>
  <c r="I507" i="71" s="1"/>
  <c r="H515" i="71"/>
  <c r="I515" i="71" s="1"/>
  <c r="H228" i="71"/>
  <c r="I228" i="71" s="1"/>
  <c r="H236" i="71"/>
  <c r="I236" i="71" s="1"/>
  <c r="H244" i="71"/>
  <c r="I244" i="71" s="1"/>
  <c r="H252" i="71"/>
  <c r="I252" i="71" s="1"/>
  <c r="H260" i="71"/>
  <c r="I260" i="71" s="1"/>
  <c r="H268" i="71"/>
  <c r="I268" i="71" s="1"/>
  <c r="H276" i="71"/>
  <c r="I276" i="71" s="1"/>
  <c r="H284" i="71"/>
  <c r="I284" i="71" s="1"/>
  <c r="H292" i="71"/>
  <c r="I292" i="71" s="1"/>
  <c r="H300" i="71"/>
  <c r="I300" i="71" s="1"/>
  <c r="H308" i="71"/>
  <c r="I308" i="71" s="1"/>
  <c r="H316" i="71"/>
  <c r="I316" i="71" s="1"/>
  <c r="H324" i="71"/>
  <c r="I324" i="71" s="1"/>
  <c r="H332" i="71"/>
  <c r="I332" i="71" s="1"/>
  <c r="H340" i="71"/>
  <c r="I340" i="71" s="1"/>
  <c r="H348" i="71"/>
  <c r="I348" i="71" s="1"/>
  <c r="H356" i="71"/>
  <c r="I356" i="71" s="1"/>
  <c r="H364" i="71"/>
  <c r="I364" i="71" s="1"/>
  <c r="H372" i="71"/>
  <c r="I372" i="71" s="1"/>
  <c r="H380" i="71"/>
  <c r="I380" i="71" s="1"/>
  <c r="H388" i="71"/>
  <c r="I388" i="71" s="1"/>
  <c r="H396" i="71"/>
  <c r="I396" i="71" s="1"/>
  <c r="H404" i="71"/>
  <c r="I404" i="71" s="1"/>
  <c r="H412" i="71"/>
  <c r="I412" i="71" s="1"/>
  <c r="H420" i="71"/>
  <c r="I420" i="71" s="1"/>
  <c r="H428" i="71"/>
  <c r="I428" i="71" s="1"/>
  <c r="H436" i="71"/>
  <c r="I436" i="71" s="1"/>
  <c r="H444" i="71"/>
  <c r="I444" i="71" s="1"/>
  <c r="H452" i="71"/>
  <c r="I452" i="71" s="1"/>
  <c r="H460" i="71"/>
  <c r="I460" i="71" s="1"/>
  <c r="H468" i="71"/>
  <c r="I468" i="71" s="1"/>
  <c r="H476" i="71"/>
  <c r="I476" i="71" s="1"/>
  <c r="H484" i="71"/>
  <c r="I484" i="71" s="1"/>
  <c r="H492" i="71"/>
  <c r="I492" i="71" s="1"/>
  <c r="H500" i="71"/>
  <c r="I500" i="71" s="1"/>
  <c r="H508" i="71"/>
  <c r="I508" i="71" s="1"/>
  <c r="H516" i="71"/>
  <c r="I516" i="71" s="1"/>
  <c r="H524" i="71"/>
  <c r="I524" i="71" s="1"/>
  <c r="H532" i="71"/>
  <c r="I532" i="71" s="1"/>
  <c r="H540" i="71"/>
  <c r="I540" i="71" s="1"/>
  <c r="H548" i="71"/>
  <c r="I548" i="71" s="1"/>
  <c r="H229" i="71"/>
  <c r="I229" i="71" s="1"/>
  <c r="H237" i="71"/>
  <c r="I237" i="71" s="1"/>
  <c r="H245" i="71"/>
  <c r="I245" i="71" s="1"/>
  <c r="H253" i="71"/>
  <c r="I253" i="71" s="1"/>
  <c r="H261" i="71"/>
  <c r="I261" i="71" s="1"/>
  <c r="H269" i="71"/>
  <c r="I269" i="71" s="1"/>
  <c r="H277" i="71"/>
  <c r="I277" i="71" s="1"/>
  <c r="H285" i="71"/>
  <c r="I285" i="71" s="1"/>
  <c r="H293" i="71"/>
  <c r="I293" i="71" s="1"/>
  <c r="H301" i="71"/>
  <c r="I301" i="71" s="1"/>
  <c r="H309" i="71"/>
  <c r="I309" i="71" s="1"/>
  <c r="H317" i="71"/>
  <c r="I317" i="71" s="1"/>
  <c r="H325" i="71"/>
  <c r="I325" i="71" s="1"/>
  <c r="H333" i="71"/>
  <c r="I333" i="71" s="1"/>
  <c r="H341" i="71"/>
  <c r="I341" i="71" s="1"/>
  <c r="H349" i="71"/>
  <c r="I349" i="71" s="1"/>
  <c r="H357" i="71"/>
  <c r="I357" i="71" s="1"/>
  <c r="H365" i="71"/>
  <c r="I365" i="71" s="1"/>
  <c r="H373" i="71"/>
  <c r="I373" i="71" s="1"/>
  <c r="H381" i="71"/>
  <c r="I381" i="71" s="1"/>
  <c r="H389" i="71"/>
  <c r="I389" i="71" s="1"/>
  <c r="H397" i="71"/>
  <c r="I397" i="71" s="1"/>
  <c r="H405" i="71"/>
  <c r="I405" i="71" s="1"/>
  <c r="H413" i="71"/>
  <c r="I413" i="71" s="1"/>
  <c r="H421" i="71"/>
  <c r="I421" i="71" s="1"/>
  <c r="H429" i="71"/>
  <c r="I429" i="71" s="1"/>
  <c r="H437" i="71"/>
  <c r="I437" i="71" s="1"/>
  <c r="H445" i="71"/>
  <c r="I445" i="71" s="1"/>
  <c r="H453" i="71"/>
  <c r="I453" i="71" s="1"/>
  <c r="H461" i="71"/>
  <c r="I461" i="71" s="1"/>
  <c r="H469" i="71"/>
  <c r="I469" i="71" s="1"/>
  <c r="H477" i="71"/>
  <c r="I477" i="71" s="1"/>
  <c r="H485" i="71"/>
  <c r="I485" i="71" s="1"/>
  <c r="H493" i="71"/>
  <c r="I493" i="71" s="1"/>
  <c r="H501" i="71"/>
  <c r="I501" i="71" s="1"/>
  <c r="H509" i="71"/>
  <c r="I509" i="71" s="1"/>
  <c r="H517" i="71"/>
  <c r="I517" i="71" s="1"/>
  <c r="H525" i="71"/>
  <c r="I525" i="71" s="1"/>
  <c r="H533" i="71"/>
  <c r="I533" i="71" s="1"/>
  <c r="H541" i="71"/>
  <c r="I541" i="71" s="1"/>
  <c r="H549" i="71"/>
  <c r="I549" i="71" s="1"/>
  <c r="H255" i="71"/>
  <c r="I255" i="71" s="1"/>
  <c r="H287" i="71"/>
  <c r="I287" i="71" s="1"/>
  <c r="H319" i="71"/>
  <c r="I319" i="71" s="1"/>
  <c r="H351" i="71"/>
  <c r="I351" i="71" s="1"/>
  <c r="H383" i="71"/>
  <c r="I383" i="71" s="1"/>
  <c r="H415" i="71"/>
  <c r="I415" i="71" s="1"/>
  <c r="H439" i="71"/>
  <c r="I439" i="71" s="1"/>
  <c r="H457" i="71"/>
  <c r="I457" i="71" s="1"/>
  <c r="H473" i="71"/>
  <c r="I473" i="71" s="1"/>
  <c r="H489" i="71"/>
  <c r="I489" i="71" s="1"/>
  <c r="H505" i="71"/>
  <c r="I505" i="71" s="1"/>
  <c r="H520" i="71"/>
  <c r="I520" i="71" s="1"/>
  <c r="H530" i="71"/>
  <c r="I530" i="71" s="1"/>
  <c r="H542" i="71"/>
  <c r="I542" i="71" s="1"/>
  <c r="H552" i="71"/>
  <c r="I552" i="71" s="1"/>
  <c r="H560" i="71"/>
  <c r="I560" i="71" s="1"/>
  <c r="H568" i="71"/>
  <c r="I568" i="71" s="1"/>
  <c r="H576" i="71"/>
  <c r="I576" i="71" s="1"/>
  <c r="H471" i="71"/>
  <c r="I471" i="71" s="1"/>
  <c r="H230" i="71"/>
  <c r="I230" i="71" s="1"/>
  <c r="H262" i="71"/>
  <c r="I262" i="71" s="1"/>
  <c r="H294" i="71"/>
  <c r="I294" i="71" s="1"/>
  <c r="H326" i="71"/>
  <c r="I326" i="71" s="1"/>
  <c r="H358" i="71"/>
  <c r="I358" i="71" s="1"/>
  <c r="H390" i="71"/>
  <c r="I390" i="71" s="1"/>
  <c r="H422" i="71"/>
  <c r="I422" i="71" s="1"/>
  <c r="H441" i="71"/>
  <c r="I441" i="71" s="1"/>
  <c r="H458" i="71"/>
  <c r="I458" i="71" s="1"/>
  <c r="H474" i="71"/>
  <c r="I474" i="71" s="1"/>
  <c r="H490" i="71"/>
  <c r="I490" i="71" s="1"/>
  <c r="H506" i="71"/>
  <c r="I506" i="71" s="1"/>
  <c r="H521" i="71"/>
  <c r="I521" i="71" s="1"/>
  <c r="H531" i="71"/>
  <c r="I531" i="71" s="1"/>
  <c r="H543" i="71"/>
  <c r="I543" i="71" s="1"/>
  <c r="H553" i="71"/>
  <c r="I553" i="71" s="1"/>
  <c r="H561" i="71"/>
  <c r="I561" i="71" s="1"/>
  <c r="H569" i="71"/>
  <c r="I569" i="71" s="1"/>
  <c r="H414" i="71"/>
  <c r="I414" i="71" s="1"/>
  <c r="H503" i="71"/>
  <c r="I503" i="71" s="1"/>
  <c r="H529" i="71"/>
  <c r="I529" i="71" s="1"/>
  <c r="H551" i="71"/>
  <c r="I551" i="71" s="1"/>
  <c r="H567" i="71"/>
  <c r="I567" i="71" s="1"/>
  <c r="H231" i="71"/>
  <c r="I231" i="71" s="1"/>
  <c r="H263" i="71"/>
  <c r="I263" i="71" s="1"/>
  <c r="H295" i="71"/>
  <c r="I295" i="71" s="1"/>
  <c r="H327" i="71"/>
  <c r="I327" i="71" s="1"/>
  <c r="H359" i="71"/>
  <c r="I359" i="71" s="1"/>
  <c r="H391" i="71"/>
  <c r="I391" i="71" s="1"/>
  <c r="H423" i="71"/>
  <c r="I423" i="71" s="1"/>
  <c r="H446" i="71"/>
  <c r="I446" i="71" s="1"/>
  <c r="H462" i="71"/>
  <c r="I462" i="71" s="1"/>
  <c r="H478" i="71"/>
  <c r="I478" i="71" s="1"/>
  <c r="H494" i="71"/>
  <c r="I494" i="71" s="1"/>
  <c r="H510" i="71"/>
  <c r="I510" i="71" s="1"/>
  <c r="H522" i="71"/>
  <c r="I522" i="71" s="1"/>
  <c r="H534" i="71"/>
  <c r="I534" i="71" s="1"/>
  <c r="H544" i="71"/>
  <c r="I544" i="71" s="1"/>
  <c r="H554" i="71"/>
  <c r="I554" i="71" s="1"/>
  <c r="H562" i="71"/>
  <c r="I562" i="71" s="1"/>
  <c r="H570" i="71"/>
  <c r="I570" i="71" s="1"/>
  <c r="H487" i="71"/>
  <c r="I487" i="71" s="1"/>
  <c r="H238" i="71"/>
  <c r="I238" i="71" s="1"/>
  <c r="H270" i="71"/>
  <c r="I270" i="71" s="1"/>
  <c r="H302" i="71"/>
  <c r="I302" i="71" s="1"/>
  <c r="H334" i="71"/>
  <c r="I334" i="71" s="1"/>
  <c r="H366" i="71"/>
  <c r="I366" i="71" s="1"/>
  <c r="H398" i="71"/>
  <c r="I398" i="71" s="1"/>
  <c r="H425" i="71"/>
  <c r="I425" i="71" s="1"/>
  <c r="H447" i="71"/>
  <c r="I447" i="71" s="1"/>
  <c r="H463" i="71"/>
  <c r="I463" i="71" s="1"/>
  <c r="H479" i="71"/>
  <c r="I479" i="71" s="1"/>
  <c r="H495" i="71"/>
  <c r="I495" i="71" s="1"/>
  <c r="H511" i="71"/>
  <c r="I511" i="71" s="1"/>
  <c r="H523" i="71"/>
  <c r="I523" i="71" s="1"/>
  <c r="H535" i="71"/>
  <c r="I535" i="71" s="1"/>
  <c r="H545" i="71"/>
  <c r="I545" i="71" s="1"/>
  <c r="H555" i="71"/>
  <c r="I555" i="71" s="1"/>
  <c r="H563" i="71"/>
  <c r="I563" i="71" s="1"/>
  <c r="H571" i="71"/>
  <c r="I571" i="71" s="1"/>
  <c r="H350" i="71"/>
  <c r="I350" i="71" s="1"/>
  <c r="H239" i="71"/>
  <c r="I239" i="71" s="1"/>
  <c r="H271" i="71"/>
  <c r="I271" i="71" s="1"/>
  <c r="H303" i="71"/>
  <c r="I303" i="71" s="1"/>
  <c r="H335" i="71"/>
  <c r="I335" i="71" s="1"/>
  <c r="H367" i="71"/>
  <c r="I367" i="71" s="1"/>
  <c r="H399" i="71"/>
  <c r="I399" i="71" s="1"/>
  <c r="H430" i="71"/>
  <c r="I430" i="71" s="1"/>
  <c r="H449" i="71"/>
  <c r="I449" i="71" s="1"/>
  <c r="H465" i="71"/>
  <c r="I465" i="71" s="1"/>
  <c r="H481" i="71"/>
  <c r="I481" i="71" s="1"/>
  <c r="H497" i="71"/>
  <c r="I497" i="71" s="1"/>
  <c r="H513" i="71"/>
  <c r="I513" i="71" s="1"/>
  <c r="H526" i="71"/>
  <c r="I526" i="71" s="1"/>
  <c r="H536" i="71"/>
  <c r="I536" i="71" s="1"/>
  <c r="H546" i="71"/>
  <c r="I546" i="71" s="1"/>
  <c r="H556" i="71"/>
  <c r="I556" i="71" s="1"/>
  <c r="H564" i="71"/>
  <c r="I564" i="71" s="1"/>
  <c r="H572" i="71"/>
  <c r="I572" i="71" s="1"/>
  <c r="H438" i="71"/>
  <c r="I438" i="71" s="1"/>
  <c r="H246" i="71"/>
  <c r="I246" i="71" s="1"/>
  <c r="H278" i="71"/>
  <c r="I278" i="71" s="1"/>
  <c r="H310" i="71"/>
  <c r="I310" i="71" s="1"/>
  <c r="H342" i="71"/>
  <c r="I342" i="71" s="1"/>
  <c r="H374" i="71"/>
  <c r="I374" i="71" s="1"/>
  <c r="H406" i="71"/>
  <c r="I406" i="71" s="1"/>
  <c r="H431" i="71"/>
  <c r="I431" i="71" s="1"/>
  <c r="H450" i="71"/>
  <c r="I450" i="71" s="1"/>
  <c r="H466" i="71"/>
  <c r="I466" i="71" s="1"/>
  <c r="H482" i="71"/>
  <c r="I482" i="71" s="1"/>
  <c r="H498" i="71"/>
  <c r="I498" i="71" s="1"/>
  <c r="H514" i="71"/>
  <c r="I514" i="71" s="1"/>
  <c r="H527" i="71"/>
  <c r="I527" i="71" s="1"/>
  <c r="H537" i="71"/>
  <c r="I537" i="71" s="1"/>
  <c r="H547" i="71"/>
  <c r="I547" i="71" s="1"/>
  <c r="H557" i="71"/>
  <c r="I557" i="71" s="1"/>
  <c r="H565" i="71"/>
  <c r="I565" i="71" s="1"/>
  <c r="H573" i="71"/>
  <c r="I573" i="71" s="1"/>
  <c r="H286" i="71"/>
  <c r="I286" i="71" s="1"/>
  <c r="H247" i="71"/>
  <c r="I247" i="71" s="1"/>
  <c r="H279" i="71"/>
  <c r="I279" i="71" s="1"/>
  <c r="H311" i="71"/>
  <c r="I311" i="71" s="1"/>
  <c r="H343" i="71"/>
  <c r="I343" i="71" s="1"/>
  <c r="H375" i="71"/>
  <c r="I375" i="71" s="1"/>
  <c r="H407" i="71"/>
  <c r="I407" i="71" s="1"/>
  <c r="H433" i="71"/>
  <c r="I433" i="71" s="1"/>
  <c r="H454" i="71"/>
  <c r="I454" i="71" s="1"/>
  <c r="H470" i="71"/>
  <c r="I470" i="71" s="1"/>
  <c r="H486" i="71"/>
  <c r="I486" i="71" s="1"/>
  <c r="H502" i="71"/>
  <c r="I502" i="71" s="1"/>
  <c r="H518" i="71"/>
  <c r="I518" i="71" s="1"/>
  <c r="H528" i="71"/>
  <c r="I528" i="71" s="1"/>
  <c r="H538" i="71"/>
  <c r="I538" i="71" s="1"/>
  <c r="H550" i="71"/>
  <c r="I550" i="71" s="1"/>
  <c r="H558" i="71"/>
  <c r="I558" i="71" s="1"/>
  <c r="H566" i="71"/>
  <c r="I566" i="71" s="1"/>
  <c r="H574" i="71"/>
  <c r="I574" i="71" s="1"/>
  <c r="H254" i="71"/>
  <c r="I254" i="71" s="1"/>
  <c r="H318" i="71"/>
  <c r="I318" i="71" s="1"/>
  <c r="H382" i="71"/>
  <c r="I382" i="71" s="1"/>
  <c r="H455" i="71"/>
  <c r="I455" i="71" s="1"/>
  <c r="H519" i="71"/>
  <c r="I519" i="71" s="1"/>
  <c r="H539" i="71"/>
  <c r="I539" i="71" s="1"/>
  <c r="H559" i="71"/>
  <c r="I559" i="71" s="1"/>
  <c r="H575" i="71"/>
  <c r="I575" i="71" s="1"/>
  <c r="L63" i="71"/>
  <c r="N49" i="71"/>
  <c r="N57" i="71"/>
  <c r="N56" i="71"/>
  <c r="N50" i="71"/>
  <c r="N51" i="71"/>
  <c r="H94" i="71"/>
  <c r="I94" i="71" s="1"/>
  <c r="H212" i="71"/>
  <c r="I212" i="71" s="1"/>
  <c r="H223" i="71"/>
  <c r="I223" i="71" s="1"/>
  <c r="H192" i="71"/>
  <c r="I192" i="71" s="1"/>
  <c r="H112" i="71"/>
  <c r="I112" i="71" s="1"/>
  <c r="H136" i="71"/>
  <c r="I136" i="71" s="1"/>
  <c r="H99" i="71"/>
  <c r="I99" i="71" s="1"/>
  <c r="H96" i="71"/>
  <c r="I96" i="71" s="1"/>
  <c r="H210" i="71"/>
  <c r="I210" i="71" s="1"/>
  <c r="H125" i="71"/>
  <c r="I125" i="71" s="1"/>
  <c r="H118" i="71"/>
  <c r="I118" i="71" s="1"/>
  <c r="H128" i="71"/>
  <c r="I128" i="71" s="1"/>
  <c r="H160" i="71"/>
  <c r="I160" i="71" s="1"/>
  <c r="H82" i="71"/>
  <c r="I82" i="71" s="1"/>
  <c r="H179" i="71"/>
  <c r="I179" i="71" s="1"/>
  <c r="H85" i="71"/>
  <c r="I85" i="71" s="1"/>
  <c r="H195" i="71"/>
  <c r="I195" i="71" s="1"/>
  <c r="H163" i="71"/>
  <c r="I163" i="71" s="1"/>
  <c r="H111" i="71"/>
  <c r="I111" i="71" s="1"/>
  <c r="H189" i="71"/>
  <c r="I189" i="71" s="1"/>
  <c r="H86" i="71"/>
  <c r="I86" i="71" s="1"/>
  <c r="H133" i="71"/>
  <c r="I133" i="71" s="1"/>
  <c r="H159" i="71"/>
  <c r="I159" i="71" s="1"/>
  <c r="H213" i="71"/>
  <c r="I213" i="71" s="1"/>
  <c r="H185" i="71"/>
  <c r="I185" i="71" s="1"/>
  <c r="H211" i="71"/>
  <c r="I211" i="71" s="1"/>
  <c r="H208" i="71"/>
  <c r="I208" i="71" s="1"/>
  <c r="H219" i="71"/>
  <c r="I219" i="71" s="1"/>
  <c r="H124" i="71"/>
  <c r="I124" i="71" s="1"/>
  <c r="H145" i="71"/>
  <c r="I145" i="71" s="1"/>
  <c r="H197" i="71"/>
  <c r="I197" i="71" s="1"/>
  <c r="H131" i="71"/>
  <c r="I131" i="71" s="1"/>
  <c r="H202" i="71"/>
  <c r="I202" i="71" s="1"/>
  <c r="H198" i="71"/>
  <c r="I198" i="71" s="1"/>
  <c r="H132" i="71"/>
  <c r="I132" i="71" s="1"/>
  <c r="H84" i="71"/>
  <c r="I84" i="71" s="1"/>
  <c r="H141" i="71"/>
  <c r="I141" i="71" s="1"/>
  <c r="H120" i="71"/>
  <c r="I120" i="71" s="1"/>
  <c r="H180" i="71"/>
  <c r="I180" i="71" s="1"/>
  <c r="H170" i="71"/>
  <c r="I170" i="71" s="1"/>
  <c r="H175" i="71"/>
  <c r="I175" i="71" s="1"/>
  <c r="H205" i="71"/>
  <c r="I205" i="71" s="1"/>
  <c r="H151" i="71"/>
  <c r="I151" i="71" s="1"/>
  <c r="H204" i="71"/>
  <c r="I204" i="71" s="1"/>
  <c r="H93" i="71"/>
  <c r="I93" i="71" s="1"/>
  <c r="H207" i="71"/>
  <c r="I207" i="71" s="1"/>
  <c r="H150" i="71"/>
  <c r="I150" i="71" s="1"/>
  <c r="H174" i="71"/>
  <c r="I174" i="71" s="1"/>
  <c r="H103" i="71"/>
  <c r="I103" i="71" s="1"/>
  <c r="H87" i="71"/>
  <c r="I87" i="71" s="1"/>
  <c r="H177" i="71"/>
  <c r="I177" i="71" s="1"/>
  <c r="H206" i="71"/>
  <c r="I206" i="71" s="1"/>
  <c r="H146" i="71"/>
  <c r="I146" i="71" s="1"/>
  <c r="H220" i="71"/>
  <c r="I220" i="71" s="1"/>
  <c r="H161" i="71"/>
  <c r="I161" i="71" s="1"/>
  <c r="H126" i="71"/>
  <c r="I126" i="71" s="1"/>
  <c r="H169" i="71"/>
  <c r="I169" i="71" s="1"/>
  <c r="H79" i="71"/>
  <c r="I79" i="71" s="1"/>
  <c r="H114" i="71"/>
  <c r="I114" i="71" s="1"/>
  <c r="H137" i="71"/>
  <c r="I137" i="71" s="1"/>
  <c r="H140" i="71"/>
  <c r="I140" i="71" s="1"/>
  <c r="H139" i="71"/>
  <c r="I139" i="71" s="1"/>
  <c r="H183" i="71"/>
  <c r="I183" i="71" s="1"/>
  <c r="H224" i="71"/>
  <c r="I224" i="71" s="1"/>
  <c r="H186" i="71"/>
  <c r="I186" i="71" s="1"/>
  <c r="H90" i="71"/>
  <c r="I90" i="71" s="1"/>
  <c r="H89" i="71"/>
  <c r="I89" i="71" s="1"/>
  <c r="H147" i="71"/>
  <c r="I147" i="71" s="1"/>
  <c r="H176" i="71"/>
  <c r="I176" i="71" s="1"/>
  <c r="H172" i="71"/>
  <c r="I172" i="71" s="1"/>
  <c r="H135" i="71"/>
  <c r="I135" i="71" s="1"/>
  <c r="H91" i="71"/>
  <c r="I91" i="71" s="1"/>
  <c r="H130" i="71"/>
  <c r="I130" i="71" s="1"/>
  <c r="H127" i="71"/>
  <c r="I127" i="71" s="1"/>
  <c r="H110" i="71"/>
  <c r="I110" i="71" s="1"/>
  <c r="H167" i="71"/>
  <c r="I167" i="71" s="1"/>
  <c r="H166" i="71"/>
  <c r="I166" i="71" s="1"/>
  <c r="H199" i="71"/>
  <c r="I199" i="71" s="1"/>
  <c r="H81" i="71"/>
  <c r="I81" i="71" s="1"/>
  <c r="H164" i="71"/>
  <c r="I164" i="71" s="1"/>
  <c r="H173" i="71"/>
  <c r="I173" i="71" s="1"/>
  <c r="H97" i="71"/>
  <c r="I97" i="71" s="1"/>
  <c r="H119" i="71"/>
  <c r="I119" i="71" s="1"/>
  <c r="H129" i="71"/>
  <c r="I129" i="71" s="1"/>
  <c r="H149" i="71"/>
  <c r="I149" i="71" s="1"/>
  <c r="H143" i="71"/>
  <c r="I143" i="71" s="1"/>
  <c r="H196" i="71"/>
  <c r="I196" i="71" s="1"/>
  <c r="H190" i="71"/>
  <c r="I190" i="71" s="1"/>
  <c r="H216" i="71"/>
  <c r="I216" i="71" s="1"/>
  <c r="H148" i="71"/>
  <c r="I148" i="71" s="1"/>
  <c r="H109" i="71"/>
  <c r="I109" i="71" s="1"/>
  <c r="H122" i="71"/>
  <c r="I122" i="71" s="1"/>
  <c r="H104" i="71"/>
  <c r="I104" i="71" s="1"/>
  <c r="H142" i="71"/>
  <c r="I142" i="71" s="1"/>
  <c r="H98" i="71"/>
  <c r="I98" i="71" s="1"/>
  <c r="H80" i="71"/>
  <c r="I80" i="71" s="1"/>
  <c r="H152" i="71"/>
  <c r="I152" i="71" s="1"/>
  <c r="H101" i="71"/>
  <c r="I101" i="71" s="1"/>
  <c r="H123" i="71"/>
  <c r="I123" i="71" s="1"/>
  <c r="H184" i="71"/>
  <c r="I184" i="71" s="1"/>
  <c r="H154" i="71"/>
  <c r="I154" i="71" s="1"/>
  <c r="H107" i="71"/>
  <c r="I107" i="71" s="1"/>
  <c r="H178" i="71"/>
  <c r="I178" i="71" s="1"/>
  <c r="H158" i="71"/>
  <c r="I158" i="71" s="1"/>
  <c r="H203" i="71"/>
  <c r="I203" i="71" s="1"/>
  <c r="H105" i="71"/>
  <c r="I105" i="71" s="1"/>
  <c r="H95" i="71"/>
  <c r="I95" i="71" s="1"/>
  <c r="H168" i="71"/>
  <c r="I168" i="71" s="1"/>
  <c r="H153" i="71"/>
  <c r="I153" i="71" s="1"/>
  <c r="H217" i="71"/>
  <c r="I217" i="71" s="1"/>
  <c r="H134" i="71"/>
  <c r="I134" i="71" s="1"/>
  <c r="H116" i="71"/>
  <c r="I116" i="71" s="1"/>
  <c r="H102" i="71"/>
  <c r="I102" i="71" s="1"/>
  <c r="H171" i="71"/>
  <c r="I171" i="71" s="1"/>
  <c r="H92" i="71"/>
  <c r="I92" i="71" s="1"/>
  <c r="H215" i="71"/>
  <c r="I215" i="71" s="1"/>
  <c r="H108" i="71"/>
  <c r="I108" i="71" s="1"/>
  <c r="H121" i="71"/>
  <c r="I121" i="71" s="1"/>
  <c r="H113" i="71"/>
  <c r="I113" i="71" s="1"/>
  <c r="H155" i="71"/>
  <c r="I155" i="71" s="1"/>
  <c r="H83" i="71"/>
  <c r="I83" i="71" s="1"/>
  <c r="H209" i="71"/>
  <c r="I209" i="71" s="1"/>
  <c r="H193" i="71"/>
  <c r="I193" i="71" s="1"/>
  <c r="H226" i="71"/>
  <c r="I226" i="71" s="1"/>
  <c r="H117" i="71"/>
  <c r="I117" i="71" s="1"/>
  <c r="H138" i="71"/>
  <c r="I138" i="71" s="1"/>
  <c r="H165" i="71"/>
  <c r="I165" i="71" s="1"/>
  <c r="H78" i="71"/>
  <c r="I78" i="71" s="1"/>
  <c r="H221" i="71"/>
  <c r="I221" i="71" s="1"/>
  <c r="H200" i="71"/>
  <c r="I200" i="71" s="1"/>
  <c r="H77" i="71"/>
  <c r="I77" i="71" s="1"/>
  <c r="H144" i="71"/>
  <c r="I144" i="71" s="1"/>
  <c r="H162" i="71"/>
  <c r="I162" i="71" s="1"/>
  <c r="H201" i="71"/>
  <c r="I201" i="71" s="1"/>
  <c r="H100" i="71"/>
  <c r="I100" i="71" s="1"/>
  <c r="H157" i="71"/>
  <c r="I157" i="71" s="1"/>
  <c r="H225" i="71"/>
  <c r="I225" i="71" s="1"/>
  <c r="H188" i="71"/>
  <c r="I188" i="71" s="1"/>
  <c r="H191" i="71"/>
  <c r="I191" i="71" s="1"/>
  <c r="H182" i="71"/>
  <c r="I182" i="71" s="1"/>
  <c r="H181" i="71"/>
  <c r="I181" i="71" s="1"/>
  <c r="H218" i="71"/>
  <c r="I218" i="71" s="1"/>
  <c r="H194" i="71"/>
  <c r="I194" i="71" s="1"/>
  <c r="H156" i="71"/>
  <c r="I156" i="71" s="1"/>
  <c r="H106" i="71"/>
  <c r="I106" i="71" s="1"/>
  <c r="H115" i="71"/>
  <c r="I115" i="71" s="1"/>
  <c r="H222" i="71"/>
  <c r="I222" i="71" s="1"/>
  <c r="H214" i="71"/>
  <c r="I214" i="71" s="1"/>
  <c r="H88" i="71"/>
  <c r="I88" i="71" s="1"/>
  <c r="H187" i="71"/>
  <c r="I187" i="71" s="1"/>
  <c r="N55" i="71"/>
  <c r="N54" i="71"/>
  <c r="N53" i="71"/>
  <c r="N52" i="71"/>
  <c r="L64" i="71" l="1"/>
  <c r="L66" i="71" s="1"/>
  <c r="N69" i="71"/>
  <c r="I74" i="71"/>
  <c r="P75" i="71" s="1"/>
  <c r="G76" i="71"/>
  <c r="L67" i="71"/>
  <c r="L68" i="71" s="1"/>
  <c r="L69" i="71" s="1"/>
</calcChain>
</file>

<file path=xl/sharedStrings.xml><?xml version="1.0" encoding="utf-8"?>
<sst xmlns="http://schemas.openxmlformats.org/spreadsheetml/2006/main" count="1819" uniqueCount="933">
  <si>
    <t>a</t>
  </si>
  <si>
    <t>b</t>
  </si>
  <si>
    <t>m2</t>
  </si>
  <si>
    <t>-</t>
  </si>
  <si>
    <t>efficiency</t>
  </si>
  <si>
    <t>T</t>
  </si>
  <si>
    <t>degC</t>
  </si>
  <si>
    <t>PEM</t>
  </si>
  <si>
    <t>MW</t>
  </si>
  <si>
    <t>t/a</t>
  </si>
  <si>
    <t>km2</t>
  </si>
  <si>
    <t>type</t>
  </si>
  <si>
    <t>Reference</t>
  </si>
  <si>
    <t>Comment</t>
  </si>
  <si>
    <t>EUR</t>
  </si>
  <si>
    <t>kg/kmol</t>
  </si>
  <si>
    <t>unit</t>
  </si>
  <si>
    <t>?</t>
  </si>
  <si>
    <t>kmol/h</t>
  </si>
  <si>
    <t>t/year</t>
  </si>
  <si>
    <t>SOEC</t>
  </si>
  <si>
    <t>P</t>
  </si>
  <si>
    <t>m</t>
  </si>
  <si>
    <t>H2</t>
  </si>
  <si>
    <t>CO2</t>
  </si>
  <si>
    <t>M</t>
  </si>
  <si>
    <t>A</t>
  </si>
  <si>
    <t>T (degC)</t>
  </si>
  <si>
    <t>SUM</t>
  </si>
  <si>
    <t>C</t>
  </si>
  <si>
    <t>H2O</t>
  </si>
  <si>
    <t>material</t>
  </si>
  <si>
    <t>Aluminum</t>
  </si>
  <si>
    <t>EUR/kJ</t>
  </si>
  <si>
    <t>EUR/kWh</t>
  </si>
  <si>
    <t>g</t>
  </si>
  <si>
    <t>h</t>
  </si>
  <si>
    <t>ton/year</t>
  </si>
  <si>
    <t>Other equipment</t>
  </si>
  <si>
    <t>Electricity requirement</t>
  </si>
  <si>
    <t>$/kWh</t>
  </si>
  <si>
    <t>USD</t>
  </si>
  <si>
    <t>scaling exponent</t>
  </si>
  <si>
    <t>Capital costs</t>
  </si>
  <si>
    <t>production capacity</t>
  </si>
  <si>
    <t>ref.</t>
  </si>
  <si>
    <t>LHV</t>
  </si>
  <si>
    <t>MJ/kg</t>
  </si>
  <si>
    <t>m2/MW</t>
  </si>
  <si>
    <t>area</t>
  </si>
  <si>
    <t>EUR/kW</t>
  </si>
  <si>
    <t>low</t>
  </si>
  <si>
    <t>MeOH</t>
  </si>
  <si>
    <t>$/t</t>
  </si>
  <si>
    <t>%</t>
  </si>
  <si>
    <t>[-]</t>
  </si>
  <si>
    <t>Cost type</t>
  </si>
  <si>
    <t>ha</t>
  </si>
  <si>
    <t>km</t>
  </si>
  <si>
    <t>f</t>
  </si>
  <si>
    <t>EUR/t</t>
  </si>
  <si>
    <t>MJ/t</t>
  </si>
  <si>
    <t>Electricity</t>
  </si>
  <si>
    <t>Heat</t>
  </si>
  <si>
    <t>kt/a</t>
  </si>
  <si>
    <t>Energy requirement</t>
  </si>
  <si>
    <t>Unit</t>
  </si>
  <si>
    <t>MeOH capacity</t>
  </si>
  <si>
    <t>HP</t>
  </si>
  <si>
    <t>R</t>
  </si>
  <si>
    <t>X</t>
  </si>
  <si>
    <t>Y</t>
  </si>
  <si>
    <t>Y cumul</t>
  </si>
  <si>
    <t>cumul</t>
  </si>
  <si>
    <t>land requirements</t>
  </si>
  <si>
    <t>optimal sector coupling article</t>
  </si>
  <si>
    <t>wind land requirements data</t>
  </si>
  <si>
    <t>https://www.nrel.gov/docs/fy09osti/45834.pdf</t>
  </si>
  <si>
    <t>ha/MW</t>
  </si>
  <si>
    <t>wind density DLU</t>
  </si>
  <si>
    <t>wind density ILU</t>
  </si>
  <si>
    <t>New capacity</t>
  </si>
  <si>
    <t>MWh renewable energy/ton of e-MeOH</t>
  </si>
  <si>
    <t>[IRENA]</t>
  </si>
  <si>
    <t>hours per year</t>
  </si>
  <si>
    <t>capacity factor (solar atacama)</t>
  </si>
  <si>
    <t>MW installed per ton</t>
  </si>
  <si>
    <t>efficiency losses</t>
  </si>
  <si>
    <t>installed solar</t>
  </si>
  <si>
    <t>MJ/h</t>
  </si>
  <si>
    <t>MJ/year</t>
  </si>
  <si>
    <t>energy produced per hour (full load)</t>
  </si>
  <si>
    <t>energy produced per year (actual cap.)</t>
  </si>
  <si>
    <t>Solar needed</t>
  </si>
  <si>
    <t>Land needed</t>
  </si>
  <si>
    <t>PV (1-axis) land use</t>
  </si>
  <si>
    <t>m2/kWac</t>
  </si>
  <si>
    <t>MWac/ton</t>
  </si>
  <si>
    <t>MWac</t>
  </si>
  <si>
    <t>t/MWac/year</t>
  </si>
  <si>
    <t>MWac installed per ton</t>
  </si>
  <si>
    <t>MWac/t</t>
  </si>
  <si>
    <t>Land needed wind (DLU)</t>
  </si>
  <si>
    <t>Land needed wind (ILU) - estimate</t>
  </si>
  <si>
    <t>square side wind DLU</t>
  </si>
  <si>
    <t>square side wind ILU</t>
  </si>
  <si>
    <t>square side solar DLU</t>
  </si>
  <si>
    <t>Land needed solar (DLU)</t>
  </si>
  <si>
    <t>MW/km2</t>
  </si>
  <si>
    <t>HVAC overhead line costs</t>
  </si>
  <si>
    <t>EUR/(kW km)</t>
  </si>
  <si>
    <t>total energy</t>
  </si>
  <si>
    <t>cost per km (full energy transfer)</t>
  </si>
  <si>
    <t>EUR/km</t>
  </si>
  <si>
    <t>cost for converter</t>
  </si>
  <si>
    <t>assumed distance</t>
  </si>
  <si>
    <t>transmission costs</t>
  </si>
  <si>
    <t>LCOMeOH Transmission</t>
  </si>
  <si>
    <t>per 1000 km</t>
  </si>
  <si>
    <t>per km</t>
  </si>
  <si>
    <t>Wind farm capacity</t>
  </si>
  <si>
    <t>Number of turbines</t>
  </si>
  <si>
    <t>Turbine capacity</t>
  </si>
  <si>
    <t>Underground transmission line voltage</t>
  </si>
  <si>
    <t>kV</t>
  </si>
  <si>
    <t>Underground transmission line length</t>
  </si>
  <si>
    <t>Methanol capacity</t>
  </si>
  <si>
    <t>eGasoline</t>
  </si>
  <si>
    <t>assumed capacity factor</t>
  </si>
  <si>
    <t>Wind farm power density (actual)</t>
  </si>
  <si>
    <t>Wind farm 6MW turbine density</t>
  </si>
  <si>
    <t>turbine/km2</t>
  </si>
  <si>
    <t>Faro del Sur / HIF Cabo Negro eFuels</t>
  </si>
  <si>
    <t>Total energy generated</t>
  </si>
  <si>
    <t>MWh / year</t>
  </si>
  <si>
    <t>Energy consumption methanol</t>
  </si>
  <si>
    <t>MWh/ton</t>
  </si>
  <si>
    <t>Total Cabo Negro fossil methanol cap.</t>
  </si>
  <si>
    <t>Estimate of wind farm land required</t>
  </si>
  <si>
    <t>Estimate of square side for wind farm</t>
  </si>
  <si>
    <t>Estimate of the number of turbines</t>
  </si>
  <si>
    <t>turbines (6MW)</t>
  </si>
  <si>
    <t>for the original 325 MW and 65 turbine project)</t>
  </si>
  <si>
    <t>Wind farm area (updated project)</t>
  </si>
  <si>
    <t>https://renewablesnow.com/news/hif-files-new-eis-for-disputed-usd-500m-wind-project-in-chile-843296/</t>
  </si>
  <si>
    <t>Wind farm area estimate (Google)</t>
  </si>
  <si>
    <t>eFuels project investment</t>
  </si>
  <si>
    <t>not sure if it also includes the wind farm (but would make sense)</t>
  </si>
  <si>
    <t>Wind farm investment</t>
  </si>
  <si>
    <t>Transmission costs</t>
  </si>
  <si>
    <t>CAPEX HVDC/HVAC at 250 miles</t>
  </si>
  <si>
    <t>USD/mile/MW</t>
  </si>
  <si>
    <t>DeSantis et al. 2021</t>
  </si>
  <si>
    <t>USD/km/MW</t>
  </si>
  <si>
    <t>L</t>
  </si>
  <si>
    <t>Cable cost</t>
  </si>
  <si>
    <t>Source</t>
  </si>
  <si>
    <t>Brown and Sedano 2004</t>
  </si>
  <si>
    <t>Original source</t>
  </si>
  <si>
    <t>Transmission type</t>
  </si>
  <si>
    <t>Costs</t>
  </si>
  <si>
    <t>USD/mile</t>
  </si>
  <si>
    <t>USD/km</t>
  </si>
  <si>
    <t>Year</t>
  </si>
  <si>
    <t>Onshore/Offshore</t>
  </si>
  <si>
    <t>Onshore</t>
  </si>
  <si>
    <t>USD/(MW*mile)</t>
  </si>
  <si>
    <t>USD/(MW*km)</t>
  </si>
  <si>
    <t>New 138 kV double circuit line (aboveground)</t>
  </si>
  <si>
    <t>New 138 kV single circuit line (aboveground)</t>
  </si>
  <si>
    <t>New 69 kV double circuit line (aboveground)</t>
  </si>
  <si>
    <t>New 69 kV single circuit line (aboveground)</t>
  </si>
  <si>
    <t>Approximately four times the costs of above-ground single circuit lines.</t>
  </si>
  <si>
    <t>Single circuit underground lines (69 kV single ciruit)</t>
  </si>
  <si>
    <t>"American Transmission Company, 10-Year Transmission Assessment, September 2003"</t>
  </si>
  <si>
    <t>HVDC</t>
  </si>
  <si>
    <t>Amortized costs</t>
  </si>
  <si>
    <t>Transmission</t>
  </si>
  <si>
    <t>USD/MWh/1000 miles</t>
  </si>
  <si>
    <t>Total operating costs and amortized capital costs for new line construction</t>
  </si>
  <si>
    <t>Capital costs assumed</t>
  </si>
  <si>
    <t>HVDC transmission lines above 10 miles</t>
  </si>
  <si>
    <t>HVDC transmission lines  3-10 miles</t>
  </si>
  <si>
    <t>HVDC transmission lines below 3 miles</t>
  </si>
  <si>
    <t>HVDC lines become more cost effective at 300 miles (on a $/mile/MW basis)</t>
  </si>
  <si>
    <t>Pletka et al. 2014 - Black &amp; Veatch cost model</t>
  </si>
  <si>
    <t>similar study done for HVAC lines (see figure and use Black &amp; Veatch cost model)</t>
  </si>
  <si>
    <t>Miranda et al. 2017</t>
  </si>
  <si>
    <t>Project costs in Alaska + Black and Veatch model</t>
  </si>
  <si>
    <t>O&amp;M costs</t>
  </si>
  <si>
    <t>Various but compared to 69 kV, aboveground (max)</t>
  </si>
  <si>
    <t>Various but compared to 69 kV aboveground (min)</t>
  </si>
  <si>
    <t>Various but compared to 69 kV, underground (min)</t>
  </si>
  <si>
    <t>Various but compared to 69 kV, underground (max)</t>
  </si>
  <si>
    <t>costs include materials, construction, installation (just over half the costs), control system, substation, switchyard, road clearance, indirect costs and contingencies (see table)</t>
  </si>
  <si>
    <t>low number of data points (3)</t>
  </si>
  <si>
    <t>low number of data points (3) expected lifetime 20-30 years</t>
  </si>
  <si>
    <t>Various but compared to 69 kV, all types (avg, /year?)</t>
  </si>
  <si>
    <t>includes also submarine lines</t>
  </si>
  <si>
    <t>Saadi et al. 2018</t>
  </si>
  <si>
    <t>230 kV single circuit</t>
  </si>
  <si>
    <t>230 kV double circuit</t>
  </si>
  <si>
    <t>Several reports (incl. Brown and Sedano 2004 and  Black and Veatch)</t>
  </si>
  <si>
    <t>current 1.7 A (cost breakdown in figure)</t>
  </si>
  <si>
    <t>current 3.5 A (mentioned that substation costs can increase the line costs significantly)</t>
  </si>
  <si>
    <t>Smail et al. 2018</t>
  </si>
  <si>
    <t>(not reported)</t>
  </si>
  <si>
    <t>Offshore</t>
  </si>
  <si>
    <t>3*120 mm2 33 kV cable</t>
  </si>
  <si>
    <t>3*240 mm2 33 kV cable</t>
  </si>
  <si>
    <t>3*400 mm2 33 kV cable</t>
  </si>
  <si>
    <t>3*800 mm2 33 kV cable</t>
  </si>
  <si>
    <t>22.8, 26.2 MVA power limit</t>
  </si>
  <si>
    <t>30.4, 33.9 MVA power limit</t>
  </si>
  <si>
    <t>40.4, 44.3 MVA power limit</t>
  </si>
  <si>
    <t>3*400 mm2 220 kV cable</t>
  </si>
  <si>
    <t>179, 200 MVA power limit</t>
  </si>
  <si>
    <t>16.1, 18.2 MVA power limit, no costs for substation</t>
  </si>
  <si>
    <t>Cerveira et al. 2021</t>
  </si>
  <si>
    <t>50 mm2 Unipolar cable characterisitcs (LXHIOV) 18/30 kV</t>
  </si>
  <si>
    <t>120 mm2</t>
  </si>
  <si>
    <t>240 mm2</t>
  </si>
  <si>
    <t>400 mm2</t>
  </si>
  <si>
    <t>169 A max current</t>
  </si>
  <si>
    <t>281 A max current</t>
  </si>
  <si>
    <t>408 A max current</t>
  </si>
  <si>
    <t>519 A max current</t>
  </si>
  <si>
    <t>Zarkovic et al. 2021</t>
  </si>
  <si>
    <t>3x150 mm2</t>
  </si>
  <si>
    <t>3x240 mm2</t>
  </si>
  <si>
    <t>3x300 mm2</t>
  </si>
  <si>
    <t>Onshore?</t>
  </si>
  <si>
    <t>335 A max current</t>
  </si>
  <si>
    <t>435 A max current</t>
  </si>
  <si>
    <t>490 A max current</t>
  </si>
  <si>
    <t>Reichartz et al. 2024</t>
  </si>
  <si>
    <t>Zarkovic et al. 2021 and Hau 2016</t>
  </si>
  <si>
    <t>Specific electricity costs + installation</t>
  </si>
  <si>
    <t>Cable + installation costs (correlation)</t>
  </si>
  <si>
    <t>Hau 2016</t>
  </si>
  <si>
    <t>Sommer (Planung Windpark Hüselitz, IEE Kiel, 2013)</t>
  </si>
  <si>
    <t>1x150 mm2 20 kV</t>
  </si>
  <si>
    <t>1x240 mm2 20 kV</t>
  </si>
  <si>
    <t>1x300 mm2 20 kV</t>
  </si>
  <si>
    <t>1x1200 mm2 110 kV</t>
  </si>
  <si>
    <t>1x800 mm2 110 kV</t>
  </si>
  <si>
    <t>1x1600 mm2 110 kV</t>
  </si>
  <si>
    <t>Cable costs + installation</t>
  </si>
  <si>
    <t>cable</t>
  </si>
  <si>
    <t>installation</t>
  </si>
  <si>
    <t>Bodal et al. 2020</t>
  </si>
  <si>
    <t>CREZ transmission in Texas</t>
  </si>
  <si>
    <t>overhead transmission expansion</t>
  </si>
  <si>
    <t>Kirschner-Bossi and Porte-Angel 2024</t>
  </si>
  <si>
    <t>Fischetti and Pissinger 2017, Sharples 2011</t>
  </si>
  <si>
    <t>240 mm2 (array cable)</t>
  </si>
  <si>
    <t>630 mm2 (export cable)</t>
  </si>
  <si>
    <t>400 mm2 (34kV, substation cable)</t>
  </si>
  <si>
    <t>Gonzalez-Roriguez 2017</t>
  </si>
  <si>
    <t>Green et al. 2007</t>
  </si>
  <si>
    <t>Cable costs</t>
  </si>
  <si>
    <t>150 mm2</t>
  </si>
  <si>
    <t>630 mm2</t>
  </si>
  <si>
    <t>95 mm2 (inner array)</t>
  </si>
  <si>
    <t>also has data on high voltage export cables</t>
  </si>
  <si>
    <t>IEA ETSAP 2014</t>
  </si>
  <si>
    <t>NREL 2012</t>
  </si>
  <si>
    <t>Capital + contingencies</t>
  </si>
  <si>
    <t>Long distance transmission lines (500-765 kV) max</t>
  </si>
  <si>
    <t>Long distance transmission lines (500-765 kV) min</t>
  </si>
  <si>
    <t xml:space="preserve">Low voltage transmission lines min </t>
  </si>
  <si>
    <t>Low voltage transmission lines max</t>
  </si>
  <si>
    <t>Stevens et al. 2017</t>
  </si>
  <si>
    <t>Onshore farm cabling</t>
  </si>
  <si>
    <t>Cable + installation</t>
  </si>
  <si>
    <t>Cable + installation (trench)</t>
  </si>
  <si>
    <t>Dace Price Booklet</t>
  </si>
  <si>
    <t>150 mm2 10 kV cable VG-YLK - 10 kV - Cu - 3x core</t>
  </si>
  <si>
    <t>Type</t>
  </si>
  <si>
    <t>k</t>
  </si>
  <si>
    <t>Section</t>
  </si>
  <si>
    <t>mm2</t>
  </si>
  <si>
    <t>Max current</t>
  </si>
  <si>
    <t>EUR/m</t>
  </si>
  <si>
    <t>U</t>
  </si>
  <si>
    <t>unipolar</t>
  </si>
  <si>
    <t xml:space="preserve">Electrical resistance </t>
  </si>
  <si>
    <t>Ohm/km</t>
  </si>
  <si>
    <t>Inductance</t>
  </si>
  <si>
    <t>mH/km</t>
  </si>
  <si>
    <t>Max I</t>
  </si>
  <si>
    <t>LS</t>
  </si>
  <si>
    <t>Young et al. 2023</t>
  </si>
  <si>
    <t>Sievert et al. 2024</t>
  </si>
  <si>
    <t>Initial plant capacity</t>
  </si>
  <si>
    <t>tCO2/a</t>
  </si>
  <si>
    <t>Components</t>
  </si>
  <si>
    <t>Scaling factors</t>
  </si>
  <si>
    <t>Blowers</t>
  </si>
  <si>
    <t>Vacuum pump</t>
  </si>
  <si>
    <t>Condensers</t>
  </si>
  <si>
    <t>Switching valves</t>
  </si>
  <si>
    <t>Initial sorbent</t>
  </si>
  <si>
    <t>Buildings and land</t>
  </si>
  <si>
    <t>Compressor</t>
  </si>
  <si>
    <t>building scaling from Young et al. 2023</t>
  </si>
  <si>
    <t>[M$ 2022]</t>
  </si>
  <si>
    <t>Initial installed costs</t>
  </si>
  <si>
    <t>EPC costs [$M]</t>
  </si>
  <si>
    <t>EPC factor [-]</t>
  </si>
  <si>
    <t>Scaled plant capacity</t>
  </si>
  <si>
    <t>Scaled direct material costs</t>
  </si>
  <si>
    <t>Initial direct material costs</t>
  </si>
  <si>
    <t>Scaled installed costs</t>
  </si>
  <si>
    <t>(assumed a scaling factor for blowers of 1)</t>
  </si>
  <si>
    <t>[$2022/(kg/d)]</t>
  </si>
  <si>
    <t>[$2022/(kg/h)]</t>
  </si>
  <si>
    <t>[$2022/(kmol/h)]</t>
  </si>
  <si>
    <t>CAPEX per [$2022/(tCO2/a)]</t>
  </si>
  <si>
    <t>Initial installed cost breakdown</t>
  </si>
  <si>
    <t>Scaled installed costs breakdown</t>
  </si>
  <si>
    <t>input DAC plant scales [tCO2/a]</t>
  </si>
  <si>
    <t>model scaling factor</t>
  </si>
  <si>
    <t>model CAPEX</t>
  </si>
  <si>
    <t>model max cap</t>
  </si>
  <si>
    <t>CH3OH</t>
  </si>
  <si>
    <t>[MJ/kg]</t>
  </si>
  <si>
    <t>[MJ/kmol]</t>
  </si>
  <si>
    <t>[kWh/kg]</t>
  </si>
  <si>
    <t>[kg/kmol]</t>
  </si>
  <si>
    <t>[kg/h]</t>
  </si>
  <si>
    <t>[kmol/a]</t>
  </si>
  <si>
    <t>[kmol/d]</t>
  </si>
  <si>
    <t>[kmol/h]</t>
  </si>
  <si>
    <r>
      <t>[MW</t>
    </r>
    <r>
      <rPr>
        <sz val="8"/>
        <color theme="1"/>
        <rFont val="Calibri"/>
        <family val="2"/>
        <scheme val="minor"/>
      </rPr>
      <t>LHV</t>
    </r>
    <r>
      <rPr>
        <sz val="11"/>
        <color theme="1"/>
        <rFont val="Calibri"/>
        <family val="2"/>
        <scheme val="minor"/>
      </rPr>
      <t>]</t>
    </r>
  </si>
  <si>
    <r>
      <t>[MW</t>
    </r>
    <r>
      <rPr>
        <sz val="8"/>
        <rFont val="Calibri"/>
        <family val="2"/>
        <scheme val="minor"/>
      </rPr>
      <t>el</t>
    </r>
    <r>
      <rPr>
        <sz val="11"/>
        <rFont val="Calibri"/>
        <family val="2"/>
        <scheme val="minor"/>
      </rPr>
      <t>]</t>
    </r>
  </si>
  <si>
    <r>
      <t>[MW</t>
    </r>
    <r>
      <rPr>
        <sz val="8"/>
        <rFont val="Calibri"/>
        <family val="2"/>
        <scheme val="minor"/>
      </rPr>
      <t>th</t>
    </r>
    <r>
      <rPr>
        <sz val="11"/>
        <rFont val="Calibri"/>
        <family val="2"/>
        <scheme val="minor"/>
      </rPr>
      <t>]</t>
    </r>
  </si>
  <si>
    <t>DAC energy consumption</t>
  </si>
  <si>
    <t>[Nm3/h]</t>
  </si>
  <si>
    <t>Electrolyzer efficiency</t>
  </si>
  <si>
    <t>AEL</t>
  </si>
  <si>
    <t>Brynolf et al. 2018</t>
  </si>
  <si>
    <r>
      <t>[el. to LHV</t>
    </r>
    <r>
      <rPr>
        <sz val="8"/>
        <color theme="1"/>
        <rFont val="Calibri"/>
        <family val="2"/>
        <scheme val="minor"/>
      </rPr>
      <t>H2</t>
    </r>
    <r>
      <rPr>
        <sz val="11"/>
        <color theme="1"/>
        <rFont val="Calibri"/>
        <family val="2"/>
        <scheme val="minor"/>
      </rPr>
      <t>]</t>
    </r>
  </si>
  <si>
    <t>CF</t>
  </si>
  <si>
    <t>Capacity</t>
  </si>
  <si>
    <t>ref: Bouaboula et al. 2024</t>
  </si>
  <si>
    <t>DAC technology</t>
  </si>
  <si>
    <t>Hydroxide Carbonate</t>
  </si>
  <si>
    <t>TVSA</t>
  </si>
  <si>
    <r>
      <t>[GJ</t>
    </r>
    <r>
      <rPr>
        <sz val="8"/>
        <color theme="1"/>
        <rFont val="Calibri"/>
        <family val="2"/>
        <scheme val="minor"/>
      </rPr>
      <t>e</t>
    </r>
    <r>
      <rPr>
        <sz val="11"/>
        <color theme="1"/>
        <rFont val="Calibri"/>
        <family val="2"/>
        <scheme val="minor"/>
      </rPr>
      <t>/t</t>
    </r>
    <r>
      <rPr>
        <sz val="8"/>
        <color theme="1"/>
        <rFont val="Calibri"/>
        <family val="2"/>
        <scheme val="minor"/>
      </rPr>
      <t>CO2</t>
    </r>
    <r>
      <rPr>
        <sz val="11"/>
        <color theme="1"/>
        <rFont val="Calibri"/>
        <family val="2"/>
        <scheme val="minor"/>
      </rPr>
      <t>]</t>
    </r>
  </si>
  <si>
    <r>
      <t>[GJ</t>
    </r>
    <r>
      <rPr>
        <sz val="8"/>
        <color theme="1"/>
        <rFont val="Calibri"/>
        <family val="2"/>
        <scheme val="minor"/>
      </rPr>
      <t>th</t>
    </r>
    <r>
      <rPr>
        <sz val="11"/>
        <color theme="1"/>
        <rFont val="Calibri"/>
        <family val="2"/>
        <scheme val="minor"/>
      </rPr>
      <t>/t</t>
    </r>
    <r>
      <rPr>
        <sz val="8"/>
        <color theme="1"/>
        <rFont val="Calibri"/>
        <family val="2"/>
        <scheme val="minor"/>
      </rPr>
      <t>CO2</t>
    </r>
    <r>
      <rPr>
        <sz val="11"/>
        <color theme="1"/>
        <rFont val="Calibri"/>
        <family val="2"/>
        <scheme val="minor"/>
      </rPr>
      <t>]</t>
    </r>
  </si>
  <si>
    <t>Water usage</t>
  </si>
  <si>
    <r>
      <t>[t</t>
    </r>
    <r>
      <rPr>
        <sz val="8"/>
        <color theme="1"/>
        <rFont val="Calibri"/>
        <family val="2"/>
        <scheme val="minor"/>
      </rPr>
      <t>H2O</t>
    </r>
    <r>
      <rPr>
        <sz val="11"/>
        <color theme="1"/>
        <rFont val="Calibri"/>
        <family val="2"/>
        <scheme val="minor"/>
      </rPr>
      <t>/t</t>
    </r>
    <r>
      <rPr>
        <sz val="8"/>
        <color theme="1"/>
        <rFont val="Calibri"/>
        <family val="2"/>
        <scheme val="minor"/>
      </rPr>
      <t>CO2</t>
    </r>
    <r>
      <rPr>
        <sz val="11"/>
        <color theme="1"/>
        <rFont val="Calibri"/>
        <family val="2"/>
        <scheme val="minor"/>
      </rPr>
      <t>]</t>
    </r>
  </si>
  <si>
    <t>Specific land use</t>
  </si>
  <si>
    <r>
      <t>[km2/Mt</t>
    </r>
    <r>
      <rPr>
        <sz val="8"/>
        <color theme="1"/>
        <rFont val="Calibri"/>
        <family val="2"/>
        <scheme val="minor"/>
      </rPr>
      <t>CO2</t>
    </r>
    <r>
      <rPr>
        <sz val="11"/>
        <color theme="1"/>
        <rFont val="Calibri"/>
        <family val="2"/>
        <scheme val="minor"/>
      </rPr>
      <t>/a]</t>
    </r>
  </si>
  <si>
    <t>high</t>
  </si>
  <si>
    <t>Value</t>
  </si>
  <si>
    <t>Refs</t>
  </si>
  <si>
    <t>IEA Direct Air Capture 2022, Sabatino et al. 2021, Block, S. &amp; Viebahn, P. Direct Air Capture (DAC) in Germany: resource implications of a possible rollout in 2045: Annales des Mines - Responsabilit ́e et environnement N◦ 105, 78–82 (2022)</t>
  </si>
  <si>
    <t>Keith et al. 2018, Socolow et al., Sabatino et al. 2021, Lebling et al.</t>
  </si>
  <si>
    <t>(no compression)</t>
  </si>
  <si>
    <t>Heat requirement</t>
  </si>
  <si>
    <t>KOH with Ca looping</t>
  </si>
  <si>
    <t>Solid sorbent</t>
  </si>
  <si>
    <t>compression work</t>
  </si>
  <si>
    <t>Compression electricity</t>
  </si>
  <si>
    <t>Keith et al. 2018</t>
  </si>
  <si>
    <t>calculated in this work</t>
  </si>
  <si>
    <t>KOH with Ca looping (electric)</t>
  </si>
  <si>
    <t>ref: Kung et al. 2023 (values from Young et al. 2023)</t>
  </si>
  <si>
    <t>Solid Sorbent</t>
  </si>
  <si>
    <t>(estimated)</t>
  </si>
  <si>
    <t>reports from Climeworks, Global thermostat</t>
  </si>
  <si>
    <t>ref: Fasihi et al. 2019</t>
  </si>
  <si>
    <t>ref: Fahr et al. 2022 (similar to Fasihi et al. who also takes values from Climeworks)</t>
  </si>
  <si>
    <r>
      <t>[MJ</t>
    </r>
    <r>
      <rPr>
        <sz val="8"/>
        <color theme="0" tint="-0.499984740745262"/>
        <rFont val="Calibri"/>
        <family val="2"/>
        <scheme val="minor"/>
      </rPr>
      <t>th</t>
    </r>
    <r>
      <rPr>
        <sz val="11"/>
        <color theme="0" tint="-0.499984740745262"/>
        <rFont val="Calibri"/>
        <family val="2"/>
        <scheme val="minor"/>
      </rPr>
      <t>/t]</t>
    </r>
  </si>
  <si>
    <r>
      <t>[kWh</t>
    </r>
    <r>
      <rPr>
        <sz val="8"/>
        <color theme="0" tint="-0.499984740745262"/>
        <rFont val="Calibri"/>
        <family val="2"/>
        <scheme val="minor"/>
      </rPr>
      <t>e</t>
    </r>
    <r>
      <rPr>
        <sz val="11"/>
        <color theme="0" tint="-0.499984740745262"/>
        <rFont val="Calibri"/>
        <family val="2"/>
        <scheme val="minor"/>
      </rPr>
      <t>/t]</t>
    </r>
  </si>
  <si>
    <r>
      <t>[kWh</t>
    </r>
    <r>
      <rPr>
        <sz val="8"/>
        <color theme="0" tint="-0.499984740745262"/>
        <rFont val="Calibri"/>
        <family val="2"/>
        <scheme val="minor"/>
      </rPr>
      <t>th</t>
    </r>
    <r>
      <rPr>
        <sz val="11"/>
        <color theme="0" tint="-0.499984740745262"/>
        <rFont val="Calibri"/>
        <family val="2"/>
        <scheme val="minor"/>
      </rPr>
      <t>/t]</t>
    </r>
  </si>
  <si>
    <r>
      <t>[kJ</t>
    </r>
    <r>
      <rPr>
        <sz val="8"/>
        <color theme="0" tint="-0.499984740745262"/>
        <rFont val="Calibri"/>
        <family val="2"/>
        <scheme val="minor"/>
      </rPr>
      <t>th</t>
    </r>
    <r>
      <rPr>
        <sz val="11"/>
        <color theme="0" tint="-0.499984740745262"/>
        <rFont val="Calibri"/>
        <family val="2"/>
        <scheme val="minor"/>
      </rPr>
      <t>/mol]</t>
    </r>
  </si>
  <si>
    <r>
      <t>[kJ</t>
    </r>
    <r>
      <rPr>
        <sz val="8"/>
        <color theme="0" tint="-0.499984740745262"/>
        <rFont val="Calibri"/>
        <family val="2"/>
        <scheme val="minor"/>
      </rPr>
      <t>e</t>
    </r>
    <r>
      <rPr>
        <sz val="11"/>
        <color theme="0" tint="-0.499984740745262"/>
        <rFont val="Calibri"/>
        <family val="2"/>
        <scheme val="minor"/>
      </rPr>
      <t>/mol]</t>
    </r>
  </si>
  <si>
    <t>ref: Young et al. 2023 (Sievert et al. 2024 uses the same data)</t>
  </si>
  <si>
    <t>ref: Chauvy and Dubois 2022 (overview other studies with DIFFERENT configurations!, taking average values in each reported study)</t>
  </si>
  <si>
    <t>ref: IEA 2022</t>
  </si>
  <si>
    <r>
      <t>[GJ/t</t>
    </r>
    <r>
      <rPr>
        <sz val="8"/>
        <color theme="1"/>
        <rFont val="Calibri"/>
        <family val="2"/>
        <scheme val="minor"/>
      </rPr>
      <t>CO2</t>
    </r>
    <r>
      <rPr>
        <sz val="11"/>
        <color theme="1"/>
        <rFont val="Calibri"/>
        <family val="2"/>
        <scheme val="minor"/>
      </rPr>
      <t>]</t>
    </r>
  </si>
  <si>
    <t>See ranges in DAC _parameters worksheet</t>
  </si>
  <si>
    <t>[MWh/a]</t>
  </si>
  <si>
    <t>[t/a]</t>
  </si>
  <si>
    <t>[t/d]</t>
  </si>
  <si>
    <t>Production</t>
  </si>
  <si>
    <r>
      <t>t</t>
    </r>
    <r>
      <rPr>
        <b/>
        <sz val="8"/>
        <color theme="1"/>
        <rFont val="Calibri"/>
        <family val="2"/>
        <scheme val="minor"/>
      </rPr>
      <t>MeOH</t>
    </r>
    <r>
      <rPr>
        <b/>
        <sz val="12"/>
        <color theme="1"/>
        <rFont val="Calibri"/>
        <family val="2"/>
        <scheme val="minor"/>
      </rPr>
      <t>/a</t>
    </r>
  </si>
  <si>
    <t>total electricity and heat requirement</t>
  </si>
  <si>
    <t>Air contactor</t>
  </si>
  <si>
    <t>Pellet reactor</t>
  </si>
  <si>
    <t>Air separation unit</t>
  </si>
  <si>
    <t>Fines filter</t>
  </si>
  <si>
    <t>Steam turbine</t>
  </si>
  <si>
    <t>solid sorbent</t>
  </si>
  <si>
    <t>[M$ 2018]</t>
  </si>
  <si>
    <t>Calciner (-slaker)</t>
  </si>
  <si>
    <t>Inflation factor (2019-2022 USD)</t>
  </si>
  <si>
    <t>*combined Calciner and slaker into one datapoint (as is done in Young et al. 2023) and used an average scaling facotr of 0.78 (between 1 and 0.57 used in Sievert et al. 2024)</t>
  </si>
  <si>
    <t>Contactors</t>
  </si>
  <si>
    <t>Installation factors</t>
  </si>
  <si>
    <t>KOH-Ca looping</t>
  </si>
  <si>
    <r>
      <t>M</t>
    </r>
    <r>
      <rPr>
        <sz val="8"/>
        <color theme="1"/>
        <rFont val="Calibri"/>
        <family val="2"/>
        <scheme val="minor"/>
      </rPr>
      <t>CO2</t>
    </r>
    <r>
      <rPr>
        <sz val="11"/>
        <color theme="1"/>
        <rFont val="Calibri"/>
        <family val="2"/>
        <scheme val="minor"/>
      </rPr>
      <t xml:space="preserve"> [kg/kmol]</t>
    </r>
  </si>
  <si>
    <t>Young et al. 2023 initial capacity</t>
  </si>
  <si>
    <t>Calculated from Young et al. 2023 (with inflation rate of Sievert et al. 2024 and scaled to 4000 tCO2/a)</t>
  </si>
  <si>
    <t>Young et al. 2023 (capacity = 960 tCO2/a)</t>
  </si>
  <si>
    <t>* assumed scaling factor for blowers to be equal to the contactors and taken the costs from Sievert et al. due to the expert interview defining costs of blowers and buildings)</t>
  </si>
  <si>
    <t>KOH Ca looping</t>
  </si>
  <si>
    <t>total SS</t>
  </si>
  <si>
    <t>LITERATURE DATA</t>
  </si>
  <si>
    <r>
      <t>[kg</t>
    </r>
    <r>
      <rPr>
        <sz val="8"/>
        <color theme="1"/>
        <rFont val="Calibri"/>
        <family val="2"/>
        <scheme val="minor"/>
      </rPr>
      <t>H2</t>
    </r>
    <r>
      <rPr>
        <sz val="11"/>
        <color theme="1"/>
        <rFont val="Calibri"/>
        <family val="2"/>
        <scheme val="minor"/>
      </rPr>
      <t>/t</t>
    </r>
    <r>
      <rPr>
        <sz val="8"/>
        <color theme="1"/>
        <rFont val="Calibri"/>
        <family val="2"/>
        <scheme val="minor"/>
      </rPr>
      <t>CO2</t>
    </r>
    <r>
      <rPr>
        <sz val="11"/>
        <color theme="1"/>
        <rFont val="Calibri"/>
        <family val="2"/>
        <scheme val="minor"/>
      </rPr>
      <t>]</t>
    </r>
  </si>
  <si>
    <r>
      <t>[kmol</t>
    </r>
    <r>
      <rPr>
        <sz val="8"/>
        <color theme="1"/>
        <rFont val="Calibri"/>
        <family val="2"/>
        <scheme val="minor"/>
      </rPr>
      <t>H2</t>
    </r>
    <r>
      <rPr>
        <sz val="11"/>
        <color theme="1"/>
        <rFont val="Calibri"/>
        <family val="2"/>
        <scheme val="minor"/>
      </rPr>
      <t>/kmol</t>
    </r>
    <r>
      <rPr>
        <sz val="8"/>
        <color theme="1"/>
        <rFont val="Calibri"/>
        <family val="2"/>
        <scheme val="minor"/>
      </rPr>
      <t>CO2</t>
    </r>
    <r>
      <rPr>
        <sz val="11"/>
        <color theme="1"/>
        <rFont val="Calibri"/>
        <family val="2"/>
        <scheme val="minor"/>
      </rPr>
      <t>]</t>
    </r>
  </si>
  <si>
    <r>
      <t>[kmol</t>
    </r>
    <r>
      <rPr>
        <sz val="8"/>
        <color theme="1"/>
        <rFont val="Calibri"/>
        <family val="2"/>
        <scheme val="minor"/>
      </rPr>
      <t>H2</t>
    </r>
    <r>
      <rPr>
        <sz val="11"/>
        <color theme="1"/>
        <rFont val="Calibri"/>
        <family val="2"/>
        <scheme val="minor"/>
      </rPr>
      <t>/t</t>
    </r>
    <r>
      <rPr>
        <sz val="8"/>
        <color theme="1"/>
        <rFont val="Calibri"/>
        <family val="2"/>
        <scheme val="minor"/>
      </rPr>
      <t>CO2</t>
    </r>
    <r>
      <rPr>
        <sz val="11"/>
        <color theme="1"/>
        <rFont val="Calibri"/>
        <family val="2"/>
        <scheme val="minor"/>
      </rPr>
      <t>]</t>
    </r>
  </si>
  <si>
    <t>H2 requirement to cover heating demand (DAC-L)</t>
  </si>
  <si>
    <t>DAC-L</t>
  </si>
  <si>
    <t>DAC-S</t>
  </si>
  <si>
    <t>DAC-S/DAC-L</t>
  </si>
  <si>
    <t>Total production capacity</t>
  </si>
  <si>
    <t>Learning rate</t>
  </si>
  <si>
    <t>CAPEX per [$2022/(tCO2/a)] incl. learning</t>
  </si>
  <si>
    <t>Learning rate exponent (b)</t>
  </si>
  <si>
    <t>Number of units needed</t>
  </si>
  <si>
    <t>Maximum plant capacity</t>
  </si>
  <si>
    <t>Sievert et al. 2024 (4000 tCO2/a)</t>
  </si>
  <si>
    <t>Y cumul multipier</t>
  </si>
  <si>
    <t>KOH looping learning rate</t>
  </si>
  <si>
    <t>H2 HHV</t>
  </si>
  <si>
    <t>AEC</t>
  </si>
  <si>
    <t>Technology</t>
  </si>
  <si>
    <t>Initial Capex</t>
  </si>
  <si>
    <r>
      <t>[MW</t>
    </r>
    <r>
      <rPr>
        <sz val="8"/>
        <color theme="1"/>
        <rFont val="Calibri"/>
        <family val="2"/>
        <scheme val="minor"/>
      </rPr>
      <t>el</t>
    </r>
    <r>
      <rPr>
        <sz val="11"/>
        <color theme="1"/>
        <rFont val="Calibri"/>
        <family val="2"/>
        <scheme val="minor"/>
      </rPr>
      <t>]</t>
    </r>
  </si>
  <si>
    <t>Bohm et al. 2020</t>
  </si>
  <si>
    <t>Gas conditioning</t>
  </si>
  <si>
    <t>Max stack size</t>
  </si>
  <si>
    <r>
      <t>[2020 MW</t>
    </r>
    <r>
      <rPr>
        <sz val="8"/>
        <color theme="1"/>
        <rFont val="Calibri"/>
        <family val="2"/>
        <scheme val="minor"/>
      </rPr>
      <t>el</t>
    </r>
    <r>
      <rPr>
        <sz val="11"/>
        <color theme="1"/>
        <rFont val="Calibri"/>
        <family val="2"/>
        <scheme val="minor"/>
      </rPr>
      <t>]</t>
    </r>
  </si>
  <si>
    <r>
      <t>[2030 MW</t>
    </r>
    <r>
      <rPr>
        <sz val="8"/>
        <color theme="1"/>
        <rFont val="Calibri"/>
        <family val="2"/>
        <scheme val="minor"/>
      </rPr>
      <t>el</t>
    </r>
    <r>
      <rPr>
        <sz val="11"/>
        <color theme="1"/>
        <rFont val="Calibri"/>
        <family val="2"/>
        <scheme val="minor"/>
      </rPr>
      <t>]</t>
    </r>
  </si>
  <si>
    <r>
      <t>[2050 MW</t>
    </r>
    <r>
      <rPr>
        <sz val="8"/>
        <color theme="1"/>
        <rFont val="Calibri"/>
        <family val="2"/>
        <scheme val="minor"/>
      </rPr>
      <t>el</t>
    </r>
    <r>
      <rPr>
        <sz val="11"/>
        <color theme="1"/>
        <rFont val="Calibri"/>
        <family val="2"/>
        <scheme val="minor"/>
      </rPr>
      <t>]</t>
    </r>
  </si>
  <si>
    <r>
      <t>MW</t>
    </r>
    <r>
      <rPr>
        <sz val="8"/>
        <color theme="1"/>
        <rFont val="Calibri"/>
        <family val="2"/>
        <scheme val="minor"/>
      </rPr>
      <t>el</t>
    </r>
  </si>
  <si>
    <t>Scaled plant size</t>
  </si>
  <si>
    <t>Reference plant size</t>
  </si>
  <si>
    <t>2020 [-]</t>
  </si>
  <si>
    <t>2030 [-]</t>
  </si>
  <si>
    <t>2050 [-]</t>
  </si>
  <si>
    <t>Ref. Power</t>
  </si>
  <si>
    <r>
      <t>[EUR</t>
    </r>
    <r>
      <rPr>
        <sz val="8"/>
        <color theme="1"/>
        <rFont val="Calibri"/>
        <family val="2"/>
        <scheme val="minor"/>
      </rPr>
      <t>2017</t>
    </r>
    <r>
      <rPr>
        <sz val="11"/>
        <color theme="1"/>
        <rFont val="Calibri"/>
        <family val="2"/>
        <scheme val="minor"/>
      </rPr>
      <t>/kW</t>
    </r>
    <r>
      <rPr>
        <sz val="8"/>
        <color theme="1"/>
        <rFont val="Calibri"/>
        <family val="2"/>
        <scheme val="minor"/>
      </rPr>
      <t>el</t>
    </r>
    <r>
      <rPr>
        <sz val="11"/>
        <color theme="1"/>
        <rFont val="Calibri"/>
        <family val="2"/>
        <scheme val="minor"/>
      </rPr>
      <t>]</t>
    </r>
  </si>
  <si>
    <t>Cell stack</t>
  </si>
  <si>
    <t>Power electronics</t>
  </si>
  <si>
    <t>Balance of plant</t>
  </si>
  <si>
    <r>
      <t>f</t>
    </r>
    <r>
      <rPr>
        <sz val="8"/>
        <color theme="0" tint="-0.34998626667073579"/>
        <rFont val="Calibri"/>
        <family val="2"/>
        <scheme val="minor"/>
      </rPr>
      <t>0</t>
    </r>
    <r>
      <rPr>
        <sz val="11"/>
        <color theme="0" tint="-0.34998626667073579"/>
        <rFont val="Calibri"/>
        <family val="2"/>
        <scheme val="minor"/>
      </rPr>
      <t xml:space="preserve"> -Cell stack</t>
    </r>
  </si>
  <si>
    <t>Initial cost share [-]</t>
  </si>
  <si>
    <t>Scale factor [-]</t>
  </si>
  <si>
    <t>Stack scaling factor - f [-]</t>
  </si>
  <si>
    <t>Plant capacity</t>
  </si>
  <si>
    <t>PEM CAPEX 2020</t>
  </si>
  <si>
    <t>PEM CAPEX 2050</t>
  </si>
  <si>
    <r>
      <t>Initial Capex [EUR</t>
    </r>
    <r>
      <rPr>
        <sz val="8"/>
        <color theme="1"/>
        <rFont val="Calibri"/>
        <family val="2"/>
        <scheme val="minor"/>
      </rPr>
      <t>2017</t>
    </r>
    <r>
      <rPr>
        <sz val="11"/>
        <color theme="1"/>
        <rFont val="Calibri"/>
        <family val="2"/>
        <scheme val="minor"/>
      </rPr>
      <t>/kW</t>
    </r>
    <r>
      <rPr>
        <sz val="8"/>
        <color theme="1"/>
        <rFont val="Calibri"/>
        <family val="2"/>
        <scheme val="minor"/>
      </rPr>
      <t>el</t>
    </r>
    <r>
      <rPr>
        <sz val="11"/>
        <color theme="1"/>
        <rFont val="Calibri"/>
        <family val="2"/>
        <scheme val="minor"/>
      </rPr>
      <t>]</t>
    </r>
  </si>
  <si>
    <r>
      <t>Scaled Capex [EUR</t>
    </r>
    <r>
      <rPr>
        <b/>
        <sz val="8"/>
        <color theme="1"/>
        <rFont val="Calibri"/>
        <family val="2"/>
        <scheme val="minor"/>
      </rPr>
      <t>2017</t>
    </r>
    <r>
      <rPr>
        <b/>
        <sz val="11"/>
        <color theme="1"/>
        <rFont val="Calibri"/>
        <family val="2"/>
        <scheme val="minor"/>
      </rPr>
      <t>/kW</t>
    </r>
    <r>
      <rPr>
        <b/>
        <sz val="8"/>
        <color theme="1"/>
        <rFont val="Calibri"/>
        <family val="2"/>
        <scheme val="minor"/>
      </rPr>
      <t>el</t>
    </r>
    <r>
      <rPr>
        <b/>
        <sz val="11"/>
        <color theme="1"/>
        <rFont val="Calibri"/>
        <family val="2"/>
        <scheme val="minor"/>
      </rPr>
      <t>]</t>
    </r>
  </si>
  <si>
    <t>SOEC CAPEX 2020</t>
  </si>
  <si>
    <t>SOEC CAPEX 2050</t>
  </si>
  <si>
    <r>
      <t>[el. To HHV</t>
    </r>
    <r>
      <rPr>
        <sz val="8"/>
        <color theme="1"/>
        <rFont val="Calibri"/>
        <family val="2"/>
        <scheme val="minor"/>
      </rPr>
      <t>H2</t>
    </r>
    <r>
      <rPr>
        <sz val="11"/>
        <color theme="1"/>
        <rFont val="Calibri"/>
        <family val="2"/>
        <scheme val="minor"/>
      </rPr>
      <t>]</t>
    </r>
  </si>
  <si>
    <t>CEPCI ratio</t>
  </si>
  <si>
    <t>Calculated from Young et al. 2023 (with inflation rate from Sievert et al. 2024)</t>
  </si>
  <si>
    <t>Chosen because of adjusted costs of blowers and buildings based on an expert interview (w.r.t. Young et al. 2023 who have used Aspen cost modeler to estimate costs of blowers - same as compressors, which were high)</t>
  </si>
  <si>
    <t>Sievert et al. 2024 (980000 tCO2/a)</t>
  </si>
  <si>
    <t>Chosen because some values in Sievert et al. 2022 did not agree with the initial source (Young et al. 2023) e.g. costs of other equipment, ASU, buildings and land… (tables S11 and S10) --&gt; seems the values were shifted in table S11</t>
  </si>
  <si>
    <t>DAC Capex [EUR/tCO2a]</t>
  </si>
  <si>
    <t>HT</t>
  </si>
  <si>
    <t>LT</t>
  </si>
  <si>
    <t>% reduction</t>
  </si>
  <si>
    <t>Based on Brynolf et al. 2018</t>
  </si>
  <si>
    <t>agrees very well with Zhang et al. 2019 (used in the first article - see the MTS costs sheet)</t>
  </si>
  <si>
    <t>capacity [MW]</t>
  </si>
  <si>
    <t>MeOH LHV</t>
  </si>
  <si>
    <t>M MeOH</t>
  </si>
  <si>
    <t>[kg/d]</t>
  </si>
  <si>
    <t xml:space="preserve"> [kg/s]</t>
  </si>
  <si>
    <r>
      <t>Investment costs [EUR</t>
    </r>
    <r>
      <rPr>
        <sz val="8"/>
        <color theme="1"/>
        <rFont val="Calibri"/>
        <family val="2"/>
        <scheme val="minor"/>
      </rPr>
      <t>2015</t>
    </r>
    <r>
      <rPr>
        <sz val="11"/>
        <color theme="1"/>
        <rFont val="Calibri"/>
        <family val="2"/>
        <scheme val="minor"/>
      </rPr>
      <t>/kW</t>
    </r>
    <r>
      <rPr>
        <sz val="8"/>
        <color theme="1"/>
        <rFont val="Calibri"/>
        <family val="2"/>
        <scheme val="minor"/>
      </rPr>
      <t>fuel</t>
    </r>
    <r>
      <rPr>
        <sz val="11"/>
        <color theme="1"/>
        <rFont val="Calibri"/>
        <family val="2"/>
        <scheme val="minor"/>
      </rPr>
      <t>]</t>
    </r>
  </si>
  <si>
    <t>[EUR/(kg/s)]</t>
  </si>
  <si>
    <t>[EUR/(kmol/h)]</t>
  </si>
  <si>
    <t>[EUR/(kg/h)]</t>
  </si>
  <si>
    <t>[EUR/(t/a)]</t>
  </si>
  <si>
    <t>[EUR/(kg/d)]</t>
  </si>
  <si>
    <t>$2022/kmol/h</t>
  </si>
  <si>
    <t>Young et al. 2023 (14%)</t>
  </si>
  <si>
    <t>Specific costs adsorbent [$/kg]</t>
  </si>
  <si>
    <t>Adsorbent material consumption [kg/tCO2]</t>
  </si>
  <si>
    <t>Costs per captured CO2 [$/tCO2]</t>
  </si>
  <si>
    <t>Gutsch and Leker 2024</t>
  </si>
  <si>
    <t>adsorbent replacement [years]</t>
  </si>
  <si>
    <t>adsorbent initial material [kg]</t>
  </si>
  <si>
    <t>adsorbent initial material plant size [tCO2/year]</t>
  </si>
  <si>
    <t>Chemical Costs (adsorbent + chemicals)</t>
  </si>
  <si>
    <t>Seievert et al. 2024</t>
  </si>
  <si>
    <t>Specific calcium carbonate costs [$/t]</t>
  </si>
  <si>
    <t>Specific KOH costs [$/t]</t>
  </si>
  <si>
    <t>KOH loss [kg/tCO2]</t>
  </si>
  <si>
    <t>IEAGHG 2021</t>
  </si>
  <si>
    <t>Calcium loss [kg/tCO2]</t>
  </si>
  <si>
    <t>(72 for NOAK, 32 long term goal: Climeworks)</t>
  </si>
  <si>
    <t>https://ieaghg.org/publications/global-assessment-of-direct-air-capture-costs/#:~:text=NOAK%20DACCS%20costs%20in%20the,performance%20assumptions%20and%20favourable%20conditions.</t>
  </si>
  <si>
    <t>1 kt</t>
  </si>
  <si>
    <t>10kt</t>
  </si>
  <si>
    <t>100 kt</t>
  </si>
  <si>
    <t>1000 kt</t>
  </si>
  <si>
    <t>Costs breakdown - scaling study below</t>
  </si>
  <si>
    <t>[$/(tCO2/a)]</t>
  </si>
  <si>
    <t>10 kt</t>
  </si>
  <si>
    <t>1 MW</t>
  </si>
  <si>
    <t>10 MW</t>
  </si>
  <si>
    <t>100 MW</t>
  </si>
  <si>
    <t>5 MW ref</t>
  </si>
  <si>
    <t>breakdown</t>
  </si>
  <si>
    <t>Cost contri (at new CAP)</t>
  </si>
  <si>
    <t>1000 MW</t>
  </si>
  <si>
    <t>points at large capacities</t>
  </si>
  <si>
    <t>trendline</t>
  </si>
  <si>
    <t>Tech</t>
  </si>
  <si>
    <t>max capacity of units</t>
  </si>
  <si>
    <t>boundary</t>
  </si>
  <si>
    <t>value</t>
  </si>
  <si>
    <t>note</t>
  </si>
  <si>
    <t>Name</t>
  </si>
  <si>
    <t>Baofeng Energy</t>
  </si>
  <si>
    <t>https://www.rechargenews.com/energy-transition/record-breaker-world-s-largest-green-hydrogen-project-with-150mw-electrolyser-brought-on-line-in-china/2-1-1160799</t>
  </si>
  <si>
    <t>Sinopec</t>
  </si>
  <si>
    <t>module</t>
  </si>
  <si>
    <t>this is implied in the text of the reference</t>
  </si>
  <si>
    <t>Becancour</t>
  </si>
  <si>
    <t>status</t>
  </si>
  <si>
    <t>operational</t>
  </si>
  <si>
    <t>planned</t>
  </si>
  <si>
    <t>project</t>
  </si>
  <si>
    <t>Becancour, Hylyzer 1000-30 from Cummins</t>
  </si>
  <si>
    <t>https://www.rechargenews.com/transition/worlds-largest-green-hydrogen-plant-inaugurated-in-canada-by-air-liquide/2-1-952085</t>
  </si>
  <si>
    <t>Böhm et al. 2020</t>
  </si>
  <si>
    <t>max value investigated</t>
  </si>
  <si>
    <t>https://thyssenkrupp-nucera.com/wp-content/uploads/2022/11/thyssenkrupp-nucera-green-hydrogen-solutions-brochure.pdf</t>
  </si>
  <si>
    <t>Thyssenkrupp Nucera</t>
  </si>
  <si>
    <t>IRENA 2020, https://p3.aprimocdn.net/siemensenergy/9c60ee43-311e-473f-8148-b19a008958a2/Brochure-Electrolyzer_16zu9_240617-pdf_Original%20file.pdf</t>
  </si>
  <si>
    <t>Siemens Elyzer P-300</t>
  </si>
  <si>
    <t>Climeworks</t>
  </si>
  <si>
    <t>plant</t>
  </si>
  <si>
    <t>Bisotti et al. 2024</t>
  </si>
  <si>
    <t>target size</t>
  </si>
  <si>
    <t>Carbon Engineering</t>
  </si>
  <si>
    <t>pilot plant</t>
  </si>
  <si>
    <t>partly operational</t>
  </si>
  <si>
    <r>
      <t>kt</t>
    </r>
    <r>
      <rPr>
        <sz val="8"/>
        <color theme="1"/>
        <rFont val="Calibri"/>
        <family val="2"/>
        <scheme val="minor"/>
      </rPr>
      <t>CO2</t>
    </r>
    <r>
      <rPr>
        <sz val="11"/>
        <color theme="1"/>
        <rFont val="Calibri"/>
        <family val="2"/>
        <scheme val="minor"/>
      </rPr>
      <t>/a</t>
    </r>
  </si>
  <si>
    <t>Long term (2050) projections European Commission</t>
  </si>
  <si>
    <t>Grosse et al. 2017 (AIT European Commission report)</t>
  </si>
  <si>
    <t>projection upper bound</t>
  </si>
  <si>
    <t>Siemens Energy</t>
  </si>
  <si>
    <t>commercial offer</t>
  </si>
  <si>
    <t>https://www.siemens-energy.com/global/en/home/products-services/product-offerings/heat-pumps.html</t>
  </si>
  <si>
    <t>Cerveira et al.</t>
  </si>
  <si>
    <t>Reactance</t>
  </si>
  <si>
    <t>freq</t>
  </si>
  <si>
    <t>1/s</t>
  </si>
  <si>
    <t>3x150</t>
  </si>
  <si>
    <t>3x240</t>
  </si>
  <si>
    <t>3x300</t>
  </si>
  <si>
    <t>section one conductor</t>
  </si>
  <si>
    <t>Imax</t>
  </si>
  <si>
    <t>Material</t>
  </si>
  <si>
    <t>copper</t>
  </si>
  <si>
    <t>Hau et al.</t>
  </si>
  <si>
    <t>S</t>
  </si>
  <si>
    <t>aluminum</t>
  </si>
  <si>
    <t>max power</t>
  </si>
  <si>
    <t>MVA</t>
  </si>
  <si>
    <t>20 kV alu</t>
  </si>
  <si>
    <t>110 kv alu</t>
  </si>
  <si>
    <t>20 kV Cu</t>
  </si>
  <si>
    <t>q mm2</t>
  </si>
  <si>
    <t>I max</t>
  </si>
  <si>
    <t>Max Power</t>
  </si>
  <si>
    <t>MVA (MW)</t>
  </si>
  <si>
    <t>1 phase</t>
  </si>
  <si>
    <t>$/m</t>
  </si>
  <si>
    <t>3 phase</t>
  </si>
  <si>
    <t>Stevens et al. 2016</t>
  </si>
  <si>
    <t>Eberle et al. 2019 (NREL)</t>
  </si>
  <si>
    <t>3x120</t>
  </si>
  <si>
    <t>3x185</t>
  </si>
  <si>
    <t>3x400</t>
  </si>
  <si>
    <t>3x500</t>
  </si>
  <si>
    <t>3x630</t>
  </si>
  <si>
    <t>3x800</t>
  </si>
  <si>
    <t>max Power</t>
  </si>
  <si>
    <t>M EUR/km</t>
  </si>
  <si>
    <t xml:space="preserve">as well as in offshore cables of Nakhai 2023 (NREL) </t>
  </si>
  <si>
    <t>P max</t>
  </si>
  <si>
    <t>C 2016</t>
  </si>
  <si>
    <t>C 2022</t>
  </si>
  <si>
    <t>CEPCI 2022</t>
  </si>
  <si>
    <t>$/EUR</t>
  </si>
  <si>
    <t>CEPCI 2016</t>
  </si>
  <si>
    <t>CEPCI 2021</t>
  </si>
  <si>
    <t>Rated power</t>
  </si>
  <si>
    <t xml:space="preserve">C 2003 </t>
  </si>
  <si>
    <t>MSEK/km</t>
  </si>
  <si>
    <t>C2003</t>
  </si>
  <si>
    <t>CEPCI 2003</t>
  </si>
  <si>
    <t>SEK to $</t>
  </si>
  <si>
    <t>$ / m</t>
  </si>
  <si>
    <t>Lundberg 2003 - offshore!</t>
  </si>
  <si>
    <t>Smail et al. 2018 - offshore!</t>
  </si>
  <si>
    <t>exponential scaling also in Lundberg 2003 (offshore)</t>
  </si>
  <si>
    <t>F_loss_spec</t>
  </si>
  <si>
    <t>[MW/km]</t>
  </si>
  <si>
    <t>Yumen city (Gansu) wind parks</t>
  </si>
  <si>
    <t>area b</t>
  </si>
  <si>
    <t>number of turbines</t>
  </si>
  <si>
    <t>Shen et al. 2017</t>
  </si>
  <si>
    <t>wind turbine capacity</t>
  </si>
  <si>
    <t>density google</t>
  </si>
  <si>
    <t>km2/turbine</t>
  </si>
  <si>
    <t>density article</t>
  </si>
  <si>
    <t>inst. power density google</t>
  </si>
  <si>
    <t>inst. power density article</t>
  </si>
  <si>
    <t>area a</t>
  </si>
  <si>
    <t>area from google</t>
  </si>
  <si>
    <t>area c</t>
  </si>
  <si>
    <t>area d</t>
  </si>
  <si>
    <t>total capacity</t>
  </si>
  <si>
    <t>Enevoldsen and Jacobson study 2021</t>
  </si>
  <si>
    <t>Installed power density</t>
  </si>
  <si>
    <t>based on existing wind farms</t>
  </si>
  <si>
    <t>Enevoldsen and Valentine 2016</t>
  </si>
  <si>
    <t>based on mean spacing of 4.375Dx4.375D (D = 100m, Cap = 2.6MW)</t>
  </si>
  <si>
    <t>not very suitable for grid design (as it simple excludes areas inbetween)</t>
  </si>
  <si>
    <t>installed power density (nominal)</t>
  </si>
  <si>
    <t xml:space="preserve">installed power density </t>
  </si>
  <si>
    <t>based on 5 MW RE power (senvion) D = 126m,  A=4D x 11D = 0.7km2)</t>
  </si>
  <si>
    <t>Jacobson et al 2017</t>
  </si>
  <si>
    <t>largest european plants considered</t>
  </si>
  <si>
    <t>largest other continent plants considered</t>
  </si>
  <si>
    <t>largest turbine</t>
  </si>
  <si>
    <t>22 kV</t>
  </si>
  <si>
    <t>33 kV</t>
  </si>
  <si>
    <t>66 kV</t>
  </si>
  <si>
    <t>132 kV</t>
  </si>
  <si>
    <t>220 kV</t>
  </si>
  <si>
    <t>Msek/km</t>
  </si>
  <si>
    <t>U [kV]</t>
  </si>
  <si>
    <t>I</t>
  </si>
  <si>
    <t>C [Msek/km]</t>
  </si>
  <si>
    <t>I [A]</t>
  </si>
  <si>
    <t>110 kV Cu</t>
  </si>
  <si>
    <t>Gonzalez-Rodriguez 2017</t>
  </si>
  <si>
    <t xml:space="preserve">U </t>
  </si>
  <si>
    <t>Substation/Transformer costs</t>
  </si>
  <si>
    <t>max rated power</t>
  </si>
  <si>
    <t>min rated power</t>
  </si>
  <si>
    <t>min HV</t>
  </si>
  <si>
    <t>max HV</t>
  </si>
  <si>
    <t>min MV</t>
  </si>
  <si>
    <t>max MV</t>
  </si>
  <si>
    <t>Parameters</t>
  </si>
  <si>
    <t>Ap</t>
  </si>
  <si>
    <t>Bp</t>
  </si>
  <si>
    <t>beta</t>
  </si>
  <si>
    <t>Transformer costs</t>
  </si>
  <si>
    <t>Lundberg 2003</t>
  </si>
  <si>
    <t>[SEK]</t>
  </si>
  <si>
    <t>[USD 2003]</t>
  </si>
  <si>
    <t>[USD 2022]</t>
  </si>
  <si>
    <t>P rated [MVA]</t>
  </si>
  <si>
    <t>Cost TR [USD2022]</t>
  </si>
  <si>
    <t>Non-linear</t>
  </si>
  <si>
    <t>Linear</t>
  </si>
  <si>
    <t>Switchgear costs</t>
  </si>
  <si>
    <t>Cost SG [USD2022]</t>
  </si>
  <si>
    <t>U rated [kV]</t>
  </si>
  <si>
    <t>[EUR 2018]</t>
  </si>
  <si>
    <t>CEPCI 2018</t>
  </si>
  <si>
    <t>Smail et al. 2019</t>
  </si>
  <si>
    <t>Bp MV</t>
  </si>
  <si>
    <t>Bp HV</t>
  </si>
  <si>
    <t>[EUR 2018 / bay]</t>
  </si>
  <si>
    <t>N bays</t>
  </si>
  <si>
    <t>Cost SGMV</t>
  </si>
  <si>
    <t>Cost SGHV</t>
  </si>
  <si>
    <t>total USD</t>
  </si>
  <si>
    <t>Lundberg 2003, linear</t>
  </si>
  <si>
    <t>some general data from a catalogue (good equations):</t>
  </si>
  <si>
    <t>https://www.bahra-electric.com/Downloads/HVCatalogueLowRes.pdf</t>
  </si>
  <si>
    <t xml:space="preserve">Cost 20 kV </t>
  </si>
  <si>
    <t>Cost 110 kV</t>
  </si>
  <si>
    <t>Ratio HV/MV</t>
  </si>
  <si>
    <t>Diff MV/HV</t>
  </si>
  <si>
    <t>[USD/m]</t>
  </si>
  <si>
    <t>comparison of costs between HV and MV</t>
  </si>
  <si>
    <t>Selected cable parameters</t>
  </si>
  <si>
    <t>[mm2]</t>
  </si>
  <si>
    <t>[Ohm/km]</t>
  </si>
  <si>
    <t xml:space="preserve">I max </t>
  </si>
  <si>
    <t>Notes</t>
  </si>
  <si>
    <t>c</t>
  </si>
  <si>
    <t>d</t>
  </si>
  <si>
    <t>a)</t>
  </si>
  <si>
    <t>b)</t>
  </si>
  <si>
    <t>Values taken from Figure 18.11. in Hau 2016</t>
  </si>
  <si>
    <t>c)</t>
  </si>
  <si>
    <t>Value for 800 taken from Figure 18.11. in Hau 2016 and rest calculated from I max</t>
  </si>
  <si>
    <t>e</t>
  </si>
  <si>
    <t>d)</t>
  </si>
  <si>
    <t>Costs for 33 kV taken as the same as for a 20 kV (both medium voltage) from Hau 2016, rest extrapolated</t>
  </si>
  <si>
    <t>e)</t>
  </si>
  <si>
    <t>Cost for higher voltage cables esimated based on costs for the 800 mm2 cable from Hau 2016, which has cost values for both MV and HV cables reported. The difference between these costs ist then linearly scaled based on the voltage increase between 20 and 110 kV</t>
  </si>
  <si>
    <t>f)</t>
  </si>
  <si>
    <t>Original project size</t>
  </si>
  <si>
    <t>Turbine</t>
  </si>
  <si>
    <t>installed power density nominal</t>
  </si>
  <si>
    <t>Turbine size</t>
  </si>
  <si>
    <r>
      <t>MW</t>
    </r>
    <r>
      <rPr>
        <sz val="8"/>
        <color theme="1"/>
        <rFont val="Calibri"/>
        <family val="2"/>
        <scheme val="minor"/>
      </rPr>
      <t>th</t>
    </r>
  </si>
  <si>
    <r>
      <t>MW</t>
    </r>
    <r>
      <rPr>
        <sz val="9"/>
        <color theme="1"/>
        <rFont val="Calibri"/>
        <family val="2"/>
        <scheme val="minor"/>
      </rPr>
      <t>th</t>
    </r>
  </si>
  <si>
    <t>P rated</t>
  </si>
  <si>
    <t>LCOMeOH_0</t>
  </si>
  <si>
    <t>LCOMeOH_1</t>
  </si>
  <si>
    <t>LCOMeOH_3</t>
  </si>
  <si>
    <t>LCOMeOH_9</t>
  </si>
  <si>
    <t>Prod_0</t>
  </si>
  <si>
    <t>Prod_1</t>
  </si>
  <si>
    <t>Prod_3</t>
  </si>
  <si>
    <t>Prod_9</t>
  </si>
  <si>
    <t>C_p1s1m1_y2020</t>
  </si>
  <si>
    <t>C_p1s1m1_y2020_maxCAPscale</t>
  </si>
  <si>
    <t>C_p1l1m1_y2020_minCAP_DACL_25</t>
  </si>
  <si>
    <t>C_p1s1m1_y2050</t>
  </si>
  <si>
    <t>C_p1s1m1_y2050_maxCAPscale</t>
  </si>
  <si>
    <t>C_p1l1m1_y2050_minCAP_DACL_25</t>
  </si>
  <si>
    <t>Nplant_0</t>
  </si>
  <si>
    <t>Nplant_1</t>
  </si>
  <si>
    <t>Nplant_3</t>
  </si>
  <si>
    <t>Nplant_9</t>
  </si>
  <si>
    <t>DAC-L: 25%</t>
  </si>
  <si>
    <t>no</t>
  </si>
  <si>
    <t>yes</t>
  </si>
  <si>
    <t xml:space="preserve">LCOMeOH ($/t) </t>
  </si>
  <si>
    <t>Natural gas based MeOH (SMR-ATR)</t>
  </si>
  <si>
    <t>costs 2020 in EUR</t>
  </si>
  <si>
    <t>LCOM (EUR/t)</t>
  </si>
  <si>
    <t>LCOM</t>
  </si>
  <si>
    <t>EUR/GJ</t>
  </si>
  <si>
    <t>dLCOM FOM+VOM</t>
  </si>
  <si>
    <t>dLCOM Capital</t>
  </si>
  <si>
    <t>dLCOM NG</t>
  </si>
  <si>
    <t>dLCOM CO2tax</t>
  </si>
  <si>
    <t>Prod. capacity</t>
  </si>
  <si>
    <t>tpd</t>
  </si>
  <si>
    <t>Capital scaling</t>
  </si>
  <si>
    <t>% deltaLCOMeOH</t>
  </si>
  <si>
    <t>ref: CH4 price</t>
  </si>
  <si>
    <t xml:space="preserve"> ref: dLCOM NG</t>
  </si>
  <si>
    <t>chosen: CH4 price</t>
  </si>
  <si>
    <t>ref: LCOM</t>
  </si>
  <si>
    <t>Arnaiz del Pozo et al. 2022</t>
  </si>
  <si>
    <t>d LCOM Capital (MTS)</t>
  </si>
  <si>
    <t xml:space="preserve"> --&gt; agrees well with our dLCOMeOH MTS</t>
  </si>
  <si>
    <t>estimation</t>
  </si>
  <si>
    <t>https://ec.europa.eu/eurostat/statistics-explained/index.php?title=Natural_gas_price_statistics</t>
  </si>
  <si>
    <t>%deltaLCOMeOH</t>
  </si>
  <si>
    <t>prod capacity (kt/a)</t>
  </si>
  <si>
    <t>dLCOM Capital (EUR/t)</t>
  </si>
  <si>
    <t>data from Arnaiz del Pozo et al. 2022</t>
  </si>
  <si>
    <t>LCOM Capital</t>
  </si>
  <si>
    <t>data from figure</t>
  </si>
  <si>
    <t>LCOM FOM</t>
  </si>
  <si>
    <t>LCOM VOM</t>
  </si>
  <si>
    <t>LCOM NG</t>
  </si>
  <si>
    <t>LCOM CO2</t>
  </si>
  <si>
    <t>EUR to Dollar</t>
  </si>
  <si>
    <t>$ 2020/t</t>
  </si>
  <si>
    <t>CEPCI 2020</t>
  </si>
  <si>
    <t>$/GJ</t>
  </si>
  <si>
    <t>$/kJ</t>
  </si>
  <si>
    <t>Nplants (-)</t>
  </si>
  <si>
    <t>Natural gas, SMR + ATR</t>
  </si>
  <si>
    <t>ref NG price (6.5)</t>
  </si>
  <si>
    <t>dLCOMeOH (-)</t>
  </si>
  <si>
    <t>Plant capacity (kt/a)</t>
  </si>
  <si>
    <t>Min. cap.</t>
  </si>
  <si>
    <t>Max. scale</t>
  </si>
  <si>
    <t>NG price: 26 $/MWh</t>
  </si>
  <si>
    <t>NG price: 52 $/MWh</t>
  </si>
  <si>
    <t>Plant design</t>
  </si>
  <si>
    <t>rotor diameter</t>
  </si>
  <si>
    <t>acerage spacing</t>
  </si>
  <si>
    <t>spacing</t>
  </si>
  <si>
    <t>area multiplier</t>
  </si>
  <si>
    <t>N turbines</t>
  </si>
  <si>
    <t>Total cap</t>
  </si>
  <si>
    <t>turbine cap</t>
  </si>
  <si>
    <t>Power density</t>
  </si>
  <si>
    <t>Conductor resistance (Bahra)</t>
  </si>
  <si>
    <t>R 20 degC</t>
  </si>
  <si>
    <t>alfa (temp coeff)</t>
  </si>
  <si>
    <t>1/degC</t>
  </si>
  <si>
    <t>R at T</t>
  </si>
  <si>
    <t>YS</t>
  </si>
  <si>
    <t>skin effect</t>
  </si>
  <si>
    <t>YP</t>
  </si>
  <si>
    <t>proximity effect factor</t>
  </si>
  <si>
    <t>R AC at T</t>
  </si>
  <si>
    <t>Calculated from P rated, 20 kV (and 110 kV for 800 mm2) in Hau 2016, rest estimated by fitting and extrapolation</t>
  </si>
  <si>
    <t>https://www.elandcables.com/media/tdehbolm/lxhiov-cable.pdf?utm_source=chatgpt.com</t>
  </si>
  <si>
    <t>elandcables</t>
  </si>
  <si>
    <t>Max current (burried)</t>
  </si>
  <si>
    <t>R (20degC)</t>
  </si>
  <si>
    <t>alfa (1/degC)</t>
  </si>
  <si>
    <t>R (90 degC)</t>
  </si>
  <si>
    <t>freq (1/s)</t>
  </si>
  <si>
    <t>X L</t>
  </si>
  <si>
    <t>Capacitance</t>
  </si>
  <si>
    <t>microF/km</t>
  </si>
  <si>
    <t>X C</t>
  </si>
  <si>
    <t>resistance based on Hau</t>
  </si>
  <si>
    <t>S/m</t>
  </si>
  <si>
    <t>Conductivity</t>
  </si>
  <si>
    <t>Resitivity</t>
  </si>
  <si>
    <t>Ohm*m</t>
  </si>
  <si>
    <t>Copper</t>
  </si>
  <si>
    <t>R 90 degC</t>
  </si>
  <si>
    <t>g)</t>
  </si>
  <si>
    <t>Data from datasheet of elandcables [REF] for aluminum cable recalculated to 90 C according to Bahra, rest extrapolated</t>
  </si>
  <si>
    <t>HV aluminum cable Nexans report</t>
  </si>
  <si>
    <t>Xc</t>
  </si>
  <si>
    <t>P 20 kV</t>
  </si>
  <si>
    <t>P 33 kV</t>
  </si>
  <si>
    <t>P 66 kV</t>
  </si>
  <si>
    <t>P 110 kV</t>
  </si>
  <si>
    <t>C 33 kV (MV)</t>
  </si>
  <si>
    <t>C 66 kV (MV)</t>
  </si>
  <si>
    <t>C 110 kV (HV)</t>
  </si>
  <si>
    <t>x</t>
  </si>
  <si>
    <t>from zarkovic</t>
  </si>
  <si>
    <t>Data from datasheet of elandcables [REF], rest extrapolated</t>
  </si>
  <si>
    <t>h)</t>
  </si>
  <si>
    <t>i)</t>
  </si>
  <si>
    <t>i</t>
  </si>
  <si>
    <t>c MV</t>
  </si>
  <si>
    <t>c HV</t>
  </si>
  <si>
    <t>Data from datasheet Nexans [REF], rest extrapolated</t>
  </si>
  <si>
    <t>EUR/m 2016</t>
  </si>
  <si>
    <t>USD 2022/m</t>
  </si>
  <si>
    <t>Shunt reactor costs</t>
  </si>
  <si>
    <t>Shunt reacto rating (max trans)</t>
  </si>
  <si>
    <t>Cost ratio to transformer</t>
  </si>
  <si>
    <t>Lundberg</t>
  </si>
  <si>
    <t>Shunt reactor costs (150 MVA)</t>
  </si>
  <si>
    <t>USD 2022</t>
  </si>
  <si>
    <t>Shunt reactor costs per MVA</t>
  </si>
  <si>
    <t>USD 2022/MVA</t>
  </si>
  <si>
    <t>Gonzalez-Rodriguez</t>
  </si>
  <si>
    <t xml:space="preserve">shunt reactor </t>
  </si>
  <si>
    <t>EUR 2016/MVAr</t>
  </si>
  <si>
    <t>USD 2022/MVar</t>
  </si>
  <si>
    <t>national grid</t>
  </si>
  <si>
    <t>Guidi and Fosso 2003</t>
  </si>
  <si>
    <t xml:space="preserve">estimation of cable reactive power </t>
  </si>
  <si>
    <t>Q (33 kV)</t>
  </si>
  <si>
    <t>Q (110 kV)</t>
  </si>
  <si>
    <t>Mvar/km</t>
  </si>
  <si>
    <t>shunt reactor costs</t>
  </si>
  <si>
    <t>Kearney (entsoe-e)</t>
  </si>
  <si>
    <t>static var compensator</t>
  </si>
  <si>
    <t>Mvar</t>
  </si>
  <si>
    <t>MVAr</t>
  </si>
  <si>
    <t>installed costs (mil. EUR)</t>
  </si>
  <si>
    <t>STATCOMs</t>
  </si>
  <si>
    <t>static var compensator (VAR)</t>
  </si>
  <si>
    <t>statcom</t>
  </si>
  <si>
    <t>fix costs</t>
  </si>
  <si>
    <t>EUR 2011/Mvar</t>
  </si>
  <si>
    <t>CEPCI 2011</t>
  </si>
  <si>
    <t>USD 2022/Mvar</t>
  </si>
  <si>
    <t>Shunt reactor</t>
  </si>
  <si>
    <t>13 kV</t>
  </si>
  <si>
    <t>275 kV</t>
  </si>
  <si>
    <t>400 kV</t>
  </si>
  <si>
    <t>civil + structural work</t>
  </si>
  <si>
    <t>assuming 2/3 of the costs for a transformer</t>
  </si>
  <si>
    <t>GBP 2022/Mvar</t>
  </si>
  <si>
    <t>GBP to USD</t>
  </si>
  <si>
    <t>when not taking /100 Mvar as they state in their work, but which does not make a lot of sense in relation to other costs</t>
  </si>
  <si>
    <t>Final implementation of the cost parameters (scaling relations) are found in the Python model.</t>
  </si>
  <si>
    <t>This sheet serves as a reference for the different parameter calculations and sources considered in harmonizing cost, cost-scaling data and some preliminary and post-optimization calculations.</t>
  </si>
  <si>
    <t>LCOMeOH</t>
  </si>
  <si>
    <t>Fasihi and Breyer 2024</t>
  </si>
  <si>
    <t>comment</t>
  </si>
  <si>
    <t>in para</t>
  </si>
  <si>
    <t>data for Chile,  Patagonia location</t>
  </si>
  <si>
    <t>MTS costs</t>
  </si>
  <si>
    <t>Carbon Recycling International, The Shunli CO2 -To-Methanol Plant: Commercial Scale Production in China, https://www.carbonrecycling.is/projects-shunli, (accessed 9 June 2023).</t>
  </si>
  <si>
    <t>Shunli plant CAPEX</t>
  </si>
  <si>
    <t>Shunli plant capacity</t>
  </si>
  <si>
    <t>USD/(t/a)</t>
  </si>
  <si>
    <t>t/d</t>
  </si>
  <si>
    <t>t/h</t>
  </si>
  <si>
    <t>EUR/kWp</t>
  </si>
  <si>
    <t>EUR/(tCO2/a)</t>
  </si>
  <si>
    <t>DAC energy</t>
  </si>
  <si>
    <t>kWh th/tCO2</t>
  </si>
  <si>
    <t>EUR/(kWel)</t>
  </si>
  <si>
    <t>USD/(t/d)</t>
  </si>
  <si>
    <t>USD/(t/h)</t>
  </si>
  <si>
    <t>USD/(kg/h)</t>
  </si>
  <si>
    <t>LHV MeOH</t>
  </si>
  <si>
    <t>USD/(MJ/h)</t>
  </si>
  <si>
    <t>USD/(kJ/h)</t>
  </si>
  <si>
    <t>USD/(kJ/s)</t>
  </si>
  <si>
    <t>USD/kW</t>
  </si>
  <si>
    <t>at 110</t>
  </si>
  <si>
    <t>scaling factor</t>
  </si>
  <si>
    <t>MTS CAPEX</t>
  </si>
  <si>
    <t>MTS CAPEX estimate</t>
  </si>
  <si>
    <t>Capacity (kt/a)</t>
  </si>
  <si>
    <t>utilization factor annual</t>
  </si>
  <si>
    <t>WEL alkaline efficiency (HHV)</t>
  </si>
  <si>
    <t>GJ/tCO2</t>
  </si>
  <si>
    <t>Pfennig et al. (Global PTX atlas)</t>
  </si>
  <si>
    <t>EUR/kWth</t>
  </si>
  <si>
    <t>EUR/kg H2</t>
  </si>
  <si>
    <t>EUR/kg CO2</t>
  </si>
  <si>
    <t>CAPEX</t>
  </si>
  <si>
    <t>Wind turbines</t>
  </si>
  <si>
    <t>WEL alkaline</t>
  </si>
  <si>
    <t>H2 storage</t>
  </si>
  <si>
    <t>CO2 storage</t>
  </si>
  <si>
    <t>Battery (without inverter)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</si>
</sst>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4" formatCode="_-* #,##0.00\ &quot;€&quot;_-;\-* #,##0.00\ &quot;€&quot;_-;_-* &quot;-&quot;??\ &quot;€&quot;_-;_-@_-"/>
    <numFmt numFmtId="43" formatCode="_-* #,##0.00_-;\-* #,##0.00_-;_-* &quot;-&quot;??_-;_-@_-"/>
    <numFmt numFmtId="164" formatCode="0.0"/>
    <numFmt numFmtId="165" formatCode="0.0%"/>
    <numFmt numFmtId="166" formatCode="0.000"/>
    <numFmt numFmtId="167" formatCode="_-* #,##0_-;\-* #,##0_-;_-* &quot;-&quot;??_-;_-@_-"/>
    <numFmt numFmtId="168" formatCode="0.0000"/>
    <numFmt numFmtId="169" formatCode="0.000000"/>
    <numFmt numFmtId="170" formatCode="_-* #,##0\ _€_-;\-* #,##0\ _€_-;_-* &quot;-&quot;??\ _€_-;_-@_-"/>
    <numFmt numFmtId="171" formatCode="_-* #,##0.00\ _€_-;\-* #,##0.00\ _€_-;_-* &quot;-&quot;??\ _€_-;_-@_-"/>
    <numFmt numFmtId="172" formatCode="_-* #,##0.00000\ _€_-;\-* #,##0.00000\ _€_-;_-* &quot;-&quot;??\ _€_-;_-@_-"/>
    <numFmt numFmtId="173" formatCode="_(* #,##0_);_(* \(#,##0\);_(* &quot;-&quot;??_);_(@_)"/>
  </numFmts>
  <fonts count="33"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
      <i/>
      <sz val="11"/>
      <color rgb="FFFF0000"/>
      <name val="Calibri"/>
      <family val="2"/>
      <scheme val="minor"/>
    </font>
    <font>
      <sz val="11"/>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u/>
      <sz val="11"/>
      <color theme="10"/>
      <name val="Calibri"/>
      <family val="2"/>
      <scheme val="minor"/>
    </font>
    <font>
      <sz val="11"/>
      <color theme="0" tint="-0.34998626667073579"/>
      <name val="Calibri"/>
      <family val="2"/>
      <scheme val="minor"/>
    </font>
    <font>
      <b/>
      <i/>
      <sz val="11"/>
      <color theme="1"/>
      <name val="Calibri"/>
      <family val="2"/>
      <scheme val="minor"/>
    </font>
    <font>
      <sz val="10"/>
      <name val="Arial"/>
      <family val="2"/>
    </font>
    <font>
      <sz val="11"/>
      <color theme="0" tint="-0.499984740745262"/>
      <name val="Calibri"/>
      <family val="2"/>
      <scheme val="minor"/>
    </font>
    <font>
      <sz val="8"/>
      <color theme="1"/>
      <name val="Calibri"/>
      <family val="2"/>
      <scheme val="minor"/>
    </font>
    <font>
      <sz val="8"/>
      <name val="Calibri"/>
      <family val="2"/>
      <scheme val="minor"/>
    </font>
    <font>
      <sz val="8"/>
      <color theme="0" tint="-0.499984740745262"/>
      <name val="Calibri"/>
      <family val="2"/>
      <scheme val="minor"/>
    </font>
    <font>
      <i/>
      <sz val="9"/>
      <color theme="0" tint="-0.499984740745262"/>
      <name val="Calibri"/>
      <family val="2"/>
      <scheme val="minor"/>
    </font>
    <font>
      <sz val="9"/>
      <color theme="0" tint="-0.499984740745262"/>
      <name val="Calibri"/>
      <family val="2"/>
      <scheme val="minor"/>
    </font>
    <font>
      <b/>
      <sz val="8"/>
      <color theme="1"/>
      <name val="Calibri"/>
      <family val="2"/>
      <scheme val="minor"/>
    </font>
    <font>
      <b/>
      <sz val="12"/>
      <color theme="1"/>
      <name val="Calibri"/>
      <family val="2"/>
      <scheme val="minor"/>
    </font>
    <font>
      <i/>
      <sz val="11"/>
      <color theme="0" tint="-0.499984740745262"/>
      <name val="Calibri"/>
      <family val="2"/>
      <scheme val="minor"/>
    </font>
    <font>
      <sz val="8"/>
      <color theme="0" tint="-0.34998626667073579"/>
      <name val="Calibri"/>
      <family val="2"/>
      <scheme val="minor"/>
    </font>
    <font>
      <i/>
      <sz val="11"/>
      <color theme="0" tint="-0.34998626667073579"/>
      <name val="Calibri"/>
      <family val="2"/>
      <scheme val="minor"/>
    </font>
    <font>
      <sz val="11"/>
      <color rgb="FF000000"/>
      <name val="Calibri"/>
      <family val="2"/>
      <scheme val="minor"/>
    </font>
    <font>
      <sz val="10"/>
      <color rgb="FF000000"/>
      <name val="Helvetica Neue"/>
      <family val="2"/>
    </font>
    <font>
      <b/>
      <sz val="10"/>
      <color rgb="FF000000"/>
      <name val="Helvetica Neue"/>
      <family val="2"/>
    </font>
    <font>
      <sz val="12"/>
      <color theme="1"/>
      <name val="Helvetica"/>
      <family val="2"/>
    </font>
    <font>
      <b/>
      <i/>
      <sz val="11"/>
      <color theme="0" tint="-0.499984740745262"/>
      <name val="Calibri"/>
      <family val="2"/>
      <scheme val="minor"/>
    </font>
    <font>
      <sz val="9"/>
      <color theme="1"/>
      <name val="Calibri"/>
      <family val="2"/>
      <scheme val="minor"/>
    </font>
    <font>
      <sz val="11"/>
      <color theme="1" tint="0.499984740745262"/>
      <name val="Calibri"/>
      <family val="2"/>
      <scheme val="minor"/>
    </font>
    <font>
      <b/>
      <sz val="11"/>
      <color theme="0" tint="-0.499984740745262"/>
      <name val="Calibri"/>
      <family val="2"/>
      <scheme val="minor"/>
    </font>
  </fonts>
  <fills count="3">
    <fill>
      <patternFill patternType="none"/>
    </fill>
    <fill>
      <patternFill patternType="gray125"/>
    </fill>
    <fill>
      <patternFill patternType="solid">
        <fgColor theme="2"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xf numFmtId="0" fontId="13" fillId="0" borderId="0"/>
    <xf numFmtId="0" fontId="13" fillId="0" borderId="0"/>
    <xf numFmtId="44" fontId="1" fillId="0" borderId="0" applyFont="0" applyFill="0" applyBorder="0" applyAlignment="0" applyProtection="0"/>
  </cellStyleXfs>
  <cellXfs count="184">
    <xf numFmtId="0" fontId="0" fillId="0" borderId="0" xfId="0"/>
    <xf numFmtId="164" fontId="0" fillId="0" borderId="0" xfId="0" applyNumberFormat="1"/>
    <xf numFmtId="9" fontId="0" fillId="0" borderId="0" xfId="1" applyFont="1"/>
    <xf numFmtId="166" fontId="0" fillId="0" borderId="0" xfId="0" applyNumberFormat="1"/>
    <xf numFmtId="2" fontId="0" fillId="0" borderId="0" xfId="0" applyNumberFormat="1"/>
    <xf numFmtId="0" fontId="2" fillId="0" borderId="0" xfId="0" applyFont="1"/>
    <xf numFmtId="0" fontId="3" fillId="0" borderId="0" xfId="0" applyFont="1"/>
    <xf numFmtId="9" fontId="0" fillId="0" borderId="0" xfId="0" applyNumberFormat="1"/>
    <xf numFmtId="0" fontId="0" fillId="0" borderId="6" xfId="0" applyBorder="1"/>
    <xf numFmtId="164" fontId="0" fillId="0" borderId="3" xfId="0" applyNumberFormat="1" applyBorder="1"/>
    <xf numFmtId="0" fontId="0" fillId="0" borderId="1" xfId="0" applyBorder="1"/>
    <xf numFmtId="0" fontId="0" fillId="0" borderId="0" xfId="0" applyAlignment="1">
      <alignment horizontal="center"/>
    </xf>
    <xf numFmtId="1" fontId="0" fillId="0" borderId="0" xfId="0" applyNumberFormat="1"/>
    <xf numFmtId="2" fontId="2" fillId="0" borderId="0" xfId="0" applyNumberFormat="1" applyFont="1"/>
    <xf numFmtId="0" fontId="0" fillId="0" borderId="0" xfId="0" applyAlignment="1">
      <alignment horizontal="right"/>
    </xf>
    <xf numFmtId="0" fontId="4" fillId="0" borderId="0" xfId="0" applyFont="1" applyAlignment="1">
      <alignment horizontal="center"/>
    </xf>
    <xf numFmtId="167" fontId="2" fillId="0" borderId="0" xfId="2" applyNumberFormat="1" applyFont="1"/>
    <xf numFmtId="0" fontId="0" fillId="0" borderId="7" xfId="0" applyBorder="1"/>
    <xf numFmtId="164" fontId="2" fillId="0" borderId="0" xfId="0" applyNumberFormat="1" applyFont="1"/>
    <xf numFmtId="0" fontId="0" fillId="0" borderId="8" xfId="0" applyBorder="1"/>
    <xf numFmtId="0" fontId="0" fillId="0" borderId="9" xfId="0" applyBorder="1"/>
    <xf numFmtId="1" fontId="2" fillId="0" borderId="0" xfId="0" applyNumberFormat="1" applyFont="1"/>
    <xf numFmtId="0" fontId="2" fillId="0" borderId="9" xfId="0" applyFont="1" applyBorder="1"/>
    <xf numFmtId="165" fontId="0" fillId="0" borderId="0" xfId="0" applyNumberFormat="1"/>
    <xf numFmtId="0" fontId="2" fillId="0" borderId="0" xfId="0" applyFont="1" applyAlignment="1">
      <alignment horizontal="center"/>
    </xf>
    <xf numFmtId="11" fontId="0" fillId="0" borderId="0" xfId="0" applyNumberFormat="1"/>
    <xf numFmtId="0" fontId="0" fillId="0" borderId="0" xfId="0" applyAlignment="1">
      <alignment horizontal="left"/>
    </xf>
    <xf numFmtId="0" fontId="5" fillId="0" borderId="0" xfId="0" applyFont="1"/>
    <xf numFmtId="167" fontId="0" fillId="0" borderId="0" xfId="2" applyNumberFormat="1" applyFont="1"/>
    <xf numFmtId="1" fontId="3" fillId="0" borderId="0" xfId="0" applyNumberFormat="1" applyFont="1"/>
    <xf numFmtId="168" fontId="0" fillId="0" borderId="0" xfId="0" applyNumberFormat="1"/>
    <xf numFmtId="167" fontId="7" fillId="0" borderId="0" xfId="2" applyNumberFormat="1" applyFont="1"/>
    <xf numFmtId="0" fontId="0" fillId="0" borderId="9" xfId="0" applyBorder="1" applyAlignment="1">
      <alignment horizontal="center"/>
    </xf>
    <xf numFmtId="166" fontId="0" fillId="0" borderId="9" xfId="0" applyNumberFormat="1" applyBorder="1"/>
    <xf numFmtId="2" fontId="0" fillId="0" borderId="9" xfId="0" applyNumberFormat="1" applyBorder="1"/>
    <xf numFmtId="0" fontId="2" fillId="0" borderId="0" xfId="0" applyFont="1" applyAlignment="1">
      <alignment horizontal="left"/>
    </xf>
    <xf numFmtId="9" fontId="0" fillId="0" borderId="9" xfId="0" applyNumberFormat="1" applyBorder="1"/>
    <xf numFmtId="0" fontId="0" fillId="0" borderId="9" xfId="0" applyBorder="1" applyAlignment="1">
      <alignment horizontal="right"/>
    </xf>
    <xf numFmtId="1" fontId="2" fillId="0" borderId="9" xfId="0" applyNumberFormat="1" applyFont="1" applyBorder="1"/>
    <xf numFmtId="0" fontId="0" fillId="0" borderId="3" xfId="0" applyBorder="1"/>
    <xf numFmtId="167" fontId="0" fillId="0" borderId="0" xfId="0" applyNumberFormat="1"/>
    <xf numFmtId="0" fontId="8" fillId="0" borderId="0" xfId="0" applyFont="1"/>
    <xf numFmtId="0" fontId="2" fillId="0" borderId="9" xfId="0" applyFont="1" applyBorder="1" applyAlignment="1">
      <alignment horizontal="center"/>
    </xf>
    <xf numFmtId="164" fontId="0" fillId="0" borderId="7" xfId="0" applyNumberFormat="1" applyBorder="1"/>
    <xf numFmtId="1" fontId="0" fillId="0" borderId="9" xfId="0" applyNumberFormat="1" applyBorder="1"/>
    <xf numFmtId="9" fontId="0" fillId="0" borderId="9" xfId="1" applyFont="1" applyBorder="1"/>
    <xf numFmtId="0" fontId="0" fillId="0" borderId="6" xfId="0" applyBorder="1" applyAlignment="1">
      <alignment horizontal="right"/>
    </xf>
    <xf numFmtId="0" fontId="0" fillId="0" borderId="6" xfId="0" applyBorder="1" applyAlignment="1">
      <alignment horizontal="center"/>
    </xf>
    <xf numFmtId="0" fontId="10" fillId="0" borderId="0" xfId="3"/>
    <xf numFmtId="0" fontId="0" fillId="0" borderId="0" xfId="0" applyAlignment="1">
      <alignment horizontal="center" vertical="center" wrapText="1"/>
    </xf>
    <xf numFmtId="164" fontId="11" fillId="0" borderId="0" xfId="0" applyNumberFormat="1" applyFont="1"/>
    <xf numFmtId="0" fontId="3" fillId="0" borderId="0" xfId="0" applyFont="1" applyAlignment="1">
      <alignment horizontal="center"/>
    </xf>
    <xf numFmtId="1" fontId="0" fillId="0" borderId="0" xfId="0" applyNumberFormat="1" applyAlignment="1">
      <alignment horizontal="right"/>
    </xf>
    <xf numFmtId="0" fontId="2" fillId="0" borderId="0" xfId="0" applyFont="1" applyAlignment="1">
      <alignment horizontal="right"/>
    </xf>
    <xf numFmtId="0" fontId="14" fillId="0" borderId="0" xfId="0" applyFont="1"/>
    <xf numFmtId="9" fontId="0" fillId="0" borderId="0" xfId="0" applyNumberFormat="1" applyAlignment="1">
      <alignment horizontal="right"/>
    </xf>
    <xf numFmtId="3" fontId="0" fillId="0" borderId="0" xfId="0" applyNumberFormat="1"/>
    <xf numFmtId="170" fontId="0" fillId="0" borderId="0" xfId="0" applyNumberFormat="1"/>
    <xf numFmtId="170" fontId="0" fillId="0" borderId="0" xfId="2" applyNumberFormat="1" applyFont="1"/>
    <xf numFmtId="0" fontId="12" fillId="0" borderId="0" xfId="0" applyFont="1" applyAlignment="1">
      <alignment horizontal="center"/>
    </xf>
    <xf numFmtId="171" fontId="0" fillId="0" borderId="0" xfId="0" applyNumberForma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xf>
    <xf numFmtId="0" fontId="2" fillId="0" borderId="0" xfId="0" applyFont="1" applyAlignment="1">
      <alignment horizontal="left" vertical="top"/>
    </xf>
    <xf numFmtId="0" fontId="0" fillId="0" borderId="9" xfId="0" applyBorder="1" applyAlignment="1">
      <alignment vertical="top"/>
    </xf>
    <xf numFmtId="167" fontId="0" fillId="0" borderId="0" xfId="2" applyNumberFormat="1" applyFont="1" applyAlignment="1">
      <alignment vertical="top"/>
    </xf>
    <xf numFmtId="0" fontId="0" fillId="0" borderId="9" xfId="0" applyBorder="1" applyAlignment="1">
      <alignment horizontal="center" vertical="top"/>
    </xf>
    <xf numFmtId="0" fontId="0" fillId="0" borderId="9" xfId="0" applyBorder="1" applyAlignment="1">
      <alignment vertical="top" wrapText="1"/>
    </xf>
    <xf numFmtId="167" fontId="0" fillId="0" borderId="0" xfId="2" applyNumberFormat="1" applyFont="1" applyAlignment="1">
      <alignment horizontal="center" vertical="top"/>
    </xf>
    <xf numFmtId="167" fontId="0" fillId="0" borderId="9" xfId="2" applyNumberFormat="1" applyFont="1" applyBorder="1" applyAlignment="1">
      <alignment horizontal="center" vertical="top"/>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3" fillId="0" borderId="9" xfId="0" applyFont="1" applyBorder="1" applyAlignment="1">
      <alignment horizontal="center" vertical="center" wrapText="1"/>
    </xf>
    <xf numFmtId="0" fontId="0" fillId="0" borderId="3" xfId="0" applyBorder="1" applyAlignment="1">
      <alignment horizontal="center"/>
    </xf>
    <xf numFmtId="0" fontId="0" fillId="0" borderId="7" xfId="0" applyBorder="1" applyAlignment="1">
      <alignment horizontal="center" vertical="center" wrapText="1"/>
    </xf>
    <xf numFmtId="164" fontId="0" fillId="0" borderId="2" xfId="0" applyNumberFormat="1" applyBorder="1"/>
    <xf numFmtId="9" fontId="2" fillId="0" borderId="0" xfId="1" applyFont="1"/>
    <xf numFmtId="9" fontId="0" fillId="0" borderId="7" xfId="1" applyFont="1" applyBorder="1"/>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1" fontId="3" fillId="0" borderId="0" xfId="0" applyNumberFormat="1" applyFont="1" applyAlignment="1">
      <alignment horizontal="center"/>
    </xf>
    <xf numFmtId="0" fontId="11" fillId="0" borderId="0" xfId="0" applyFont="1" applyAlignment="1">
      <alignment horizontal="center"/>
    </xf>
    <xf numFmtId="167" fontId="11" fillId="0" borderId="0" xfId="0" applyNumberFormat="1" applyFont="1"/>
    <xf numFmtId="167" fontId="11" fillId="0" borderId="0" xfId="2" applyNumberFormat="1" applyFont="1"/>
    <xf numFmtId="0" fontId="11" fillId="0" borderId="0" xfId="0" applyFont="1"/>
    <xf numFmtId="167" fontId="11" fillId="0" borderId="0" xfId="2" applyNumberFormat="1" applyFont="1" applyAlignment="1">
      <alignment horizontal="center"/>
    </xf>
    <xf numFmtId="0" fontId="11" fillId="0" borderId="9" xfId="0" applyFont="1" applyBorder="1" applyAlignment="1">
      <alignment horizontal="center"/>
    </xf>
    <xf numFmtId="0" fontId="6" fillId="0" borderId="9" xfId="0" applyFont="1" applyBorder="1" applyAlignment="1">
      <alignment horizontal="center"/>
    </xf>
    <xf numFmtId="0" fontId="12"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8" fillId="0" borderId="0" xfId="0" applyFont="1" applyAlignment="1">
      <alignment horizontal="right"/>
    </xf>
    <xf numFmtId="0" fontId="18" fillId="0" borderId="0" xfId="0" applyFont="1" applyAlignment="1">
      <alignment horizontal="center"/>
    </xf>
    <xf numFmtId="0" fontId="18" fillId="0" borderId="0" xfId="0" applyFont="1"/>
    <xf numFmtId="0" fontId="19" fillId="0" borderId="0" xfId="0" applyFont="1" applyAlignment="1">
      <alignment horizontal="center"/>
    </xf>
    <xf numFmtId="167" fontId="21" fillId="0" borderId="0" xfId="2" applyNumberFormat="1" applyFont="1"/>
    <xf numFmtId="0" fontId="21" fillId="0" borderId="0" xfId="0" applyFont="1"/>
    <xf numFmtId="167" fontId="18" fillId="0" borderId="0" xfId="2" applyNumberFormat="1" applyFont="1"/>
    <xf numFmtId="164" fontId="0" fillId="0" borderId="3" xfId="0" applyNumberFormat="1" applyBorder="1" applyAlignment="1">
      <alignment horizontal="right"/>
    </xf>
    <xf numFmtId="0" fontId="9" fillId="0" borderId="0" xfId="0" applyFont="1"/>
    <xf numFmtId="0" fontId="3" fillId="0" borderId="10" xfId="0" applyFont="1" applyBorder="1" applyAlignment="1">
      <alignment horizontal="center" vertical="center" wrapText="1"/>
    </xf>
    <xf numFmtId="164" fontId="0" fillId="0" borderId="4" xfId="0" applyNumberFormat="1" applyBorder="1"/>
    <xf numFmtId="0" fontId="3" fillId="0" borderId="9" xfId="0" applyFont="1" applyBorder="1" applyAlignment="1">
      <alignment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wrapText="1"/>
    </xf>
    <xf numFmtId="0" fontId="14" fillId="0" borderId="7" xfId="0" applyFont="1" applyBorder="1" applyAlignment="1">
      <alignment horizontal="center" vertical="center" wrapText="1"/>
    </xf>
    <xf numFmtId="0" fontId="22" fillId="0" borderId="8" xfId="0" applyFont="1" applyBorder="1" applyAlignment="1">
      <alignment horizontal="center" vertical="center" wrapText="1"/>
    </xf>
    <xf numFmtId="164" fontId="14" fillId="0" borderId="7" xfId="0" applyNumberFormat="1" applyFont="1" applyBorder="1"/>
    <xf numFmtId="164" fontId="22" fillId="0" borderId="7" xfId="0" applyNumberFormat="1" applyFont="1" applyBorder="1"/>
    <xf numFmtId="164" fontId="14" fillId="0" borderId="2" xfId="0" applyNumberFormat="1" applyFont="1" applyBorder="1"/>
    <xf numFmtId="0" fontId="14" fillId="0" borderId="5" xfId="0" applyFont="1" applyBorder="1" applyAlignment="1">
      <alignment horizontal="center" vertical="center" wrapText="1"/>
    </xf>
    <xf numFmtId="0" fontId="0" fillId="0" borderId="5" xfId="0" applyBorder="1" applyAlignment="1">
      <alignment horizontal="center" vertical="center" wrapText="1"/>
    </xf>
    <xf numFmtId="0" fontId="2" fillId="0" borderId="0" xfId="0" applyFont="1" applyAlignment="1">
      <alignment horizontal="center" vertical="center" wrapText="1"/>
    </xf>
    <xf numFmtId="0" fontId="2" fillId="0" borderId="9" xfId="0" applyFont="1" applyBorder="1" applyAlignment="1">
      <alignment horizontal="center" vertical="center" wrapText="1"/>
    </xf>
    <xf numFmtId="164" fontId="2" fillId="0" borderId="2" xfId="0" applyNumberFormat="1" applyFont="1" applyBorder="1"/>
    <xf numFmtId="0" fontId="12" fillId="0" borderId="9" xfId="0" applyFont="1" applyBorder="1" applyAlignment="1">
      <alignment wrapText="1"/>
    </xf>
    <xf numFmtId="164" fontId="2" fillId="0" borderId="0" xfId="1" applyNumberFormat="1" applyFont="1"/>
    <xf numFmtId="1" fontId="2" fillId="0" borderId="0" xfId="1" applyNumberFormat="1" applyFont="1"/>
    <xf numFmtId="164" fontId="2" fillId="0" borderId="3" xfId="0" applyNumberFormat="1" applyFont="1" applyBorder="1"/>
    <xf numFmtId="0" fontId="2" fillId="0" borderId="0" xfId="0" applyFont="1" applyAlignment="1">
      <alignment wrapText="1"/>
    </xf>
    <xf numFmtId="1" fontId="0" fillId="0" borderId="0" xfId="0" applyNumberFormat="1" applyAlignment="1">
      <alignment wrapText="1"/>
    </xf>
    <xf numFmtId="167" fontId="0" fillId="0" borderId="0" xfId="0" applyNumberFormat="1" applyAlignment="1">
      <alignment wrapText="1"/>
    </xf>
    <xf numFmtId="0" fontId="0" fillId="2" borderId="0" xfId="0" applyFill="1"/>
    <xf numFmtId="0" fontId="0" fillId="2" borderId="0" xfId="0" applyFill="1" applyAlignment="1">
      <alignment horizontal="right"/>
    </xf>
    <xf numFmtId="0" fontId="0" fillId="2" borderId="0" xfId="0" applyFill="1" applyAlignment="1">
      <alignment horizontal="center"/>
    </xf>
    <xf numFmtId="1" fontId="12" fillId="0" borderId="0" xfId="0" applyNumberFormat="1" applyFont="1" applyAlignment="1">
      <alignment horizontal="center"/>
    </xf>
    <xf numFmtId="167" fontId="14" fillId="0" borderId="0" xfId="2" applyNumberFormat="1" applyFont="1"/>
    <xf numFmtId="0" fontId="24" fillId="0" borderId="0" xfId="0" applyFont="1"/>
    <xf numFmtId="0" fontId="24" fillId="0" borderId="9" xfId="0" applyFont="1" applyBorder="1"/>
    <xf numFmtId="0" fontId="3" fillId="0" borderId="8" xfId="0" applyFont="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24" fillId="0" borderId="10" xfId="0" applyFont="1" applyBorder="1" applyAlignment="1">
      <alignment horizontal="center" vertical="center" wrapText="1"/>
    </xf>
    <xf numFmtId="164" fontId="11" fillId="0" borderId="10" xfId="0" applyNumberFormat="1" applyFont="1" applyBorder="1"/>
    <xf numFmtId="2" fontId="11" fillId="0" borderId="9" xfId="0" applyNumberFormat="1" applyFont="1" applyBorder="1"/>
    <xf numFmtId="0" fontId="3" fillId="0" borderId="9" xfId="0" applyFont="1" applyBorder="1" applyAlignment="1">
      <alignment horizontal="left"/>
    </xf>
    <xf numFmtId="169" fontId="0" fillId="0" borderId="0" xfId="0" applyNumberFormat="1"/>
    <xf numFmtId="172" fontId="0" fillId="0" borderId="0" xfId="0" applyNumberFormat="1"/>
    <xf numFmtId="9" fontId="25" fillId="0" borderId="0" xfId="0" applyNumberFormat="1" applyFont="1"/>
    <xf numFmtId="164" fontId="0" fillId="0" borderId="0" xfId="1" applyNumberFormat="1" applyFont="1"/>
    <xf numFmtId="0" fontId="27" fillId="0" borderId="0" xfId="0" applyFont="1"/>
    <xf numFmtId="0" fontId="28" fillId="0" borderId="0" xfId="0" applyFont="1"/>
    <xf numFmtId="0" fontId="26" fillId="0" borderId="0" xfId="0" applyFont="1"/>
    <xf numFmtId="164" fontId="2" fillId="0" borderId="0" xfId="0" applyNumberFormat="1" applyFont="1" applyAlignment="1">
      <alignment horizontal="center"/>
    </xf>
    <xf numFmtId="164" fontId="27" fillId="0" borderId="0" xfId="0" applyNumberFormat="1" applyFont="1"/>
    <xf numFmtId="164" fontId="26" fillId="0" borderId="0" xfId="0" applyNumberFormat="1" applyFont="1"/>
    <xf numFmtId="2" fontId="26" fillId="0" borderId="0" xfId="0" applyNumberFormat="1" applyFont="1"/>
    <xf numFmtId="164" fontId="28" fillId="0" borderId="0" xfId="0" applyNumberFormat="1" applyFont="1"/>
    <xf numFmtId="0" fontId="22" fillId="0" borderId="0" xfId="0" applyFont="1"/>
    <xf numFmtId="1" fontId="22" fillId="0" borderId="0" xfId="0" applyNumberFormat="1" applyFont="1"/>
    <xf numFmtId="164" fontId="29" fillId="0" borderId="0" xfId="0" applyNumberFormat="1" applyFont="1" applyAlignment="1">
      <alignment horizontal="center"/>
    </xf>
    <xf numFmtId="164" fontId="22" fillId="0" borderId="0" xfId="0" applyNumberFormat="1" applyFont="1"/>
    <xf numFmtId="164" fontId="22" fillId="0" borderId="0" xfId="0" applyNumberFormat="1" applyFont="1" applyAlignment="1">
      <alignment horizontal="center"/>
    </xf>
    <xf numFmtId="0" fontId="30" fillId="0" borderId="0" xfId="0" applyFont="1" applyAlignment="1">
      <alignment horizontal="right"/>
    </xf>
    <xf numFmtId="0" fontId="15" fillId="0" borderId="0" xfId="0" applyFont="1" applyAlignment="1">
      <alignment horizontal="right"/>
    </xf>
    <xf numFmtId="0" fontId="15" fillId="0" borderId="0" xfId="0" applyFont="1"/>
    <xf numFmtId="166" fontId="2" fillId="0" borderId="0" xfId="0" applyNumberFormat="1" applyFont="1"/>
    <xf numFmtId="0" fontId="0" fillId="0" borderId="6" xfId="0" applyBorder="1" applyAlignment="1">
      <alignment horizontal="left"/>
    </xf>
    <xf numFmtId="0" fontId="31" fillId="0" borderId="0" xfId="0" applyFont="1"/>
    <xf numFmtId="9" fontId="0" fillId="0" borderId="0" xfId="1" applyFont="1" applyAlignment="1">
      <alignment horizontal="right"/>
    </xf>
    <xf numFmtId="173" fontId="0" fillId="0" borderId="0" xfId="0" applyNumberFormat="1"/>
    <xf numFmtId="9" fontId="0" fillId="0" borderId="0" xfId="1" applyFont="1" applyBorder="1" applyAlignment="1">
      <alignment horizontal="right"/>
    </xf>
    <xf numFmtId="9" fontId="7" fillId="0" borderId="0" xfId="1" applyFont="1"/>
    <xf numFmtId="9" fontId="32" fillId="0" borderId="0" xfId="1" applyFont="1"/>
    <xf numFmtId="167" fontId="32" fillId="0" borderId="0" xfId="2" applyNumberFormat="1" applyFont="1"/>
    <xf numFmtId="0" fontId="14" fillId="0" borderId="6" xfId="0" applyFont="1" applyBorder="1" applyAlignment="1">
      <alignment horizontal="center"/>
    </xf>
    <xf numFmtId="0" fontId="14" fillId="0" borderId="9" xfId="0" applyFont="1" applyBorder="1" applyAlignment="1">
      <alignment horizontal="center"/>
    </xf>
    <xf numFmtId="0" fontId="32" fillId="0" borderId="0" xfId="0" applyFont="1"/>
    <xf numFmtId="166" fontId="14" fillId="0" borderId="0" xfId="0" applyNumberFormat="1" applyFont="1"/>
    <xf numFmtId="166" fontId="14" fillId="0" borderId="9" xfId="0" applyNumberFormat="1" applyFont="1" applyBorder="1"/>
    <xf numFmtId="0" fontId="19" fillId="0" borderId="0" xfId="0" applyFont="1" applyAlignment="1">
      <alignment horizontal="right"/>
    </xf>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xf>
    <xf numFmtId="0" fontId="0" fillId="0" borderId="6" xfId="0" applyBorder="1" applyAlignment="1">
      <alignment horizontal="center"/>
    </xf>
    <xf numFmtId="0" fontId="21" fillId="0" borderId="0" xfId="0" applyFont="1" applyAlignment="1">
      <alignment horizontal="right"/>
    </xf>
  </cellXfs>
  <cellStyles count="7">
    <cellStyle name="Comma" xfId="2" builtinId="3"/>
    <cellStyle name="Currency 2" xfId="6"/>
    <cellStyle name="Hyperlink" xfId="3" builtinId="8"/>
    <cellStyle name="Normal" xfId="0" builtinId="0"/>
    <cellStyle name="Normal 2" xfId="4"/>
    <cellStyle name="Normal 3" xfId="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Cable costs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97415072093671"/>
          <c:y val="0.16922346811057509"/>
          <c:w val="0.3920009643044936"/>
          <c:h val="0.62818603254254635"/>
        </c:manualLayout>
      </c:layout>
      <c:scatterChart>
        <c:scatterStyle val="lineMarker"/>
        <c:varyColors val="0"/>
        <c:ser>
          <c:idx val="0"/>
          <c:order val="0"/>
          <c:tx>
            <c:v>Cerveira et al. 2021 (30 kV, Cu)</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forward val="200"/>
            <c:backward val="100"/>
            <c:dispRSqr val="1"/>
            <c:dispEq val="1"/>
            <c:trendlineLbl>
              <c:layout>
                <c:manualLayout>
                  <c:x val="-1.6601591752020726E-2"/>
                  <c:y val="-2.77856813371098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costs_cable!$D$12:$D$21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xVal>
          <c:yVal>
            <c:numRef>
              <c:f>costs_cable!$E$12:$E$21</c:f>
              <c:numCache>
                <c:formatCode>General</c:formatCode>
                <c:ptCount val="10"/>
                <c:pt idx="0">
                  <c:v>6.8</c:v>
                </c:pt>
                <c:pt idx="1">
                  <c:v>7.12</c:v>
                </c:pt>
                <c:pt idx="2">
                  <c:v>7.98</c:v>
                </c:pt>
                <c:pt idx="3">
                  <c:v>8.6999999999999993</c:v>
                </c:pt>
                <c:pt idx="4">
                  <c:v>12.77</c:v>
                </c:pt>
                <c:pt idx="5">
                  <c:v>13.23</c:v>
                </c:pt>
                <c:pt idx="6">
                  <c:v>14.89</c:v>
                </c:pt>
                <c:pt idx="7">
                  <c:v>17.5</c:v>
                </c:pt>
                <c:pt idx="8">
                  <c:v>21.09</c:v>
                </c:pt>
                <c:pt idx="9">
                  <c:v>23.77</c:v>
                </c:pt>
              </c:numCache>
            </c:numRef>
          </c:yVal>
          <c:smooth val="0"/>
          <c:extLst>
            <c:ext xmlns:c16="http://schemas.microsoft.com/office/drawing/2014/chart" uri="{C3380CC4-5D6E-409C-BE32-E72D297353CC}">
              <c16:uniqueId val="{00000000-2192-4125-988D-A57804064047}"/>
            </c:ext>
          </c:extLst>
        </c:ser>
        <c:ser>
          <c:idx val="1"/>
          <c:order val="1"/>
          <c:tx>
            <c:v>Zarkovic et al. 2021 (divided by 3, 33 kV, Cu)</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exp"/>
            <c:forward val="500"/>
            <c:backward val="300"/>
            <c:dispRSqr val="1"/>
            <c:dispEq val="1"/>
            <c:trendlineLbl>
              <c:layout>
                <c:manualLayout>
                  <c:x val="-0.15208529042274574"/>
                  <c:y val="5.154378068916163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costs_cable!$D$67:$D$69</c:f>
              <c:numCache>
                <c:formatCode>General</c:formatCode>
                <c:ptCount val="3"/>
                <c:pt idx="0">
                  <c:v>335</c:v>
                </c:pt>
                <c:pt idx="1">
                  <c:v>435</c:v>
                </c:pt>
                <c:pt idx="2">
                  <c:v>490</c:v>
                </c:pt>
              </c:numCache>
            </c:numRef>
          </c:xVal>
          <c:yVal>
            <c:numRef>
              <c:f>costs_cable!$I$67:$I$69</c:f>
              <c:numCache>
                <c:formatCode>General</c:formatCode>
                <c:ptCount val="3"/>
                <c:pt idx="0">
                  <c:v>19.732333333333333</c:v>
                </c:pt>
                <c:pt idx="1">
                  <c:v>21.016333333333332</c:v>
                </c:pt>
                <c:pt idx="2">
                  <c:v>22.503</c:v>
                </c:pt>
              </c:numCache>
            </c:numRef>
          </c:yVal>
          <c:smooth val="0"/>
          <c:extLst>
            <c:ext xmlns:c16="http://schemas.microsoft.com/office/drawing/2014/chart" uri="{C3380CC4-5D6E-409C-BE32-E72D297353CC}">
              <c16:uniqueId val="{00000000-FC80-C44D-B0C6-7AB5FE1BE76B}"/>
            </c:ext>
          </c:extLst>
        </c:ser>
        <c:ser>
          <c:idx val="2"/>
          <c:order val="2"/>
          <c:tx>
            <c:v>Hau 2016 (20 kV, Al)</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exp"/>
            <c:forward val="100"/>
            <c:backward val="200"/>
            <c:dispRSqr val="1"/>
            <c:dispEq val="1"/>
            <c:trendlineLbl>
              <c:layout>
                <c:manualLayout>
                  <c:x val="6.5298607785387347E-2"/>
                  <c:y val="0.2961524754666333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costs_cable!$D$80:$D$84</c:f>
              <c:numCache>
                <c:formatCode>0</c:formatCode>
                <c:ptCount val="5"/>
                <c:pt idx="0">
                  <c:v>482.57223409413302</c:v>
                </c:pt>
                <c:pt idx="1">
                  <c:v>593.86092505132501</c:v>
                </c:pt>
                <c:pt idx="2">
                  <c:v>674.74355674473998</c:v>
                </c:pt>
                <c:pt idx="3">
                  <c:v>766.14330494051001</c:v>
                </c:pt>
                <c:pt idx="4">
                  <c:v>909.16491580919512</c:v>
                </c:pt>
              </c:numCache>
            </c:numRef>
          </c:xVal>
          <c:yVal>
            <c:numRef>
              <c:f>costs_cable!$F$80:$F$85</c:f>
              <c:numCache>
                <c:formatCode>General</c:formatCode>
                <c:ptCount val="6"/>
                <c:pt idx="0">
                  <c:v>15</c:v>
                </c:pt>
                <c:pt idx="1">
                  <c:v>18</c:v>
                </c:pt>
                <c:pt idx="2">
                  <c:v>25</c:v>
                </c:pt>
                <c:pt idx="3">
                  <c:v>30</c:v>
                </c:pt>
                <c:pt idx="4">
                  <c:v>40</c:v>
                </c:pt>
                <c:pt idx="5">
                  <c:v>50</c:v>
                </c:pt>
              </c:numCache>
            </c:numRef>
          </c:yVal>
          <c:smooth val="0"/>
          <c:extLst>
            <c:ext xmlns:c16="http://schemas.microsoft.com/office/drawing/2014/chart" uri="{C3380CC4-5D6E-409C-BE32-E72D297353CC}">
              <c16:uniqueId val="{00000002-FC80-C44D-B0C6-7AB5FE1BE76B}"/>
            </c:ext>
          </c:extLst>
        </c:ser>
        <c:ser>
          <c:idx val="3"/>
          <c:order val="3"/>
          <c:tx>
            <c:v>Hau 2016 (110 kV, Al)</c:v>
          </c:tx>
          <c:spPr>
            <a:ln w="25400" cap="rnd">
              <a:noFill/>
              <a:round/>
            </a:ln>
            <a:effectLst/>
          </c:spPr>
          <c:marker>
            <c:symbol val="circle"/>
            <c:size val="5"/>
            <c:spPr>
              <a:solidFill>
                <a:schemeClr val="accent4"/>
              </a:solidFill>
              <a:ln w="9525">
                <a:solidFill>
                  <a:schemeClr val="accent4"/>
                </a:solidFill>
              </a:ln>
              <a:effectLst/>
            </c:spPr>
          </c:marker>
          <c:xVal>
            <c:numRef>
              <c:f>costs_cable!$D$93</c:f>
              <c:numCache>
                <c:formatCode>0</c:formatCode>
                <c:ptCount val="1"/>
                <c:pt idx="0">
                  <c:v>1014.1735562749362</c:v>
                </c:pt>
              </c:numCache>
            </c:numRef>
          </c:xVal>
          <c:yVal>
            <c:numRef>
              <c:f>costs_cable!$F$93</c:f>
              <c:numCache>
                <c:formatCode>General</c:formatCode>
                <c:ptCount val="1"/>
                <c:pt idx="0">
                  <c:v>100</c:v>
                </c:pt>
              </c:numCache>
            </c:numRef>
          </c:yVal>
          <c:smooth val="0"/>
          <c:extLst>
            <c:ext xmlns:c16="http://schemas.microsoft.com/office/drawing/2014/chart" uri="{C3380CC4-5D6E-409C-BE32-E72D297353CC}">
              <c16:uniqueId val="{00000003-FC80-C44D-B0C6-7AB5FE1BE76B}"/>
            </c:ext>
          </c:extLst>
        </c:ser>
        <c:dLbls>
          <c:showLegendKey val="0"/>
          <c:showVal val="0"/>
          <c:showCatName val="0"/>
          <c:showSerName val="0"/>
          <c:showPercent val="0"/>
          <c:showBubbleSize val="0"/>
        </c:dLbls>
        <c:axId val="1525655576"/>
        <c:axId val="1525651312"/>
        <c:extLst>
          <c:ext xmlns:c15="http://schemas.microsoft.com/office/drawing/2012/chart" uri="{02D57815-91ED-43cb-92C2-25804820EDAC}">
            <c15:filteredScatterSeries>
              <c15:ser>
                <c:idx val="4"/>
                <c:order val="4"/>
                <c:tx>
                  <c:v>Smail et al. 2018 (offshore?, divided by 3, 33 kV)</c:v>
                </c:tx>
                <c:spPr>
                  <a:ln w="25400" cap="rnd">
                    <a:noFill/>
                    <a:round/>
                  </a:ln>
                  <a:effectLst/>
                </c:spPr>
                <c:marker>
                  <c:symbol val="circle"/>
                  <c:size val="5"/>
                  <c:spPr>
                    <a:solidFill>
                      <a:schemeClr val="accent5"/>
                    </a:solidFill>
                    <a:ln w="9525">
                      <a:solidFill>
                        <a:schemeClr val="accent5"/>
                      </a:solidFill>
                    </a:ln>
                    <a:effectLst/>
                  </c:spPr>
                </c:marker>
                <c:xVal>
                  <c:numRef>
                    <c:extLst>
                      <c:ext uri="{02D57815-91ED-43cb-92C2-25804820EDAC}">
                        <c15:formulaRef>
                          <c15:sqref>costs_cable!$E$154:$E$162</c15:sqref>
                        </c15:formulaRef>
                      </c:ext>
                    </c:extLst>
                    <c:numCache>
                      <c:formatCode>0</c:formatCode>
                      <c:ptCount val="9"/>
                      <c:pt idx="0">
                        <c:v>551.5151515151515</c:v>
                      </c:pt>
                      <c:pt idx="1">
                        <c:v>615.15151515151513</c:v>
                      </c:pt>
                      <c:pt idx="2">
                        <c:v>690.90909090909088</c:v>
                      </c:pt>
                      <c:pt idx="3">
                        <c:v>793.93939393939399</c:v>
                      </c:pt>
                      <c:pt idx="4">
                        <c:v>921.21212121212125</c:v>
                      </c:pt>
                      <c:pt idx="5">
                        <c:v>1027.2727272727273</c:v>
                      </c:pt>
                      <c:pt idx="6">
                        <c:v>1151.5151515151515</c:v>
                      </c:pt>
                      <c:pt idx="7">
                        <c:v>1224.2424242424242</c:v>
                      </c:pt>
                      <c:pt idx="8">
                        <c:v>1342.4242424242425</c:v>
                      </c:pt>
                    </c:numCache>
                  </c:numRef>
                </c:xVal>
                <c:yVal>
                  <c:numRef>
                    <c:extLst>
                      <c:ext uri="{02D57815-91ED-43cb-92C2-25804820EDAC}">
                        <c15:formulaRef>
                          <c15:sqref>costs_cable!$J$154:$J$162</c15:sqref>
                        </c15:formulaRef>
                      </c:ext>
                    </c:extLst>
                    <c:numCache>
                      <c:formatCode>0</c:formatCode>
                      <c:ptCount val="9"/>
                      <c:pt idx="0">
                        <c:v>103.33333333333333</c:v>
                      </c:pt>
                      <c:pt idx="1">
                        <c:v>106.66666666666667</c:v>
                      </c:pt>
                      <c:pt idx="2">
                        <c:v>113.33333333333333</c:v>
                      </c:pt>
                      <c:pt idx="3">
                        <c:v>123.33333333333333</c:v>
                      </c:pt>
                      <c:pt idx="4">
                        <c:v>133.33333333333334</c:v>
                      </c:pt>
                      <c:pt idx="5">
                        <c:v>146.66666666666666</c:v>
                      </c:pt>
                      <c:pt idx="6">
                        <c:v>163.33333333333334</c:v>
                      </c:pt>
                      <c:pt idx="7">
                        <c:v>173.33333333333334</c:v>
                      </c:pt>
                      <c:pt idx="8">
                        <c:v>196.66666666666666</c:v>
                      </c:pt>
                    </c:numCache>
                  </c:numRef>
                </c:yVal>
                <c:smooth val="0"/>
                <c:extLst>
                  <c:ext xmlns:c16="http://schemas.microsoft.com/office/drawing/2014/chart" uri="{C3380CC4-5D6E-409C-BE32-E72D297353CC}">
                    <c16:uniqueId val="{00000004-FC80-C44D-B0C6-7AB5FE1BE76B}"/>
                  </c:ext>
                </c:extLst>
              </c15:ser>
            </c15:filteredScatterSeries>
          </c:ext>
        </c:extLst>
      </c:scatterChart>
      <c:valAx>
        <c:axId val="1525655576"/>
        <c:scaling>
          <c:orientation val="minMax"/>
          <c:max val="12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1312"/>
        <c:crosses val="autoZero"/>
        <c:crossBetween val="midCat"/>
      </c:valAx>
      <c:valAx>
        <c:axId val="1525651312"/>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EUR/m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5576"/>
        <c:crosses val="autoZero"/>
        <c:crossBetween val="midCat"/>
      </c:valAx>
      <c:spPr>
        <a:noFill/>
        <a:ln>
          <a:noFill/>
        </a:ln>
        <a:effectLst/>
      </c:spPr>
    </c:plotArea>
    <c:legend>
      <c:legendPos val="r"/>
      <c:layout>
        <c:manualLayout>
          <c:xMode val="edge"/>
          <c:yMode val="edge"/>
          <c:x val="0.50064996721292543"/>
          <c:y val="0.27036603538782761"/>
          <c:w val="0.49935003278707457"/>
          <c:h val="0.40036557554437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Cable costs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407730810269232E-2"/>
          <c:y val="0.17320399987498092"/>
          <c:w val="0.43504623273019177"/>
          <c:h val="0.6194400983973658"/>
        </c:manualLayout>
      </c:layout>
      <c:scatterChart>
        <c:scatterStyle val="lineMarker"/>
        <c:varyColors val="0"/>
        <c:ser>
          <c:idx val="0"/>
          <c:order val="0"/>
          <c:tx>
            <c:v>Cerveira et al. 2021 (30 kV, Cu)</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forward val="3"/>
            <c:backward val="3"/>
            <c:dispRSqr val="1"/>
            <c:dispEq val="1"/>
            <c:trendlineLbl>
              <c:layout>
                <c:manualLayout>
                  <c:x val="1.2344556430047166E-2"/>
                  <c:y val="0.355318691455899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costs_cable!$F$12:$F$21</c:f>
              <c:numCache>
                <c:formatCode>General</c:formatCode>
                <c:ptCount val="10"/>
                <c:pt idx="0">
                  <c:v>5.07</c:v>
                </c:pt>
                <c:pt idx="1">
                  <c:v>6.21</c:v>
                </c:pt>
                <c:pt idx="2">
                  <c:v>7.41</c:v>
                </c:pt>
                <c:pt idx="3">
                  <c:v>8.43</c:v>
                </c:pt>
                <c:pt idx="4">
                  <c:v>9.39</c:v>
                </c:pt>
                <c:pt idx="5">
                  <c:v>10.62</c:v>
                </c:pt>
                <c:pt idx="6">
                  <c:v>12.24</c:v>
                </c:pt>
                <c:pt idx="7">
                  <c:v>13.74</c:v>
                </c:pt>
                <c:pt idx="8">
                  <c:v>15.57</c:v>
                </c:pt>
                <c:pt idx="9">
                  <c:v>17.55</c:v>
                </c:pt>
              </c:numCache>
            </c:numRef>
          </c:xVal>
          <c:yVal>
            <c:numRef>
              <c:f>costs_cable!$E$12:$E$21</c:f>
              <c:numCache>
                <c:formatCode>General</c:formatCode>
                <c:ptCount val="10"/>
                <c:pt idx="0">
                  <c:v>6.8</c:v>
                </c:pt>
                <c:pt idx="1">
                  <c:v>7.12</c:v>
                </c:pt>
                <c:pt idx="2">
                  <c:v>7.98</c:v>
                </c:pt>
                <c:pt idx="3">
                  <c:v>8.6999999999999993</c:v>
                </c:pt>
                <c:pt idx="4">
                  <c:v>12.77</c:v>
                </c:pt>
                <c:pt idx="5">
                  <c:v>13.23</c:v>
                </c:pt>
                <c:pt idx="6">
                  <c:v>14.89</c:v>
                </c:pt>
                <c:pt idx="7">
                  <c:v>17.5</c:v>
                </c:pt>
                <c:pt idx="8">
                  <c:v>21.09</c:v>
                </c:pt>
                <c:pt idx="9">
                  <c:v>23.77</c:v>
                </c:pt>
              </c:numCache>
            </c:numRef>
          </c:yVal>
          <c:smooth val="0"/>
          <c:extLst>
            <c:ext xmlns:c16="http://schemas.microsoft.com/office/drawing/2014/chart" uri="{C3380CC4-5D6E-409C-BE32-E72D297353CC}">
              <c16:uniqueId val="{00000000-BE3D-47FE-ADE4-F60927822287}"/>
            </c:ext>
          </c:extLst>
        </c:ser>
        <c:ser>
          <c:idx val="1"/>
          <c:order val="1"/>
          <c:tx>
            <c:v>Zarkovic et al. 2021 (divided by 3, 33 kV, Cu)</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exp"/>
            <c:forward val="5"/>
            <c:backward val="10"/>
            <c:dispRSqr val="1"/>
            <c:dispEq val="1"/>
            <c:trendlineLbl>
              <c:layout>
                <c:manualLayout>
                  <c:x val="-0.21582257860856058"/>
                  <c:y val="-4.1535332119766125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costs_cable!$E$67:$E$69</c:f>
              <c:numCache>
                <c:formatCode>General</c:formatCode>
                <c:ptCount val="3"/>
                <c:pt idx="0">
                  <c:v>11.055</c:v>
                </c:pt>
                <c:pt idx="1">
                  <c:v>14.355</c:v>
                </c:pt>
                <c:pt idx="2">
                  <c:v>16.170000000000002</c:v>
                </c:pt>
              </c:numCache>
            </c:numRef>
          </c:xVal>
          <c:yVal>
            <c:numRef>
              <c:f>costs_cable!$I$67:$I$69</c:f>
              <c:numCache>
                <c:formatCode>General</c:formatCode>
                <c:ptCount val="3"/>
                <c:pt idx="0">
                  <c:v>19.732333333333333</c:v>
                </c:pt>
                <c:pt idx="1">
                  <c:v>21.016333333333332</c:v>
                </c:pt>
                <c:pt idx="2">
                  <c:v>22.503</c:v>
                </c:pt>
              </c:numCache>
            </c:numRef>
          </c:yVal>
          <c:smooth val="0"/>
          <c:extLst>
            <c:ext xmlns:c16="http://schemas.microsoft.com/office/drawing/2014/chart" uri="{C3380CC4-5D6E-409C-BE32-E72D297353CC}">
              <c16:uniqueId val="{00000001-82E4-5F4C-9316-32C48F0B8B33}"/>
            </c:ext>
          </c:extLst>
        </c:ser>
        <c:ser>
          <c:idx val="2"/>
          <c:order val="2"/>
          <c:tx>
            <c:v>Hau 2016 (20 kV, Al)</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exp"/>
            <c:forward val="5"/>
            <c:backward val="7"/>
            <c:dispRSqr val="1"/>
            <c:dispEq val="1"/>
            <c:trendlineLbl>
              <c:layout>
                <c:manualLayout>
                  <c:x val="-0.15377613431729276"/>
                  <c:y val="-2.45568768618801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costs_cable!$E$80:$E$84</c:f>
              <c:numCache>
                <c:formatCode>0.00</c:formatCode>
                <c:ptCount val="5"/>
                <c:pt idx="0">
                  <c:v>9.6514446818826602</c:v>
                </c:pt>
                <c:pt idx="1">
                  <c:v>11.877218501026499</c:v>
                </c:pt>
                <c:pt idx="2">
                  <c:v>13.494871134894799</c:v>
                </c:pt>
                <c:pt idx="3">
                  <c:v>15.3228660988102</c:v>
                </c:pt>
                <c:pt idx="4">
                  <c:v>18.183298316183901</c:v>
                </c:pt>
              </c:numCache>
            </c:numRef>
          </c:xVal>
          <c:yVal>
            <c:numRef>
              <c:f>costs_cable!$F$80:$F$84</c:f>
              <c:numCache>
                <c:formatCode>General</c:formatCode>
                <c:ptCount val="5"/>
                <c:pt idx="0">
                  <c:v>15</c:v>
                </c:pt>
                <c:pt idx="1">
                  <c:v>18</c:v>
                </c:pt>
                <c:pt idx="2">
                  <c:v>25</c:v>
                </c:pt>
                <c:pt idx="3">
                  <c:v>30</c:v>
                </c:pt>
                <c:pt idx="4">
                  <c:v>40</c:v>
                </c:pt>
              </c:numCache>
            </c:numRef>
          </c:yVal>
          <c:smooth val="0"/>
          <c:extLst>
            <c:ext xmlns:c16="http://schemas.microsoft.com/office/drawing/2014/chart" uri="{C3380CC4-5D6E-409C-BE32-E72D297353CC}">
              <c16:uniqueId val="{00000002-82E4-5F4C-9316-32C48F0B8B33}"/>
            </c:ext>
          </c:extLst>
        </c:ser>
        <c:ser>
          <c:idx val="3"/>
          <c:order val="3"/>
          <c:tx>
            <c:v>Hau 2016 (110 kV, Al)</c:v>
          </c:tx>
          <c:spPr>
            <a:ln w="25400" cap="rnd">
              <a:noFill/>
              <a:round/>
            </a:ln>
            <a:effectLst/>
          </c:spPr>
          <c:marker>
            <c:symbol val="circle"/>
            <c:size val="5"/>
            <c:spPr>
              <a:solidFill>
                <a:schemeClr val="accent4"/>
              </a:solidFill>
              <a:ln w="9525">
                <a:solidFill>
                  <a:schemeClr val="accent4"/>
                </a:solidFill>
              </a:ln>
              <a:effectLst/>
            </c:spPr>
          </c:marker>
          <c:xVal>
            <c:numRef>
              <c:f>costs_cable!$E$93</c:f>
              <c:numCache>
                <c:formatCode>General</c:formatCode>
                <c:ptCount val="1"/>
                <c:pt idx="0">
                  <c:v>111.559091190243</c:v>
                </c:pt>
              </c:numCache>
            </c:numRef>
          </c:xVal>
          <c:yVal>
            <c:numRef>
              <c:f>costs_cable!$F$93</c:f>
              <c:numCache>
                <c:formatCode>General</c:formatCode>
                <c:ptCount val="1"/>
                <c:pt idx="0">
                  <c:v>100</c:v>
                </c:pt>
              </c:numCache>
            </c:numRef>
          </c:yVal>
          <c:smooth val="0"/>
          <c:extLst>
            <c:ext xmlns:c16="http://schemas.microsoft.com/office/drawing/2014/chart" uri="{C3380CC4-5D6E-409C-BE32-E72D297353CC}">
              <c16:uniqueId val="{00000003-82E4-5F4C-9316-32C48F0B8B33}"/>
            </c:ext>
          </c:extLst>
        </c:ser>
        <c:dLbls>
          <c:showLegendKey val="0"/>
          <c:showVal val="0"/>
          <c:showCatName val="0"/>
          <c:showSerName val="0"/>
          <c:showPercent val="0"/>
          <c:showBubbleSize val="0"/>
        </c:dLbls>
        <c:axId val="1525654264"/>
        <c:axId val="1525659184"/>
      </c:scatterChart>
      <c:valAx>
        <c:axId val="1525654264"/>
        <c:scaling>
          <c:orientation val="minMax"/>
          <c:max val="2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MWmax (MVAmax)</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9184"/>
        <c:crosses val="autoZero"/>
        <c:crossBetween val="midCat"/>
      </c:valAx>
      <c:valAx>
        <c:axId val="1525659184"/>
        <c:scaling>
          <c:orientation val="minMax"/>
          <c:max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EUR/m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4264"/>
        <c:crosses val="autoZero"/>
        <c:crossBetween val="midCat"/>
      </c:valAx>
      <c:spPr>
        <a:noFill/>
        <a:ln>
          <a:noFill/>
        </a:ln>
        <a:effectLst/>
      </c:spPr>
    </c:plotArea>
    <c:legend>
      <c:legendPos val="r"/>
      <c:layout>
        <c:manualLayout>
          <c:xMode val="edge"/>
          <c:yMode val="edge"/>
          <c:x val="0.55163554952679539"/>
          <c:y val="0.24219871781907901"/>
          <c:w val="0.43635659501816526"/>
          <c:h val="0.40743746336929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
            </a:r>
            <a:r>
              <a:rPr lang="en-US" baseline="0"/>
              <a:t> </a:t>
            </a:r>
            <a:r>
              <a:rPr lang="en-US"/>
              <a:t>Ohm/km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Cerveira et al. 2021</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300"/>
            <c:backward val="50"/>
            <c:dispRSqr val="1"/>
            <c:dispEq val="1"/>
            <c:trendlineLbl>
              <c:layout>
                <c:manualLayout>
                  <c:x val="-6.3546974021281524E-2"/>
                  <c:y val="-0.255753727131161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costs_cable!$I$12:$I$21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xVal>
          <c:yVal>
            <c:numRef>
              <c:f>costs_cable!$J$12:$J$21</c:f>
              <c:numCache>
                <c:formatCode>General</c:formatCode>
                <c:ptCount val="10"/>
                <c:pt idx="0">
                  <c:v>0.64100000000000001</c:v>
                </c:pt>
                <c:pt idx="1">
                  <c:v>0.443</c:v>
                </c:pt>
                <c:pt idx="2">
                  <c:v>0.32</c:v>
                </c:pt>
                <c:pt idx="3">
                  <c:v>0.253</c:v>
                </c:pt>
                <c:pt idx="4">
                  <c:v>0.20599999999999999</c:v>
                </c:pt>
                <c:pt idx="5">
                  <c:v>0.16400000000000001</c:v>
                </c:pt>
                <c:pt idx="6">
                  <c:v>0.125</c:v>
                </c:pt>
                <c:pt idx="7">
                  <c:v>0.1</c:v>
                </c:pt>
                <c:pt idx="8">
                  <c:v>7.7799999999999994E-2</c:v>
                </c:pt>
                <c:pt idx="9">
                  <c:v>6.5000000000000002E-2</c:v>
                </c:pt>
              </c:numCache>
            </c:numRef>
          </c:yVal>
          <c:smooth val="0"/>
          <c:extLst>
            <c:ext xmlns:c16="http://schemas.microsoft.com/office/drawing/2014/chart" uri="{C3380CC4-5D6E-409C-BE32-E72D297353CC}">
              <c16:uniqueId val="{00000000-AA39-4DBB-A134-D185857F2014}"/>
            </c:ext>
          </c:extLst>
        </c:ser>
        <c:ser>
          <c:idx val="1"/>
          <c:order val="1"/>
          <c:tx>
            <c:v>Zarkovic et al. 2021</c:v>
          </c:tx>
          <c:spPr>
            <a:ln w="25400" cap="rnd">
              <a:noFill/>
              <a:round/>
            </a:ln>
            <a:effectLst/>
          </c:spPr>
          <c:marker>
            <c:symbol val="circle"/>
            <c:size val="5"/>
            <c:spPr>
              <a:solidFill>
                <a:schemeClr val="accent2"/>
              </a:solidFill>
              <a:ln w="9525">
                <a:solidFill>
                  <a:schemeClr val="accent2"/>
                </a:solidFill>
              </a:ln>
              <a:effectLst/>
            </c:spPr>
          </c:marker>
          <c:xVal>
            <c:numRef>
              <c:f>costs_cable!$D$67:$D$69</c:f>
              <c:numCache>
                <c:formatCode>General</c:formatCode>
                <c:ptCount val="3"/>
                <c:pt idx="0">
                  <c:v>335</c:v>
                </c:pt>
                <c:pt idx="1">
                  <c:v>435</c:v>
                </c:pt>
                <c:pt idx="2">
                  <c:v>490</c:v>
                </c:pt>
              </c:numCache>
            </c:numRef>
          </c:xVal>
          <c:yVal>
            <c:numRef>
              <c:f>costs_cable!$F$67:$F$69</c:f>
              <c:numCache>
                <c:formatCode>General</c:formatCode>
                <c:ptCount val="3"/>
                <c:pt idx="0">
                  <c:v>0.159</c:v>
                </c:pt>
                <c:pt idx="1">
                  <c:v>9.7799999999999998E-2</c:v>
                </c:pt>
                <c:pt idx="2">
                  <c:v>7.8799999999999995E-2</c:v>
                </c:pt>
              </c:numCache>
            </c:numRef>
          </c:yVal>
          <c:smooth val="0"/>
          <c:extLst>
            <c:ext xmlns:c16="http://schemas.microsoft.com/office/drawing/2014/chart" uri="{C3380CC4-5D6E-409C-BE32-E72D297353CC}">
              <c16:uniqueId val="{00000001-2239-EA47-82A0-7C2006E766CD}"/>
            </c:ext>
          </c:extLst>
        </c:ser>
        <c:ser>
          <c:idx val="2"/>
          <c:order val="2"/>
          <c:tx>
            <c:v>Eberle et al. 2019</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forward val="50"/>
            <c:backward val="200"/>
            <c:dispRSqr val="1"/>
            <c:dispEq val="1"/>
            <c:trendlineLbl>
              <c:layout>
                <c:manualLayout>
                  <c:x val="5.3889500115704557E-2"/>
                  <c:y val="-6.429069141063802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costs_cable!$D$125:$D$129</c:f>
              <c:numCache>
                <c:formatCode>General</c:formatCode>
                <c:ptCount val="5"/>
                <c:pt idx="0">
                  <c:v>300</c:v>
                </c:pt>
                <c:pt idx="1">
                  <c:v>440</c:v>
                </c:pt>
                <c:pt idx="2">
                  <c:v>640</c:v>
                </c:pt>
                <c:pt idx="3">
                  <c:v>830</c:v>
                </c:pt>
                <c:pt idx="4">
                  <c:v>935</c:v>
                </c:pt>
              </c:numCache>
            </c:numRef>
          </c:xVal>
          <c:yVal>
            <c:numRef>
              <c:f>costs_cable!$F$125:$F$129</c:f>
              <c:numCache>
                <c:formatCode>General</c:formatCode>
                <c:ptCount val="5"/>
                <c:pt idx="0">
                  <c:v>0.253</c:v>
                </c:pt>
                <c:pt idx="1">
                  <c:v>0.125</c:v>
                </c:pt>
                <c:pt idx="2">
                  <c:v>6.0999999999999999E-2</c:v>
                </c:pt>
                <c:pt idx="3">
                  <c:v>3.6999999999999998E-2</c:v>
                </c:pt>
                <c:pt idx="4">
                  <c:v>2.9000000000000001E-2</c:v>
                </c:pt>
              </c:numCache>
            </c:numRef>
          </c:yVal>
          <c:smooth val="0"/>
          <c:extLst>
            <c:ext xmlns:c16="http://schemas.microsoft.com/office/drawing/2014/chart" uri="{C3380CC4-5D6E-409C-BE32-E72D297353CC}">
              <c16:uniqueId val="{00000002-2239-EA47-82A0-7C2006E766CD}"/>
            </c:ext>
          </c:extLst>
        </c:ser>
        <c:dLbls>
          <c:showLegendKey val="0"/>
          <c:showVal val="0"/>
          <c:showCatName val="0"/>
          <c:showSerName val="0"/>
          <c:showPercent val="0"/>
          <c:showBubbleSize val="0"/>
        </c:dLbls>
        <c:axId val="693305672"/>
        <c:axId val="693304032"/>
      </c:scatterChart>
      <c:valAx>
        <c:axId val="693305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4032"/>
        <c:crosses val="autoZero"/>
        <c:crossBetween val="midCat"/>
      </c:valAx>
      <c:valAx>
        <c:axId val="693304032"/>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Ohm/km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5672"/>
        <c:crosses val="autoZero"/>
        <c:crossBetween val="midCat"/>
      </c:valAx>
      <c:spPr>
        <a:noFill/>
        <a:ln>
          <a:noFill/>
        </a:ln>
        <a:effectLst/>
      </c:spPr>
    </c:plotArea>
    <c:legend>
      <c:legendPos val="r"/>
      <c:layout>
        <c:manualLayout>
          <c:xMode val="edge"/>
          <c:yMode val="edge"/>
          <c:x val="0.61273501219972637"/>
          <c:y val="0.23694571046685431"/>
          <c:w val="0.37179711509964802"/>
          <c:h val="0.49850988294169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 mH/km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costs_cable!$K$11</c:f>
              <c:strCache>
                <c:ptCount val="1"/>
                <c:pt idx="0">
                  <c:v>mH/km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5"/>
            <c:backward val="1"/>
            <c:dispRSqr val="1"/>
            <c:dispEq val="1"/>
            <c:trendlineLbl>
              <c:layout>
                <c:manualLayout>
                  <c:x val="0.16258136482939634"/>
                  <c:y val="-0.146922207640711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costs_cable!$I$12:$I$21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xVal>
          <c:yVal>
            <c:numRef>
              <c:f>costs_cable!$K$12:$K$21</c:f>
              <c:numCache>
                <c:formatCode>General</c:formatCode>
                <c:ptCount val="10"/>
                <c:pt idx="0">
                  <c:v>0.62</c:v>
                </c:pt>
                <c:pt idx="1">
                  <c:v>0.59</c:v>
                </c:pt>
                <c:pt idx="2">
                  <c:v>0.56999999999999995</c:v>
                </c:pt>
                <c:pt idx="3">
                  <c:v>0.55000000000000004</c:v>
                </c:pt>
                <c:pt idx="4">
                  <c:v>0.54</c:v>
                </c:pt>
                <c:pt idx="5">
                  <c:v>0.53</c:v>
                </c:pt>
                <c:pt idx="6">
                  <c:v>0.5</c:v>
                </c:pt>
                <c:pt idx="7">
                  <c:v>0.49</c:v>
                </c:pt>
                <c:pt idx="8">
                  <c:v>0.47</c:v>
                </c:pt>
                <c:pt idx="9">
                  <c:v>0.46</c:v>
                </c:pt>
              </c:numCache>
            </c:numRef>
          </c:yVal>
          <c:smooth val="0"/>
          <c:extLst>
            <c:ext xmlns:c16="http://schemas.microsoft.com/office/drawing/2014/chart" uri="{C3380CC4-5D6E-409C-BE32-E72D297353CC}">
              <c16:uniqueId val="{00000000-DB9A-49C5-9E5B-53862834D93E}"/>
            </c:ext>
          </c:extLst>
        </c:ser>
        <c:dLbls>
          <c:showLegendKey val="0"/>
          <c:showVal val="0"/>
          <c:showCatName val="0"/>
          <c:showSerName val="0"/>
          <c:showPercent val="0"/>
          <c:showBubbleSize val="0"/>
        </c:dLbls>
        <c:axId val="695254960"/>
        <c:axId val="695251024"/>
      </c:scatterChart>
      <c:valAx>
        <c:axId val="69525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251024"/>
        <c:crosses val="autoZero"/>
        <c:crossBetween val="midCat"/>
      </c:valAx>
      <c:valAx>
        <c:axId val="69525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mH/km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25496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Ohm/km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Cerveira et al. 2021</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300"/>
            <c:backward val="100"/>
            <c:dispRSqr val="1"/>
            <c:dispEq val="1"/>
            <c:trendlineLbl>
              <c:layout>
                <c:manualLayout>
                  <c:x val="9.9402668416447945E-2"/>
                  <c:y val="-0.174197652376786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costs_cable!$I$12:$I$21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xVal>
          <c:yVal>
            <c:numRef>
              <c:f>costs_cable!$L$12:$L$21</c:f>
              <c:numCache>
                <c:formatCode>0.00</c:formatCode>
                <c:ptCount val="10"/>
                <c:pt idx="0">
                  <c:v>0.19477874452256719</c:v>
                </c:pt>
                <c:pt idx="1">
                  <c:v>0.18535396656179778</c:v>
                </c:pt>
                <c:pt idx="2">
                  <c:v>0.1790707812546182</c:v>
                </c:pt>
                <c:pt idx="3">
                  <c:v>0.17278759594743864</c:v>
                </c:pt>
                <c:pt idx="4">
                  <c:v>0.16964600329384885</c:v>
                </c:pt>
                <c:pt idx="5">
                  <c:v>0.16650441064025903</c:v>
                </c:pt>
                <c:pt idx="6">
                  <c:v>0.15707963267948966</c:v>
                </c:pt>
                <c:pt idx="7">
                  <c:v>0.15393804002589989</c:v>
                </c:pt>
                <c:pt idx="8">
                  <c:v>0.14765485471872028</c:v>
                </c:pt>
                <c:pt idx="9">
                  <c:v>0.14451326206513052</c:v>
                </c:pt>
              </c:numCache>
            </c:numRef>
          </c:yVal>
          <c:smooth val="0"/>
          <c:extLst>
            <c:ext xmlns:c16="http://schemas.microsoft.com/office/drawing/2014/chart" uri="{C3380CC4-5D6E-409C-BE32-E72D297353CC}">
              <c16:uniqueId val="{00000001-08C5-854C-8D2B-16D6829AB5A8}"/>
            </c:ext>
          </c:extLst>
        </c:ser>
        <c:ser>
          <c:idx val="1"/>
          <c:order val="1"/>
          <c:tx>
            <c:v>Zarkovic et al. 2021</c:v>
          </c:tx>
          <c:spPr>
            <a:ln w="25400" cap="rnd">
              <a:noFill/>
              <a:round/>
            </a:ln>
            <a:effectLst/>
          </c:spPr>
          <c:marker>
            <c:symbol val="circle"/>
            <c:size val="5"/>
            <c:spPr>
              <a:solidFill>
                <a:schemeClr val="accent2"/>
              </a:solidFill>
              <a:ln w="9525">
                <a:solidFill>
                  <a:schemeClr val="accent2"/>
                </a:solidFill>
              </a:ln>
              <a:effectLst/>
            </c:spPr>
          </c:marker>
          <c:xVal>
            <c:numRef>
              <c:f>costs_cable!$D$67:$D$69</c:f>
              <c:numCache>
                <c:formatCode>General</c:formatCode>
                <c:ptCount val="3"/>
                <c:pt idx="0">
                  <c:v>335</c:v>
                </c:pt>
                <c:pt idx="1">
                  <c:v>435</c:v>
                </c:pt>
                <c:pt idx="2">
                  <c:v>490</c:v>
                </c:pt>
              </c:numCache>
            </c:numRef>
          </c:xVal>
          <c:yVal>
            <c:numRef>
              <c:f>costs_cable!$G$67:$G$69</c:f>
              <c:numCache>
                <c:formatCode>General</c:formatCode>
                <c:ptCount val="3"/>
                <c:pt idx="0">
                  <c:v>0.11799999999999999</c:v>
                </c:pt>
                <c:pt idx="1">
                  <c:v>0.109</c:v>
                </c:pt>
                <c:pt idx="2">
                  <c:v>0.105</c:v>
                </c:pt>
              </c:numCache>
            </c:numRef>
          </c:yVal>
          <c:smooth val="0"/>
          <c:extLst>
            <c:ext xmlns:c16="http://schemas.microsoft.com/office/drawing/2014/chart" uri="{C3380CC4-5D6E-409C-BE32-E72D297353CC}">
              <c16:uniqueId val="{00000002-08C5-854C-8D2B-16D6829AB5A8}"/>
            </c:ext>
          </c:extLst>
        </c:ser>
        <c:ser>
          <c:idx val="2"/>
          <c:order val="2"/>
          <c:tx>
            <c:v>Eberle et al. 2019</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forward val="300"/>
            <c:backward val="200"/>
            <c:dispRSqr val="1"/>
            <c:dispEq val="1"/>
            <c:trendlineLbl>
              <c:layout>
                <c:manualLayout>
                  <c:x val="-0.1212288294343115"/>
                  <c:y val="6.90002334915069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costs_cable!$D$125:$D$129</c:f>
              <c:numCache>
                <c:formatCode>General</c:formatCode>
                <c:ptCount val="5"/>
                <c:pt idx="0">
                  <c:v>300</c:v>
                </c:pt>
                <c:pt idx="1">
                  <c:v>440</c:v>
                </c:pt>
                <c:pt idx="2">
                  <c:v>640</c:v>
                </c:pt>
                <c:pt idx="3">
                  <c:v>830</c:v>
                </c:pt>
                <c:pt idx="4">
                  <c:v>935</c:v>
                </c:pt>
              </c:numCache>
            </c:numRef>
          </c:xVal>
          <c:yVal>
            <c:numRef>
              <c:f>costs_cable!$H$125:$H$129</c:f>
              <c:numCache>
                <c:formatCode>General</c:formatCode>
                <c:ptCount val="5"/>
                <c:pt idx="0">
                  <c:v>0.12503538761287378</c:v>
                </c:pt>
                <c:pt idx="1">
                  <c:v>0.11278317626387357</c:v>
                </c:pt>
                <c:pt idx="2">
                  <c:v>9.9588487118796448E-2</c:v>
                </c:pt>
                <c:pt idx="3">
                  <c:v>9.1420346219462975E-2</c:v>
                </c:pt>
                <c:pt idx="4">
                  <c:v>8.9221231361950121E-2</c:v>
                </c:pt>
              </c:numCache>
            </c:numRef>
          </c:yVal>
          <c:smooth val="0"/>
          <c:extLst>
            <c:ext xmlns:c16="http://schemas.microsoft.com/office/drawing/2014/chart" uri="{C3380CC4-5D6E-409C-BE32-E72D297353CC}">
              <c16:uniqueId val="{00000003-08C5-854C-8D2B-16D6829AB5A8}"/>
            </c:ext>
          </c:extLst>
        </c:ser>
        <c:dLbls>
          <c:showLegendKey val="0"/>
          <c:showVal val="0"/>
          <c:showCatName val="0"/>
          <c:showSerName val="0"/>
          <c:showPercent val="0"/>
          <c:showBubbleSize val="0"/>
        </c:dLbls>
        <c:axId val="693305672"/>
        <c:axId val="693304032"/>
      </c:scatterChart>
      <c:valAx>
        <c:axId val="693305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4032"/>
        <c:crosses val="autoZero"/>
        <c:crossBetween val="midCat"/>
      </c:valAx>
      <c:valAx>
        <c:axId val="69330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Ohm/km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5672"/>
        <c:crosses val="autoZero"/>
        <c:crossBetween val="midCat"/>
      </c:valAx>
      <c:spPr>
        <a:noFill/>
        <a:ln>
          <a:noFill/>
        </a:ln>
        <a:effectLst/>
      </c:spPr>
    </c:plotArea>
    <c:legend>
      <c:legendPos val="r"/>
      <c:layout>
        <c:manualLayout>
          <c:xMode val="edge"/>
          <c:yMode val="edge"/>
          <c:x val="0.62230145014497351"/>
          <c:y val="0.23694571046685431"/>
          <c:w val="0.36204018979083141"/>
          <c:h val="0.48917022266264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a:t>R: Ohm/km</a:t>
            </a:r>
          </a:p>
        </c:rich>
      </c:tx>
      <c:layout/>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Cerveira et al. 2021</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300"/>
            <c:backward val="50"/>
            <c:dispRSqr val="1"/>
            <c:dispEq val="1"/>
            <c:trendlineLbl>
              <c:layout>
                <c:manualLayout>
                  <c:x val="-0.64654632039201521"/>
                  <c:y val="-0.31646151894498609"/>
                </c:manualLayout>
              </c:layout>
              <c:numFmt formatCode="General" sourceLinked="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costs_cable!$F$12:$F$21</c:f>
              <c:numCache>
                <c:formatCode>General</c:formatCode>
                <c:ptCount val="10"/>
                <c:pt idx="0">
                  <c:v>5.07</c:v>
                </c:pt>
                <c:pt idx="1">
                  <c:v>6.21</c:v>
                </c:pt>
                <c:pt idx="2">
                  <c:v>7.41</c:v>
                </c:pt>
                <c:pt idx="3">
                  <c:v>8.43</c:v>
                </c:pt>
                <c:pt idx="4">
                  <c:v>9.39</c:v>
                </c:pt>
                <c:pt idx="5">
                  <c:v>10.62</c:v>
                </c:pt>
                <c:pt idx="6">
                  <c:v>12.24</c:v>
                </c:pt>
                <c:pt idx="7">
                  <c:v>13.74</c:v>
                </c:pt>
                <c:pt idx="8">
                  <c:v>15.57</c:v>
                </c:pt>
                <c:pt idx="9">
                  <c:v>17.55</c:v>
                </c:pt>
              </c:numCache>
            </c:numRef>
          </c:xVal>
          <c:yVal>
            <c:numRef>
              <c:f>costs_cable!$J$12:$J$21</c:f>
              <c:numCache>
                <c:formatCode>General</c:formatCode>
                <c:ptCount val="10"/>
                <c:pt idx="0">
                  <c:v>0.64100000000000001</c:v>
                </c:pt>
                <c:pt idx="1">
                  <c:v>0.443</c:v>
                </c:pt>
                <c:pt idx="2">
                  <c:v>0.32</c:v>
                </c:pt>
                <c:pt idx="3">
                  <c:v>0.253</c:v>
                </c:pt>
                <c:pt idx="4">
                  <c:v>0.20599999999999999</c:v>
                </c:pt>
                <c:pt idx="5">
                  <c:v>0.16400000000000001</c:v>
                </c:pt>
                <c:pt idx="6">
                  <c:v>0.125</c:v>
                </c:pt>
                <c:pt idx="7">
                  <c:v>0.1</c:v>
                </c:pt>
                <c:pt idx="8">
                  <c:v>7.7799999999999994E-2</c:v>
                </c:pt>
                <c:pt idx="9">
                  <c:v>6.5000000000000002E-2</c:v>
                </c:pt>
              </c:numCache>
            </c:numRef>
          </c:yVal>
          <c:smooth val="0"/>
          <c:extLst>
            <c:ext xmlns:c16="http://schemas.microsoft.com/office/drawing/2014/chart" uri="{C3380CC4-5D6E-409C-BE32-E72D297353CC}">
              <c16:uniqueId val="{00000000-595E-40FE-807F-FF0676D69B56}"/>
            </c:ext>
          </c:extLst>
        </c:ser>
        <c:ser>
          <c:idx val="1"/>
          <c:order val="1"/>
          <c:tx>
            <c:v>Zarkovic et al. 2021</c:v>
          </c:tx>
          <c:spPr>
            <a:ln w="25400" cap="rnd">
              <a:noFill/>
              <a:round/>
            </a:ln>
            <a:effectLst/>
          </c:spPr>
          <c:marker>
            <c:symbol val="circle"/>
            <c:size val="5"/>
            <c:spPr>
              <a:solidFill>
                <a:schemeClr val="accent2"/>
              </a:solidFill>
              <a:ln w="9525">
                <a:solidFill>
                  <a:schemeClr val="accent2"/>
                </a:solidFill>
              </a:ln>
              <a:effectLst/>
            </c:spPr>
          </c:marker>
          <c:xVal>
            <c:numRef>
              <c:f>costs_cable!$E$67:$E$69</c:f>
              <c:numCache>
                <c:formatCode>General</c:formatCode>
                <c:ptCount val="3"/>
                <c:pt idx="0">
                  <c:v>11.055</c:v>
                </c:pt>
                <c:pt idx="1">
                  <c:v>14.355</c:v>
                </c:pt>
                <c:pt idx="2">
                  <c:v>16.170000000000002</c:v>
                </c:pt>
              </c:numCache>
            </c:numRef>
          </c:xVal>
          <c:yVal>
            <c:numRef>
              <c:f>costs_cable!$F$67:$F$69</c:f>
              <c:numCache>
                <c:formatCode>General</c:formatCode>
                <c:ptCount val="3"/>
                <c:pt idx="0">
                  <c:v>0.159</c:v>
                </c:pt>
                <c:pt idx="1">
                  <c:v>9.7799999999999998E-2</c:v>
                </c:pt>
                <c:pt idx="2">
                  <c:v>7.8799999999999995E-2</c:v>
                </c:pt>
              </c:numCache>
            </c:numRef>
          </c:yVal>
          <c:smooth val="0"/>
          <c:extLst>
            <c:ext xmlns:c16="http://schemas.microsoft.com/office/drawing/2014/chart" uri="{C3380CC4-5D6E-409C-BE32-E72D297353CC}">
              <c16:uniqueId val="{00000001-595E-40FE-807F-FF0676D69B56}"/>
            </c:ext>
          </c:extLst>
        </c:ser>
        <c:ser>
          <c:idx val="2"/>
          <c:order val="2"/>
          <c:tx>
            <c:v>Eberle et al. 2019</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forward val="50"/>
            <c:backward val="200"/>
            <c:dispRSqr val="1"/>
            <c:dispEq val="1"/>
            <c:trendlineLbl>
              <c:layout>
                <c:manualLayout>
                  <c:x val="-0.45061993285075735"/>
                  <c:y val="-0.12499848322446255"/>
                </c:manualLayout>
              </c:layout>
              <c:numFmt formatCode="General" sourceLinked="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costs_cable!$E$125:$E$129</c:f>
              <c:numCache>
                <c:formatCode>General</c:formatCode>
                <c:ptCount val="5"/>
                <c:pt idx="0">
                  <c:v>10.8</c:v>
                </c:pt>
                <c:pt idx="1">
                  <c:v>15.84</c:v>
                </c:pt>
                <c:pt idx="2">
                  <c:v>23.04</c:v>
                </c:pt>
                <c:pt idx="3">
                  <c:v>29.88</c:v>
                </c:pt>
                <c:pt idx="4">
                  <c:v>33.659999999999997</c:v>
                </c:pt>
              </c:numCache>
            </c:numRef>
          </c:xVal>
          <c:yVal>
            <c:numRef>
              <c:f>costs_cable!$F$125:$F$129</c:f>
              <c:numCache>
                <c:formatCode>General</c:formatCode>
                <c:ptCount val="5"/>
                <c:pt idx="0">
                  <c:v>0.253</c:v>
                </c:pt>
                <c:pt idx="1">
                  <c:v>0.125</c:v>
                </c:pt>
                <c:pt idx="2">
                  <c:v>6.0999999999999999E-2</c:v>
                </c:pt>
                <c:pt idx="3">
                  <c:v>3.6999999999999998E-2</c:v>
                </c:pt>
                <c:pt idx="4">
                  <c:v>2.9000000000000001E-2</c:v>
                </c:pt>
              </c:numCache>
            </c:numRef>
          </c:yVal>
          <c:smooth val="0"/>
          <c:extLst>
            <c:ext xmlns:c16="http://schemas.microsoft.com/office/drawing/2014/chart" uri="{C3380CC4-5D6E-409C-BE32-E72D297353CC}">
              <c16:uniqueId val="{00000002-595E-40FE-807F-FF0676D69B56}"/>
            </c:ext>
          </c:extLst>
        </c:ser>
        <c:dLbls>
          <c:showLegendKey val="0"/>
          <c:showVal val="0"/>
          <c:showCatName val="0"/>
          <c:showSerName val="0"/>
          <c:showPercent val="0"/>
          <c:showBubbleSize val="0"/>
        </c:dLbls>
        <c:axId val="693305672"/>
        <c:axId val="693304032"/>
      </c:scatterChart>
      <c:valAx>
        <c:axId val="693305672"/>
        <c:scaling>
          <c:orientation val="minMax"/>
          <c:max val="40"/>
        </c:scaling>
        <c:delete val="0"/>
        <c:axPos val="b"/>
        <c:title>
          <c:tx>
            <c:rich>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GB"/>
                  <a:t>P max [MW]</a:t>
                </a:r>
              </a:p>
            </c:rich>
          </c:tx>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93304032"/>
        <c:crosses val="autoZero"/>
        <c:crossBetween val="midCat"/>
      </c:valAx>
      <c:valAx>
        <c:axId val="693304032"/>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r>
                  <a:rPr lang="en-GB"/>
                  <a:t>Ohm/km</a:t>
                </a:r>
              </a:p>
            </c:rich>
          </c:tx>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93305672"/>
        <c:crosses val="autoZero"/>
        <c:crossBetween val="midCat"/>
      </c:valAx>
      <c:spPr>
        <a:noFill/>
        <a:ln>
          <a:noFill/>
        </a:ln>
        <a:effectLst/>
      </c:spPr>
    </c:plotArea>
    <c:legend>
      <c:legendPos val="r"/>
      <c:layout>
        <c:manualLayout>
          <c:xMode val="edge"/>
          <c:yMode val="edge"/>
          <c:x val="0.62304692733347666"/>
          <c:y val="0.2135965597692295"/>
          <c:w val="0.37179711509964802"/>
          <c:h val="0.4985098829416988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7415072093671"/>
          <c:y val="4.6035701801687562E-2"/>
          <c:w val="0.3920009643044936"/>
          <c:h val="0.75137387163259106"/>
        </c:manualLayout>
      </c:layout>
      <c:scatterChart>
        <c:scatterStyle val="lineMarker"/>
        <c:varyColors val="0"/>
        <c:ser>
          <c:idx val="0"/>
          <c:order val="0"/>
          <c:tx>
            <c:v>Cerveira et al. 2021 (30 kV, Cu)</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forward val="200"/>
            <c:backward val="100"/>
            <c:dispRSqr val="1"/>
            <c:dispEq val="1"/>
            <c:trendlineLbl>
              <c:layout>
                <c:manualLayout>
                  <c:x val="6.224756639655496E-2"/>
                  <c:y val="0.303754643164161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costs_cable!$D$12:$D$21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xVal>
          <c:yVal>
            <c:numRef>
              <c:f>costs_cable!$H$12:$H$21</c:f>
              <c:numCache>
                <c:formatCode>0.0</c:formatCode>
                <c:ptCount val="10"/>
                <c:pt idx="0">
                  <c:v>8.6112866817155762</c:v>
                </c:pt>
                <c:pt idx="1">
                  <c:v>9.0165237020316038</c:v>
                </c:pt>
                <c:pt idx="2">
                  <c:v>10.105598194130927</c:v>
                </c:pt>
                <c:pt idx="3">
                  <c:v>11.017381489841988</c:v>
                </c:pt>
                <c:pt idx="4">
                  <c:v>16.171489841986457</c:v>
                </c:pt>
                <c:pt idx="5">
                  <c:v>16.754018058690747</c:v>
                </c:pt>
                <c:pt idx="6">
                  <c:v>18.856185101580138</c:v>
                </c:pt>
                <c:pt idx="7">
                  <c:v>22.161399548532732</c:v>
                </c:pt>
                <c:pt idx="8">
                  <c:v>26.707652370203164</c:v>
                </c:pt>
                <c:pt idx="9">
                  <c:v>30.101512415349891</c:v>
                </c:pt>
              </c:numCache>
            </c:numRef>
          </c:yVal>
          <c:smooth val="0"/>
          <c:extLst>
            <c:ext xmlns:c16="http://schemas.microsoft.com/office/drawing/2014/chart" uri="{C3380CC4-5D6E-409C-BE32-E72D297353CC}">
              <c16:uniqueId val="{00000000-9EE7-4BAF-89A5-7878ACC885A4}"/>
            </c:ext>
          </c:extLst>
        </c:ser>
        <c:ser>
          <c:idx val="1"/>
          <c:order val="1"/>
          <c:tx>
            <c:v>Zarkovic et al. 2021 (divided by 3, 33 kV, Cu)</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exp"/>
            <c:forward val="500"/>
            <c:backward val="300"/>
            <c:dispRSqr val="1"/>
            <c:dispEq val="1"/>
            <c:trendlineLbl>
              <c:layout>
                <c:manualLayout>
                  <c:x val="-0.15592605663343967"/>
                  <c:y val="9.56262077622265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costs_cable!$D$67:$D$69</c:f>
              <c:numCache>
                <c:formatCode>General</c:formatCode>
                <c:ptCount val="3"/>
                <c:pt idx="0">
                  <c:v>335</c:v>
                </c:pt>
                <c:pt idx="1">
                  <c:v>435</c:v>
                </c:pt>
                <c:pt idx="2">
                  <c:v>490</c:v>
                </c:pt>
              </c:numCache>
            </c:numRef>
          </c:xVal>
          <c:yVal>
            <c:numRef>
              <c:f>costs_cable!$J$67:$J$69</c:f>
              <c:numCache>
                <c:formatCode>0.0</c:formatCode>
                <c:ptCount val="3"/>
                <c:pt idx="0">
                  <c:v>24.988349887133189</c:v>
                </c:pt>
                <c:pt idx="1">
                  <c:v>26.614363431151244</c:v>
                </c:pt>
                <c:pt idx="2">
                  <c:v>28.49702708803612</c:v>
                </c:pt>
              </c:numCache>
            </c:numRef>
          </c:yVal>
          <c:smooth val="0"/>
          <c:extLst>
            <c:ext xmlns:c16="http://schemas.microsoft.com/office/drawing/2014/chart" uri="{C3380CC4-5D6E-409C-BE32-E72D297353CC}">
              <c16:uniqueId val="{00000001-9EE7-4BAF-89A5-7878ACC885A4}"/>
            </c:ext>
          </c:extLst>
        </c:ser>
        <c:ser>
          <c:idx val="2"/>
          <c:order val="2"/>
          <c:tx>
            <c:v>Hau 2016 (20 kV, Al)</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exp"/>
            <c:forward val="100"/>
            <c:backward val="400"/>
            <c:dispRSqr val="1"/>
            <c:dispEq val="1"/>
            <c:trendlineLbl>
              <c:layout>
                <c:manualLayout>
                  <c:x val="-8.2156258077620559E-2"/>
                  <c:y val="9.6663141928908757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costs_cable!$D$80:$D$84</c:f>
              <c:numCache>
                <c:formatCode>0</c:formatCode>
                <c:ptCount val="5"/>
                <c:pt idx="0">
                  <c:v>482.57223409413302</c:v>
                </c:pt>
                <c:pt idx="1">
                  <c:v>593.86092505132501</c:v>
                </c:pt>
                <c:pt idx="2">
                  <c:v>674.74355674473998</c:v>
                </c:pt>
                <c:pt idx="3">
                  <c:v>766.14330494051001</c:v>
                </c:pt>
                <c:pt idx="4">
                  <c:v>909.16491580919512</c:v>
                </c:pt>
              </c:numCache>
            </c:numRef>
          </c:xVal>
          <c:yVal>
            <c:numRef>
              <c:f>costs_cable!$G$80:$G$85</c:f>
              <c:numCache>
                <c:formatCode>0.0</c:formatCode>
                <c:ptCount val="6"/>
                <c:pt idx="0">
                  <c:v>24.855085840871329</c:v>
                </c:pt>
                <c:pt idx="1">
                  <c:v>29.826103009045596</c:v>
                </c:pt>
                <c:pt idx="2">
                  <c:v>41.425143068118885</c:v>
                </c:pt>
                <c:pt idx="3">
                  <c:v>49.710171681742658</c:v>
                </c:pt>
                <c:pt idx="4">
                  <c:v>66.28022890899021</c:v>
                </c:pt>
                <c:pt idx="5">
                  <c:v>82.85028613623777</c:v>
                </c:pt>
              </c:numCache>
            </c:numRef>
          </c:yVal>
          <c:smooth val="0"/>
          <c:extLst>
            <c:ext xmlns:c16="http://schemas.microsoft.com/office/drawing/2014/chart" uri="{C3380CC4-5D6E-409C-BE32-E72D297353CC}">
              <c16:uniqueId val="{00000002-9EE7-4BAF-89A5-7878ACC885A4}"/>
            </c:ext>
          </c:extLst>
        </c:ser>
        <c:dLbls>
          <c:showLegendKey val="0"/>
          <c:showVal val="0"/>
          <c:showCatName val="0"/>
          <c:showSerName val="0"/>
          <c:showPercent val="0"/>
          <c:showBubbleSize val="0"/>
        </c:dLbls>
        <c:axId val="1525655576"/>
        <c:axId val="1525651312"/>
        <c:extLst/>
      </c:scatterChart>
      <c:valAx>
        <c:axId val="1525655576"/>
        <c:scaling>
          <c:orientation val="minMax"/>
          <c:max val="12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1312"/>
        <c:crosses val="autoZero"/>
        <c:crossBetween val="midCat"/>
      </c:valAx>
      <c:valAx>
        <c:axId val="1525651312"/>
        <c:scaling>
          <c:orientation val="minMax"/>
          <c:max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Unipolar</a:t>
                </a:r>
                <a:r>
                  <a:rPr lang="en-US" baseline="0"/>
                  <a:t> cable costs [</a:t>
                </a:r>
                <a:r>
                  <a:rPr lang="en-US"/>
                  <a:t>USD</a:t>
                </a:r>
                <a:r>
                  <a:rPr lang="en-US" baseline="0"/>
                  <a:t> 2022</a:t>
                </a:r>
                <a:r>
                  <a:rPr lang="en-US"/>
                  <a:t>/m]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5576"/>
        <c:crosses val="autoZero"/>
        <c:crossBetween val="midCat"/>
      </c:valAx>
      <c:spPr>
        <a:noFill/>
        <a:ln>
          <a:noFill/>
        </a:ln>
        <a:effectLst/>
      </c:spPr>
    </c:plotArea>
    <c:legend>
      <c:legendPos val="r"/>
      <c:layout>
        <c:manualLayout>
          <c:xMode val="edge"/>
          <c:yMode val="edge"/>
          <c:x val="0.50064996721292543"/>
          <c:y val="0.27036603538782761"/>
          <c:w val="0.49935003278707457"/>
          <c:h val="0.40036557554437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07730810269232E-2"/>
          <c:y val="6.860082477569665E-2"/>
          <c:w val="0.43504623273019177"/>
          <c:h val="0.74606523557000171"/>
        </c:manualLayout>
      </c:layout>
      <c:scatterChart>
        <c:scatterStyle val="lineMarker"/>
        <c:varyColors val="0"/>
        <c:ser>
          <c:idx val="0"/>
          <c:order val="0"/>
          <c:tx>
            <c:v>Cerveira et al. 2021 (30 kV, Cu)</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forward val="3"/>
            <c:backward val="3"/>
            <c:dispRSqr val="1"/>
            <c:dispEq val="1"/>
            <c:trendlineLbl>
              <c:layout>
                <c:manualLayout>
                  <c:x val="3.3958396084871612E-2"/>
                  <c:y val="0.373166126449439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costs_cable!$F$12:$F$21</c:f>
              <c:numCache>
                <c:formatCode>General</c:formatCode>
                <c:ptCount val="10"/>
                <c:pt idx="0">
                  <c:v>5.07</c:v>
                </c:pt>
                <c:pt idx="1">
                  <c:v>6.21</c:v>
                </c:pt>
                <c:pt idx="2">
                  <c:v>7.41</c:v>
                </c:pt>
                <c:pt idx="3">
                  <c:v>8.43</c:v>
                </c:pt>
                <c:pt idx="4">
                  <c:v>9.39</c:v>
                </c:pt>
                <c:pt idx="5">
                  <c:v>10.62</c:v>
                </c:pt>
                <c:pt idx="6">
                  <c:v>12.24</c:v>
                </c:pt>
                <c:pt idx="7">
                  <c:v>13.74</c:v>
                </c:pt>
                <c:pt idx="8">
                  <c:v>15.57</c:v>
                </c:pt>
                <c:pt idx="9">
                  <c:v>17.55</c:v>
                </c:pt>
              </c:numCache>
            </c:numRef>
          </c:xVal>
          <c:yVal>
            <c:numRef>
              <c:f>costs_cable!$H$12:$H$21</c:f>
              <c:numCache>
                <c:formatCode>0.0</c:formatCode>
                <c:ptCount val="10"/>
                <c:pt idx="0">
                  <c:v>8.6112866817155762</c:v>
                </c:pt>
                <c:pt idx="1">
                  <c:v>9.0165237020316038</c:v>
                </c:pt>
                <c:pt idx="2">
                  <c:v>10.105598194130927</c:v>
                </c:pt>
                <c:pt idx="3">
                  <c:v>11.017381489841988</c:v>
                </c:pt>
                <c:pt idx="4">
                  <c:v>16.171489841986457</c:v>
                </c:pt>
                <c:pt idx="5">
                  <c:v>16.754018058690747</c:v>
                </c:pt>
                <c:pt idx="6">
                  <c:v>18.856185101580138</c:v>
                </c:pt>
                <c:pt idx="7">
                  <c:v>22.161399548532732</c:v>
                </c:pt>
                <c:pt idx="8">
                  <c:v>26.707652370203164</c:v>
                </c:pt>
                <c:pt idx="9">
                  <c:v>30.101512415349891</c:v>
                </c:pt>
              </c:numCache>
            </c:numRef>
          </c:yVal>
          <c:smooth val="0"/>
          <c:extLst>
            <c:ext xmlns:c16="http://schemas.microsoft.com/office/drawing/2014/chart" uri="{C3380CC4-5D6E-409C-BE32-E72D297353CC}">
              <c16:uniqueId val="{00000000-8CD8-48EC-8F04-58B7DA25661C}"/>
            </c:ext>
          </c:extLst>
        </c:ser>
        <c:ser>
          <c:idx val="1"/>
          <c:order val="1"/>
          <c:tx>
            <c:v>Zarkovic et al. 2021 (divided by 3, 33 kV, Cu)</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exp"/>
            <c:forward val="5"/>
            <c:backward val="10"/>
            <c:dispRSqr val="1"/>
            <c:dispEq val="1"/>
            <c:trendlineLbl>
              <c:layout>
                <c:manualLayout>
                  <c:x val="-0.20667895664972932"/>
                  <c:y val="1.523684621238426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costs_cable!$E$67:$E$69</c:f>
              <c:numCache>
                <c:formatCode>General</c:formatCode>
                <c:ptCount val="3"/>
                <c:pt idx="0">
                  <c:v>11.055</c:v>
                </c:pt>
                <c:pt idx="1">
                  <c:v>14.355</c:v>
                </c:pt>
                <c:pt idx="2">
                  <c:v>16.170000000000002</c:v>
                </c:pt>
              </c:numCache>
            </c:numRef>
          </c:xVal>
          <c:yVal>
            <c:numRef>
              <c:f>costs_cable!$J$67:$J$69</c:f>
              <c:numCache>
                <c:formatCode>0.0</c:formatCode>
                <c:ptCount val="3"/>
                <c:pt idx="0">
                  <c:v>24.988349887133189</c:v>
                </c:pt>
                <c:pt idx="1">
                  <c:v>26.614363431151244</c:v>
                </c:pt>
                <c:pt idx="2">
                  <c:v>28.49702708803612</c:v>
                </c:pt>
              </c:numCache>
            </c:numRef>
          </c:yVal>
          <c:smooth val="0"/>
          <c:extLst>
            <c:ext xmlns:c16="http://schemas.microsoft.com/office/drawing/2014/chart" uri="{C3380CC4-5D6E-409C-BE32-E72D297353CC}">
              <c16:uniqueId val="{00000001-8CD8-48EC-8F04-58B7DA25661C}"/>
            </c:ext>
          </c:extLst>
        </c:ser>
        <c:ser>
          <c:idx val="2"/>
          <c:order val="2"/>
          <c:tx>
            <c:v>Hau 2016 (20 kV, Al)</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exp"/>
            <c:forward val="5"/>
            <c:backward val="7"/>
            <c:dispRSqr val="1"/>
            <c:dispEq val="1"/>
            <c:trendlineLbl>
              <c:layout>
                <c:manualLayout>
                  <c:x val="-0.13737010254833376"/>
                  <c:y val="-5.09011485208221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costs_cable!$E$80:$E$84</c:f>
              <c:numCache>
                <c:formatCode>0.00</c:formatCode>
                <c:ptCount val="5"/>
                <c:pt idx="0">
                  <c:v>9.6514446818826602</c:v>
                </c:pt>
                <c:pt idx="1">
                  <c:v>11.877218501026499</c:v>
                </c:pt>
                <c:pt idx="2">
                  <c:v>13.494871134894799</c:v>
                </c:pt>
                <c:pt idx="3">
                  <c:v>15.3228660988102</c:v>
                </c:pt>
                <c:pt idx="4">
                  <c:v>18.183298316183901</c:v>
                </c:pt>
              </c:numCache>
            </c:numRef>
          </c:xVal>
          <c:yVal>
            <c:numRef>
              <c:f>costs_cable!$G$80:$G$85</c:f>
              <c:numCache>
                <c:formatCode>0.0</c:formatCode>
                <c:ptCount val="6"/>
                <c:pt idx="0">
                  <c:v>24.855085840871329</c:v>
                </c:pt>
                <c:pt idx="1">
                  <c:v>29.826103009045596</c:v>
                </c:pt>
                <c:pt idx="2">
                  <c:v>41.425143068118885</c:v>
                </c:pt>
                <c:pt idx="3">
                  <c:v>49.710171681742658</c:v>
                </c:pt>
                <c:pt idx="4">
                  <c:v>66.28022890899021</c:v>
                </c:pt>
                <c:pt idx="5">
                  <c:v>82.85028613623777</c:v>
                </c:pt>
              </c:numCache>
            </c:numRef>
          </c:yVal>
          <c:smooth val="0"/>
          <c:extLst>
            <c:ext xmlns:c16="http://schemas.microsoft.com/office/drawing/2014/chart" uri="{C3380CC4-5D6E-409C-BE32-E72D297353CC}">
              <c16:uniqueId val="{00000002-8CD8-48EC-8F04-58B7DA25661C}"/>
            </c:ext>
          </c:extLst>
        </c:ser>
        <c:dLbls>
          <c:showLegendKey val="0"/>
          <c:showVal val="0"/>
          <c:showCatName val="0"/>
          <c:showSerName val="0"/>
          <c:showPercent val="0"/>
          <c:showBubbleSize val="0"/>
        </c:dLbls>
        <c:axId val="1525654264"/>
        <c:axId val="1525659184"/>
      </c:scatterChart>
      <c:valAx>
        <c:axId val="1525654264"/>
        <c:scaling>
          <c:orientation val="minMax"/>
          <c:max val="2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MWmax (MVAmax)</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9184"/>
        <c:crosses val="autoZero"/>
        <c:crossBetween val="midCat"/>
      </c:valAx>
      <c:valAx>
        <c:axId val="1525659184"/>
        <c:scaling>
          <c:orientation val="minMax"/>
          <c:max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Unipolar cable costs [USD 2022/m]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54264"/>
        <c:crosses val="autoZero"/>
        <c:crossBetween val="midCat"/>
      </c:valAx>
      <c:spPr>
        <a:noFill/>
        <a:ln>
          <a:noFill/>
        </a:ln>
        <a:effectLst/>
      </c:spPr>
    </c:plotArea>
    <c:legend>
      <c:legendPos val="r"/>
      <c:layout>
        <c:manualLayout>
          <c:xMode val="edge"/>
          <c:yMode val="edge"/>
          <c:x val="0.55163554952679539"/>
          <c:y val="0.24219871781907901"/>
          <c:w val="0.43635659501816526"/>
          <c:h val="0.445975396981524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Ploss</a:t>
            </a:r>
            <a:r>
              <a:rPr lang="en-US" baseline="0"/>
              <a:t> </a:t>
            </a:r>
            <a:r>
              <a:rPr lang="en-US"/>
              <a:t>specific:</a:t>
            </a:r>
            <a:r>
              <a:rPr lang="en-US" baseline="0"/>
              <a:t> </a:t>
            </a:r>
            <a:r>
              <a:rPr lang="en-US"/>
              <a:t>MW/km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Eberle et al. 2019</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forward val="50"/>
            <c:backward val="200"/>
            <c:dispRSqr val="1"/>
            <c:dispEq val="1"/>
            <c:trendlineLbl>
              <c:layout>
                <c:manualLayout>
                  <c:x val="5.3889500115704557E-2"/>
                  <c:y val="-6.429069141063802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trendlineLbl>
          </c:trendline>
          <c:xVal>
            <c:numRef>
              <c:f>costs_cable!$D$125:$D$129</c:f>
              <c:numCache>
                <c:formatCode>General</c:formatCode>
                <c:ptCount val="5"/>
                <c:pt idx="0">
                  <c:v>300</c:v>
                </c:pt>
                <c:pt idx="1">
                  <c:v>440</c:v>
                </c:pt>
                <c:pt idx="2">
                  <c:v>640</c:v>
                </c:pt>
                <c:pt idx="3">
                  <c:v>830</c:v>
                </c:pt>
                <c:pt idx="4">
                  <c:v>935</c:v>
                </c:pt>
              </c:numCache>
            </c:numRef>
          </c:xVal>
          <c:yVal>
            <c:numRef>
              <c:f>costs_cable!$J$125:$J$129</c:f>
              <c:numCache>
                <c:formatCode>0.000</c:formatCode>
                <c:ptCount val="5"/>
                <c:pt idx="0">
                  <c:v>3.4023184885158639E-2</c:v>
                </c:pt>
                <c:pt idx="1">
                  <c:v>4.6034822924685928E-2</c:v>
                </c:pt>
                <c:pt idx="2">
                  <c:v>6.577704432385903E-2</c:v>
                </c:pt>
                <c:pt idx="3">
                  <c:v>8.8468776510588043E-2</c:v>
                </c:pt>
                <c:pt idx="4">
                  <c:v>0.10335195598740084</c:v>
                </c:pt>
              </c:numCache>
            </c:numRef>
          </c:yVal>
          <c:smooth val="0"/>
          <c:extLst>
            <c:ext xmlns:c16="http://schemas.microsoft.com/office/drawing/2014/chart" uri="{C3380CC4-5D6E-409C-BE32-E72D297353CC}">
              <c16:uniqueId val="{00000002-9CE7-47E2-9684-24582BB3EDCC}"/>
            </c:ext>
          </c:extLst>
        </c:ser>
        <c:dLbls>
          <c:showLegendKey val="0"/>
          <c:showVal val="0"/>
          <c:showCatName val="0"/>
          <c:showSerName val="0"/>
          <c:showPercent val="0"/>
          <c:showBubbleSize val="0"/>
        </c:dLbls>
        <c:axId val="693305672"/>
        <c:axId val="693304032"/>
      </c:scatterChart>
      <c:valAx>
        <c:axId val="693305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 max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4032"/>
        <c:crosses val="autoZero"/>
        <c:crossBetween val="midCat"/>
      </c:valAx>
      <c:valAx>
        <c:axId val="693304032"/>
        <c:scaling>
          <c:orientation val="minMax"/>
          <c:max val="0.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MW/km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5672"/>
        <c:crosses val="autoZero"/>
        <c:crossBetween val="midCat"/>
      </c:valAx>
      <c:spPr>
        <a:noFill/>
        <a:ln>
          <a:noFill/>
        </a:ln>
        <a:effectLst/>
      </c:spPr>
    </c:plotArea>
    <c:legend>
      <c:legendPos val="r"/>
      <c:layout>
        <c:manualLayout>
          <c:xMode val="edge"/>
          <c:yMode val="edge"/>
          <c:x val="0.61273501219972637"/>
          <c:y val="0.23694571046685431"/>
          <c:w val="0.37179711509964802"/>
          <c:h val="0.49850988294169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ca. 2050 A</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costs_cable!$Y$148:$Y$152</c:f>
              <c:numCache>
                <c:formatCode>General</c:formatCode>
                <c:ptCount val="5"/>
                <c:pt idx="0">
                  <c:v>22</c:v>
                </c:pt>
                <c:pt idx="1">
                  <c:v>33</c:v>
                </c:pt>
                <c:pt idx="2">
                  <c:v>66</c:v>
                </c:pt>
                <c:pt idx="3">
                  <c:v>132</c:v>
                </c:pt>
                <c:pt idx="4">
                  <c:v>220</c:v>
                </c:pt>
              </c:numCache>
            </c:numRef>
          </c:xVal>
          <c:yVal>
            <c:numRef>
              <c:f>costs_cable!$Z$148:$Z$152</c:f>
              <c:numCache>
                <c:formatCode>0.0</c:formatCode>
                <c:ptCount val="5"/>
                <c:pt idx="0">
                  <c:v>9.2211395330154602</c:v>
                </c:pt>
                <c:pt idx="1">
                  <c:v>9.60165018217217</c:v>
                </c:pt>
                <c:pt idx="2">
                  <c:v>10.306635225624101</c:v>
                </c:pt>
              </c:numCache>
            </c:numRef>
          </c:yVal>
          <c:smooth val="0"/>
          <c:extLst>
            <c:ext xmlns:c16="http://schemas.microsoft.com/office/drawing/2014/chart" uri="{C3380CC4-5D6E-409C-BE32-E72D297353CC}">
              <c16:uniqueId val="{00000000-2710-FC40-90FB-F2A68DEA9FE2}"/>
            </c:ext>
          </c:extLst>
        </c:ser>
        <c:ser>
          <c:idx val="1"/>
          <c:order val="1"/>
          <c:tx>
            <c:v>ca. 1900 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7.4727690288713913E-2"/>
                  <c:y val="-0.1032731846019247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costs_cable!$Y$148:$Y$152</c:f>
              <c:numCache>
                <c:formatCode>General</c:formatCode>
                <c:ptCount val="5"/>
                <c:pt idx="0">
                  <c:v>22</c:v>
                </c:pt>
                <c:pt idx="1">
                  <c:v>33</c:v>
                </c:pt>
                <c:pt idx="2">
                  <c:v>66</c:v>
                </c:pt>
                <c:pt idx="3">
                  <c:v>132</c:v>
                </c:pt>
                <c:pt idx="4">
                  <c:v>220</c:v>
                </c:pt>
              </c:numCache>
            </c:numRef>
          </c:xVal>
          <c:yVal>
            <c:numRef>
              <c:f>costs_cable!$AA$148:$AA$150</c:f>
              <c:numCache>
                <c:formatCode>0.0</c:formatCode>
                <c:ptCount val="3"/>
                <c:pt idx="0">
                  <c:v>7.39291536909358</c:v>
                </c:pt>
                <c:pt idx="1">
                  <c:v>8.0464290946208408</c:v>
                </c:pt>
                <c:pt idx="2">
                  <c:v>9.2155491392305695</c:v>
                </c:pt>
              </c:numCache>
            </c:numRef>
          </c:yVal>
          <c:smooth val="0"/>
          <c:extLst>
            <c:ext xmlns:c16="http://schemas.microsoft.com/office/drawing/2014/chart" uri="{C3380CC4-5D6E-409C-BE32-E72D297353CC}">
              <c16:uniqueId val="{00000001-2710-FC40-90FB-F2A68DEA9FE2}"/>
            </c:ext>
          </c:extLst>
        </c:ser>
        <c:ser>
          <c:idx val="2"/>
          <c:order val="2"/>
          <c:tx>
            <c:v>ca. 1720 A</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8.4318460192475894E-2"/>
                  <c:y val="7.812846310877806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costs_cable!$Y$148:$Y$152</c:f>
              <c:numCache>
                <c:formatCode>General</c:formatCode>
                <c:ptCount val="5"/>
                <c:pt idx="0">
                  <c:v>22</c:v>
                </c:pt>
                <c:pt idx="1">
                  <c:v>33</c:v>
                </c:pt>
                <c:pt idx="2">
                  <c:v>66</c:v>
                </c:pt>
                <c:pt idx="3">
                  <c:v>132</c:v>
                </c:pt>
                <c:pt idx="4">
                  <c:v>220</c:v>
                </c:pt>
              </c:numCache>
            </c:numRef>
          </c:xVal>
          <c:yVal>
            <c:numRef>
              <c:f>costs_cable!$AB$148:$AB$152</c:f>
              <c:numCache>
                <c:formatCode>0.0</c:formatCode>
                <c:ptCount val="5"/>
                <c:pt idx="0">
                  <c:v>5.6465623567550196</c:v>
                </c:pt>
                <c:pt idx="1">
                  <c:v>6.0273707191902197</c:v>
                </c:pt>
                <c:pt idx="2">
                  <c:v>6.7604400485792402</c:v>
                </c:pt>
                <c:pt idx="3">
                  <c:v>10.845992448479</c:v>
                </c:pt>
                <c:pt idx="4">
                  <c:v>11.681938255211101</c:v>
                </c:pt>
              </c:numCache>
            </c:numRef>
          </c:yVal>
          <c:smooth val="0"/>
          <c:extLst>
            <c:ext xmlns:c16="http://schemas.microsoft.com/office/drawing/2014/chart" uri="{C3380CC4-5D6E-409C-BE32-E72D297353CC}">
              <c16:uniqueId val="{00000002-2710-FC40-90FB-F2A68DEA9FE2}"/>
            </c:ext>
          </c:extLst>
        </c:ser>
        <c:ser>
          <c:idx val="3"/>
          <c:order val="3"/>
          <c:tx>
            <c:v>ca. 1450 A</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5.3184601924759402E-3"/>
                  <c:y val="2.10338291046952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costs_cable!$Y$148:$Y$152</c:f>
              <c:numCache>
                <c:formatCode>General</c:formatCode>
                <c:ptCount val="5"/>
                <c:pt idx="0">
                  <c:v>22</c:v>
                </c:pt>
                <c:pt idx="1">
                  <c:v>33</c:v>
                </c:pt>
                <c:pt idx="2">
                  <c:v>66</c:v>
                </c:pt>
                <c:pt idx="3">
                  <c:v>132</c:v>
                </c:pt>
                <c:pt idx="4">
                  <c:v>220</c:v>
                </c:pt>
              </c:numCache>
            </c:numRef>
          </c:xVal>
          <c:yVal>
            <c:numRef>
              <c:f>costs_cable!$AC$148:$AC$152</c:f>
              <c:numCache>
                <c:formatCode>0.0</c:formatCode>
                <c:ptCount val="5"/>
                <c:pt idx="0">
                  <c:v>3.9549885876576498</c:v>
                </c:pt>
                <c:pt idx="1">
                  <c:v>4.3632858094729503</c:v>
                </c:pt>
                <c:pt idx="2">
                  <c:v>5.1241086322673901</c:v>
                </c:pt>
                <c:pt idx="3">
                  <c:v>7.3550396242196801</c:v>
                </c:pt>
                <c:pt idx="4">
                  <c:v>8.0011766762911503</c:v>
                </c:pt>
              </c:numCache>
            </c:numRef>
          </c:yVal>
          <c:smooth val="0"/>
          <c:extLst>
            <c:ext xmlns:c16="http://schemas.microsoft.com/office/drawing/2014/chart" uri="{C3380CC4-5D6E-409C-BE32-E72D297353CC}">
              <c16:uniqueId val="{00000003-2710-FC40-90FB-F2A68DEA9FE2}"/>
            </c:ext>
          </c:extLst>
        </c:ser>
        <c:ser>
          <c:idx val="4"/>
          <c:order val="4"/>
          <c:tx>
            <c:v>ca. 1120 A</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1"/>
            <c:dispEq val="1"/>
            <c:trendlineLbl>
              <c:layout>
                <c:manualLayout>
                  <c:x val="8.0962379702537186E-3"/>
                  <c:y val="5.725284339457567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costs_cable!$Y$148:$Y$152</c:f>
              <c:numCache>
                <c:formatCode>General</c:formatCode>
                <c:ptCount val="5"/>
                <c:pt idx="0">
                  <c:v>22</c:v>
                </c:pt>
                <c:pt idx="1">
                  <c:v>33</c:v>
                </c:pt>
                <c:pt idx="2">
                  <c:v>66</c:v>
                </c:pt>
                <c:pt idx="3">
                  <c:v>132</c:v>
                </c:pt>
                <c:pt idx="4">
                  <c:v>220</c:v>
                </c:pt>
              </c:numCache>
            </c:numRef>
          </c:xVal>
          <c:yVal>
            <c:numRef>
              <c:f>costs_cable!$AD$148:$AD$152</c:f>
              <c:numCache>
                <c:formatCode>0.0</c:formatCode>
                <c:ptCount val="5"/>
                <c:pt idx="0">
                  <c:v>2.8365459588966599</c:v>
                </c:pt>
                <c:pt idx="1">
                  <c:v>3.0813655115706502</c:v>
                </c:pt>
                <c:pt idx="2">
                  <c:v>3.62462608629904</c:v>
                </c:pt>
                <c:pt idx="3">
                  <c:v>4.13877691824226</c:v>
                </c:pt>
                <c:pt idx="4">
                  <c:v>5.3586405372070702</c:v>
                </c:pt>
              </c:numCache>
            </c:numRef>
          </c:yVal>
          <c:smooth val="0"/>
          <c:extLst>
            <c:ext xmlns:c16="http://schemas.microsoft.com/office/drawing/2014/chart" uri="{C3380CC4-5D6E-409C-BE32-E72D297353CC}">
              <c16:uniqueId val="{00000004-2710-FC40-90FB-F2A68DEA9FE2}"/>
            </c:ext>
          </c:extLst>
        </c:ser>
        <c:dLbls>
          <c:showLegendKey val="0"/>
          <c:showVal val="0"/>
          <c:showCatName val="0"/>
          <c:showSerName val="0"/>
          <c:showPercent val="0"/>
          <c:showBubbleSize val="0"/>
        </c:dLbls>
        <c:axId val="922244464"/>
        <c:axId val="922246176"/>
      </c:scatterChart>
      <c:valAx>
        <c:axId val="9222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 [kV]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46176"/>
        <c:crosses val="autoZero"/>
        <c:crossBetween val="midCat"/>
      </c:valAx>
      <c:valAx>
        <c:axId val="92224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 [MSek/km]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44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Hau 2016, 20kV</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1000"/>
            <c:dispRSqr val="1"/>
            <c:dispEq val="1"/>
            <c:trendlineLbl>
              <c:layout>
                <c:manualLayout>
                  <c:x val="-0.19307703050880107"/>
                  <c:y val="4.997739865850102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costs_cable!$C$80:$C$84</c:f>
              <c:numCache>
                <c:formatCode>General</c:formatCode>
                <c:ptCount val="5"/>
                <c:pt idx="0">
                  <c:v>150</c:v>
                </c:pt>
                <c:pt idx="1">
                  <c:v>240</c:v>
                </c:pt>
                <c:pt idx="2">
                  <c:v>300</c:v>
                </c:pt>
                <c:pt idx="3">
                  <c:v>400</c:v>
                </c:pt>
                <c:pt idx="4">
                  <c:v>630</c:v>
                </c:pt>
              </c:numCache>
            </c:numRef>
          </c:xVal>
          <c:yVal>
            <c:numRef>
              <c:f>costs_cable!$D$80:$D$84</c:f>
              <c:numCache>
                <c:formatCode>0</c:formatCode>
                <c:ptCount val="5"/>
                <c:pt idx="0">
                  <c:v>482.57223409413302</c:v>
                </c:pt>
                <c:pt idx="1">
                  <c:v>593.86092505132501</c:v>
                </c:pt>
                <c:pt idx="2">
                  <c:v>674.74355674473998</c:v>
                </c:pt>
                <c:pt idx="3">
                  <c:v>766.14330494051001</c:v>
                </c:pt>
                <c:pt idx="4">
                  <c:v>909.16491580919512</c:v>
                </c:pt>
              </c:numCache>
            </c:numRef>
          </c:yVal>
          <c:smooth val="0"/>
          <c:extLst>
            <c:ext xmlns:c16="http://schemas.microsoft.com/office/drawing/2014/chart" uri="{C3380CC4-5D6E-409C-BE32-E72D297353CC}">
              <c16:uniqueId val="{00000000-33B8-4C4D-86B0-2038E5758435}"/>
            </c:ext>
          </c:extLst>
        </c:ser>
        <c:ser>
          <c:idx val="3"/>
          <c:order val="1"/>
          <c:tx>
            <c:v>Hau 2016, 110 kV</c:v>
          </c:tx>
          <c:spPr>
            <a:ln w="25400" cap="rnd">
              <a:noFill/>
              <a:round/>
            </a:ln>
            <a:effectLst/>
          </c:spPr>
          <c:marker>
            <c:symbol val="circle"/>
            <c:size val="5"/>
            <c:spPr>
              <a:solidFill>
                <a:schemeClr val="accent4"/>
              </a:solidFill>
              <a:ln w="9525">
                <a:solidFill>
                  <a:schemeClr val="accent4"/>
                </a:solidFill>
              </a:ln>
              <a:effectLst/>
            </c:spPr>
          </c:marker>
          <c:xVal>
            <c:numRef>
              <c:f>costs_cable!$C$93:$C$95</c:f>
              <c:numCache>
                <c:formatCode>General</c:formatCode>
                <c:ptCount val="3"/>
                <c:pt idx="0">
                  <c:v>800</c:v>
                </c:pt>
                <c:pt idx="1">
                  <c:v>1200</c:v>
                </c:pt>
                <c:pt idx="2">
                  <c:v>1600</c:v>
                </c:pt>
              </c:numCache>
            </c:numRef>
          </c:xVal>
          <c:yVal>
            <c:numRef>
              <c:f>costs_cable!$D$93:$D$95</c:f>
              <c:numCache>
                <c:formatCode>0</c:formatCode>
                <c:ptCount val="3"/>
                <c:pt idx="0">
                  <c:v>1014.1735562749362</c:v>
                </c:pt>
                <c:pt idx="1">
                  <c:v>1228.6514771347722</c:v>
                </c:pt>
                <c:pt idx="2">
                  <c:v>1397.4580885749604</c:v>
                </c:pt>
              </c:numCache>
            </c:numRef>
          </c:yVal>
          <c:smooth val="0"/>
          <c:extLst>
            <c:ext xmlns:c16="http://schemas.microsoft.com/office/drawing/2014/chart" uri="{C3380CC4-5D6E-409C-BE32-E72D297353CC}">
              <c16:uniqueId val="{00000003-33B8-4C4D-86B0-2038E5758435}"/>
            </c:ext>
          </c:extLst>
        </c:ser>
        <c:ser>
          <c:idx val="1"/>
          <c:order val="2"/>
          <c:tx>
            <c:v>Zarkovic et al. 2021</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0.24379917647908692"/>
                  <c:y val="-0.1150798337707786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costs_cable!$C$67:$C$69</c:f>
              <c:numCache>
                <c:formatCode>General</c:formatCode>
                <c:ptCount val="3"/>
                <c:pt idx="0">
                  <c:v>150</c:v>
                </c:pt>
                <c:pt idx="1">
                  <c:v>240</c:v>
                </c:pt>
                <c:pt idx="2">
                  <c:v>300</c:v>
                </c:pt>
              </c:numCache>
            </c:numRef>
          </c:xVal>
          <c:yVal>
            <c:numRef>
              <c:f>costs_cable!$D$67:$D$69</c:f>
              <c:numCache>
                <c:formatCode>General</c:formatCode>
                <c:ptCount val="3"/>
                <c:pt idx="0">
                  <c:v>335</c:v>
                </c:pt>
                <c:pt idx="1">
                  <c:v>435</c:v>
                </c:pt>
                <c:pt idx="2">
                  <c:v>490</c:v>
                </c:pt>
              </c:numCache>
            </c:numRef>
          </c:yVal>
          <c:smooth val="0"/>
          <c:extLst>
            <c:ext xmlns:c16="http://schemas.microsoft.com/office/drawing/2014/chart" uri="{C3380CC4-5D6E-409C-BE32-E72D297353CC}">
              <c16:uniqueId val="{00000001-33B8-4C4D-86B0-2038E5758435}"/>
            </c:ext>
          </c:extLst>
        </c:ser>
        <c:ser>
          <c:idx val="2"/>
          <c:order val="3"/>
          <c:tx>
            <c:v>Cerveira et al. 2021</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0946625249825423"/>
                  <c:y val="0.1790766258384368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costs_cable!$C$12:$C$21</c:f>
              <c:numCache>
                <c:formatCode>General</c:formatCode>
                <c:ptCount val="10"/>
                <c:pt idx="0">
                  <c:v>50</c:v>
                </c:pt>
                <c:pt idx="1">
                  <c:v>70</c:v>
                </c:pt>
                <c:pt idx="2">
                  <c:v>95</c:v>
                </c:pt>
                <c:pt idx="3">
                  <c:v>120</c:v>
                </c:pt>
                <c:pt idx="4">
                  <c:v>150</c:v>
                </c:pt>
                <c:pt idx="5">
                  <c:v>185</c:v>
                </c:pt>
                <c:pt idx="6">
                  <c:v>240</c:v>
                </c:pt>
                <c:pt idx="7">
                  <c:v>300</c:v>
                </c:pt>
                <c:pt idx="8">
                  <c:v>400</c:v>
                </c:pt>
                <c:pt idx="9">
                  <c:v>500</c:v>
                </c:pt>
              </c:numCache>
            </c:numRef>
          </c:xVal>
          <c:yVal>
            <c:numRef>
              <c:f>costs_cable!$D$12:$D$21</c:f>
              <c:numCache>
                <c:formatCode>General</c:formatCode>
                <c:ptCount val="10"/>
                <c:pt idx="0">
                  <c:v>169</c:v>
                </c:pt>
                <c:pt idx="1">
                  <c:v>207</c:v>
                </c:pt>
                <c:pt idx="2">
                  <c:v>247</c:v>
                </c:pt>
                <c:pt idx="3">
                  <c:v>281</c:v>
                </c:pt>
                <c:pt idx="4">
                  <c:v>313</c:v>
                </c:pt>
                <c:pt idx="5">
                  <c:v>354</c:v>
                </c:pt>
                <c:pt idx="6">
                  <c:v>408</c:v>
                </c:pt>
                <c:pt idx="7">
                  <c:v>458</c:v>
                </c:pt>
                <c:pt idx="8">
                  <c:v>519</c:v>
                </c:pt>
                <c:pt idx="9">
                  <c:v>585</c:v>
                </c:pt>
              </c:numCache>
            </c:numRef>
          </c:yVal>
          <c:smooth val="0"/>
          <c:extLst>
            <c:ext xmlns:c16="http://schemas.microsoft.com/office/drawing/2014/chart" uri="{C3380CC4-5D6E-409C-BE32-E72D297353CC}">
              <c16:uniqueId val="{00000002-33B8-4C4D-86B0-2038E5758435}"/>
            </c:ext>
          </c:extLst>
        </c:ser>
        <c:ser>
          <c:idx val="4"/>
          <c:order val="4"/>
          <c:tx>
            <c:v>Eberle et al. 2019</c:v>
          </c:tx>
          <c:spPr>
            <a:ln w="25400" cap="rnd">
              <a:noFill/>
              <a:round/>
            </a:ln>
            <a:effectLst/>
          </c:spPr>
          <c:marker>
            <c:symbol val="circle"/>
            <c:size val="5"/>
            <c:spPr>
              <a:solidFill>
                <a:schemeClr val="accent5"/>
              </a:solidFill>
              <a:ln w="9525">
                <a:solidFill>
                  <a:schemeClr val="accent5"/>
                </a:solidFill>
              </a:ln>
              <a:effectLst/>
            </c:spPr>
          </c:marker>
          <c:xVal>
            <c:numRef>
              <c:f>costs_cable!$C$125:$C$129</c:f>
              <c:numCache>
                <c:formatCode>General</c:formatCode>
                <c:ptCount val="5"/>
                <c:pt idx="0" formatCode="0">
                  <c:v>53.5</c:v>
                </c:pt>
                <c:pt idx="1">
                  <c:v>107</c:v>
                </c:pt>
                <c:pt idx="2" formatCode="0">
                  <c:v>253.35000000000002</c:v>
                </c:pt>
                <c:pt idx="3" formatCode="0">
                  <c:v>506.70000000000005</c:v>
                </c:pt>
                <c:pt idx="4" formatCode="0">
                  <c:v>633.375</c:v>
                </c:pt>
              </c:numCache>
            </c:numRef>
          </c:xVal>
          <c:yVal>
            <c:numRef>
              <c:f>costs_cable!$D$125:$D$129</c:f>
              <c:numCache>
                <c:formatCode>General</c:formatCode>
                <c:ptCount val="5"/>
                <c:pt idx="0">
                  <c:v>300</c:v>
                </c:pt>
                <c:pt idx="1">
                  <c:v>440</c:v>
                </c:pt>
                <c:pt idx="2">
                  <c:v>640</c:v>
                </c:pt>
                <c:pt idx="3">
                  <c:v>830</c:v>
                </c:pt>
                <c:pt idx="4">
                  <c:v>935</c:v>
                </c:pt>
              </c:numCache>
            </c:numRef>
          </c:yVal>
          <c:smooth val="0"/>
          <c:extLst>
            <c:ext xmlns:c16="http://schemas.microsoft.com/office/drawing/2014/chart" uri="{C3380CC4-5D6E-409C-BE32-E72D297353CC}">
              <c16:uniqueId val="{00000004-33B8-4C4D-86B0-2038E5758435}"/>
            </c:ext>
          </c:extLst>
        </c:ser>
        <c:ser>
          <c:idx val="5"/>
          <c:order val="5"/>
          <c:tx>
            <c:v>Datasheet (elandcable)</c:v>
          </c:tx>
          <c:spPr>
            <a:ln w="25400" cap="rnd">
              <a:noFill/>
              <a:round/>
            </a:ln>
            <a:effectLst/>
          </c:spPr>
          <c:marker>
            <c:symbol val="circle"/>
            <c:size val="5"/>
            <c:spPr>
              <a:solidFill>
                <a:schemeClr val="accent6"/>
              </a:solidFill>
              <a:ln w="9525">
                <a:solidFill>
                  <a:schemeClr val="accent6"/>
                </a:solidFill>
              </a:ln>
              <a:effectLst/>
            </c:spPr>
          </c:marker>
          <c:xVal>
            <c:numRef>
              <c:f>costs_cable!$P$12:$P$22</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costs_cable!$Q$12:$Q$22</c:f>
              <c:numCache>
                <c:formatCode>General</c:formatCode>
                <c:ptCount val="11"/>
                <c:pt idx="0">
                  <c:v>174</c:v>
                </c:pt>
                <c:pt idx="1">
                  <c:v>214</c:v>
                </c:pt>
                <c:pt idx="2">
                  <c:v>256</c:v>
                </c:pt>
                <c:pt idx="3">
                  <c:v>293</c:v>
                </c:pt>
                <c:pt idx="4">
                  <c:v>327</c:v>
                </c:pt>
                <c:pt idx="5">
                  <c:v>371</c:v>
                </c:pt>
                <c:pt idx="6">
                  <c:v>432</c:v>
                </c:pt>
                <c:pt idx="7">
                  <c:v>491</c:v>
                </c:pt>
                <c:pt idx="8">
                  <c:v>564</c:v>
                </c:pt>
                <c:pt idx="9">
                  <c:v>646</c:v>
                </c:pt>
                <c:pt idx="10">
                  <c:v>743</c:v>
                </c:pt>
              </c:numCache>
            </c:numRef>
          </c:yVal>
          <c:smooth val="0"/>
          <c:extLst>
            <c:ext xmlns:c16="http://schemas.microsoft.com/office/drawing/2014/chart" uri="{C3380CC4-5D6E-409C-BE32-E72D297353CC}">
              <c16:uniqueId val="{00000003-21F6-4046-A543-3ACDF98F713E}"/>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a:t>
                </a:r>
                <a:r>
                  <a:rPr lang="en-GB" baseline="0"/>
                  <a:t> max [A]</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Zarkovic et al. 2021</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forward val="400"/>
            <c:backward val="100"/>
            <c:dispRSqr val="1"/>
            <c:dispEq val="1"/>
            <c:trendlineLbl>
              <c:layout>
                <c:manualLayout>
                  <c:x val="-0.12667408317079631"/>
                  <c:y val="-0.151049504228638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costs_cable!$C$67:$C$69</c:f>
              <c:numCache>
                <c:formatCode>General</c:formatCode>
                <c:ptCount val="3"/>
                <c:pt idx="0">
                  <c:v>150</c:v>
                </c:pt>
                <c:pt idx="1">
                  <c:v>240</c:v>
                </c:pt>
                <c:pt idx="2">
                  <c:v>300</c:v>
                </c:pt>
              </c:numCache>
            </c:numRef>
          </c:xVal>
          <c:yVal>
            <c:numRef>
              <c:f>costs_cable!$F$67:$F$69</c:f>
              <c:numCache>
                <c:formatCode>General</c:formatCode>
                <c:ptCount val="3"/>
                <c:pt idx="0">
                  <c:v>0.159</c:v>
                </c:pt>
                <c:pt idx="1">
                  <c:v>9.7799999999999998E-2</c:v>
                </c:pt>
                <c:pt idx="2">
                  <c:v>7.8799999999999995E-2</c:v>
                </c:pt>
              </c:numCache>
            </c:numRef>
          </c:yVal>
          <c:smooth val="0"/>
          <c:extLst>
            <c:ext xmlns:c16="http://schemas.microsoft.com/office/drawing/2014/chart" uri="{C3380CC4-5D6E-409C-BE32-E72D297353CC}">
              <c16:uniqueId val="{00000002-AB79-4CD2-A365-E4D1E5A05203}"/>
            </c:ext>
          </c:extLst>
        </c:ser>
        <c:ser>
          <c:idx val="2"/>
          <c:order val="1"/>
          <c:tx>
            <c:v>Cerveira et al. 2021</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forward val="200"/>
            <c:dispRSqr val="1"/>
            <c:dispEq val="1"/>
            <c:trendlineLbl>
              <c:layout>
                <c:manualLayout>
                  <c:x val="-0.28898498798761268"/>
                  <c:y val="-0.424197652376786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costs_cable!$C$12:$C$21</c:f>
              <c:numCache>
                <c:formatCode>General</c:formatCode>
                <c:ptCount val="10"/>
                <c:pt idx="0">
                  <c:v>50</c:v>
                </c:pt>
                <c:pt idx="1">
                  <c:v>70</c:v>
                </c:pt>
                <c:pt idx="2">
                  <c:v>95</c:v>
                </c:pt>
                <c:pt idx="3">
                  <c:v>120</c:v>
                </c:pt>
                <c:pt idx="4">
                  <c:v>150</c:v>
                </c:pt>
                <c:pt idx="5">
                  <c:v>185</c:v>
                </c:pt>
                <c:pt idx="6">
                  <c:v>240</c:v>
                </c:pt>
                <c:pt idx="7">
                  <c:v>300</c:v>
                </c:pt>
                <c:pt idx="8">
                  <c:v>400</c:v>
                </c:pt>
                <c:pt idx="9">
                  <c:v>500</c:v>
                </c:pt>
              </c:numCache>
            </c:numRef>
          </c:xVal>
          <c:yVal>
            <c:numRef>
              <c:f>costs_cable!$J$12:$J$21</c:f>
              <c:numCache>
                <c:formatCode>General</c:formatCode>
                <c:ptCount val="10"/>
                <c:pt idx="0">
                  <c:v>0.64100000000000001</c:v>
                </c:pt>
                <c:pt idx="1">
                  <c:v>0.443</c:v>
                </c:pt>
                <c:pt idx="2">
                  <c:v>0.32</c:v>
                </c:pt>
                <c:pt idx="3">
                  <c:v>0.253</c:v>
                </c:pt>
                <c:pt idx="4">
                  <c:v>0.20599999999999999</c:v>
                </c:pt>
                <c:pt idx="5">
                  <c:v>0.16400000000000001</c:v>
                </c:pt>
                <c:pt idx="6">
                  <c:v>0.125</c:v>
                </c:pt>
                <c:pt idx="7">
                  <c:v>0.1</c:v>
                </c:pt>
                <c:pt idx="8">
                  <c:v>7.7799999999999994E-2</c:v>
                </c:pt>
                <c:pt idx="9">
                  <c:v>6.5000000000000002E-2</c:v>
                </c:pt>
              </c:numCache>
            </c:numRef>
          </c:yVal>
          <c:smooth val="0"/>
          <c:extLst>
            <c:ext xmlns:c16="http://schemas.microsoft.com/office/drawing/2014/chart" uri="{C3380CC4-5D6E-409C-BE32-E72D297353CC}">
              <c16:uniqueId val="{00000003-AB79-4CD2-A365-E4D1E5A05203}"/>
            </c:ext>
          </c:extLst>
        </c:ser>
        <c:ser>
          <c:idx val="4"/>
          <c:order val="2"/>
          <c:tx>
            <c:v>Eberle et al. 2019</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dispRSqr val="1"/>
            <c:dispEq val="1"/>
            <c:trendlineLbl>
              <c:layout>
                <c:manualLayout>
                  <c:x val="0.12410912856076477"/>
                  <c:y val="-5.845691163604549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costs_cable!$C$125:$C$129</c:f>
              <c:numCache>
                <c:formatCode>General</c:formatCode>
                <c:ptCount val="5"/>
                <c:pt idx="0" formatCode="0">
                  <c:v>53.5</c:v>
                </c:pt>
                <c:pt idx="1">
                  <c:v>107</c:v>
                </c:pt>
                <c:pt idx="2" formatCode="0">
                  <c:v>253.35000000000002</c:v>
                </c:pt>
                <c:pt idx="3" formatCode="0">
                  <c:v>506.70000000000005</c:v>
                </c:pt>
                <c:pt idx="4" formatCode="0">
                  <c:v>633.375</c:v>
                </c:pt>
              </c:numCache>
            </c:numRef>
          </c:xVal>
          <c:yVal>
            <c:numRef>
              <c:f>costs_cable!$F$125:$F$129</c:f>
              <c:numCache>
                <c:formatCode>General</c:formatCode>
                <c:ptCount val="5"/>
                <c:pt idx="0">
                  <c:v>0.253</c:v>
                </c:pt>
                <c:pt idx="1">
                  <c:v>0.125</c:v>
                </c:pt>
                <c:pt idx="2">
                  <c:v>6.0999999999999999E-2</c:v>
                </c:pt>
                <c:pt idx="3">
                  <c:v>3.6999999999999998E-2</c:v>
                </c:pt>
                <c:pt idx="4">
                  <c:v>2.9000000000000001E-2</c:v>
                </c:pt>
              </c:numCache>
            </c:numRef>
          </c:yVal>
          <c:smooth val="0"/>
          <c:extLst>
            <c:ext xmlns:c16="http://schemas.microsoft.com/office/drawing/2014/chart" uri="{C3380CC4-5D6E-409C-BE32-E72D297353CC}">
              <c16:uniqueId val="{00000004-AB79-4CD2-A365-E4D1E5A05203}"/>
            </c:ext>
          </c:extLst>
        </c:ser>
        <c:ser>
          <c:idx val="0"/>
          <c:order val="3"/>
          <c:tx>
            <c:v>Datasheet (elandcable)</c:v>
          </c:tx>
          <c:spPr>
            <a:ln w="25400" cap="rnd">
              <a:noFill/>
              <a:round/>
            </a:ln>
            <a:effectLst/>
          </c:spPr>
          <c:marker>
            <c:symbol val="circle"/>
            <c:size val="5"/>
            <c:spPr>
              <a:solidFill>
                <a:schemeClr val="accent1"/>
              </a:solidFill>
              <a:ln w="9525">
                <a:solidFill>
                  <a:schemeClr val="accent1"/>
                </a:solidFill>
              </a:ln>
              <a:effectLst/>
            </c:spPr>
          </c:marker>
          <c:xVal>
            <c:numRef>
              <c:f>costs_cable!$P$12</c:f>
              <c:numCache>
                <c:formatCode>General</c:formatCode>
                <c:ptCount val="1"/>
                <c:pt idx="0">
                  <c:v>50</c:v>
                </c:pt>
              </c:numCache>
            </c:numRef>
          </c:xVal>
          <c:yVal>
            <c:numRef>
              <c:f>costs_cable!$R$12</c:f>
              <c:numCache>
                <c:formatCode>General</c:formatCode>
                <c:ptCount val="1"/>
                <c:pt idx="0">
                  <c:v>0.64100000000000001</c:v>
                </c:pt>
              </c:numCache>
            </c:numRef>
          </c:yVal>
          <c:smooth val="0"/>
          <c:extLst>
            <c:ext xmlns:c16="http://schemas.microsoft.com/office/drawing/2014/chart" uri="{C3380CC4-5D6E-409C-BE32-E72D297353CC}">
              <c16:uniqueId val="{00000003-67B9-344D-BEF7-A175C027D808}"/>
            </c:ext>
          </c:extLst>
        </c:ser>
        <c:ser>
          <c:idx val="3"/>
          <c:order val="4"/>
          <c:tx>
            <c:v>Datasheet (elandcable) 90C</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wer"/>
            <c:dispRSqr val="1"/>
            <c:dispEq val="1"/>
            <c:trendlineLbl>
              <c:layout>
                <c:manualLayout>
                  <c:x val="-0.27977336166312544"/>
                  <c:y val="-0.604753207932341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costs_cable!$P$12:$P$22</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costs_cable!$S$12:$S$22</c:f>
              <c:numCache>
                <c:formatCode>0.000</c:formatCode>
                <c:ptCount val="11"/>
                <c:pt idx="0">
                  <c:v>0.8218261</c:v>
                </c:pt>
                <c:pt idx="1">
                  <c:v>0.56797030000000004</c:v>
                </c:pt>
                <c:pt idx="2">
                  <c:v>0.41027200000000003</c:v>
                </c:pt>
                <c:pt idx="3">
                  <c:v>0.32437130000000003</c:v>
                </c:pt>
                <c:pt idx="4">
                  <c:v>0.26411259999999998</c:v>
                </c:pt>
                <c:pt idx="5">
                  <c:v>0.21026440000000002</c:v>
                </c:pt>
                <c:pt idx="6">
                  <c:v>0.1602625</c:v>
                </c:pt>
                <c:pt idx="7">
                  <c:v>0.12821000000000002</c:v>
                </c:pt>
                <c:pt idx="8">
                  <c:v>9.9747379999999997E-2</c:v>
                </c:pt>
                <c:pt idx="9">
                  <c:v>7.7567049999999998E-2</c:v>
                </c:pt>
                <c:pt idx="10">
                  <c:v>6.0130489999999995E-2</c:v>
                </c:pt>
              </c:numCache>
            </c:numRef>
          </c:yVal>
          <c:smooth val="0"/>
          <c:extLst>
            <c:ext xmlns:c16="http://schemas.microsoft.com/office/drawing/2014/chart" uri="{C3380CC4-5D6E-409C-BE32-E72D297353CC}">
              <c16:uniqueId val="{00000004-67B9-344D-BEF7-A175C027D808}"/>
            </c:ext>
          </c:extLst>
        </c:ser>
        <c:ser>
          <c:idx val="5"/>
          <c:order val="5"/>
          <c:tx>
            <c:v>Hau (35 S/m)</c:v>
          </c:tx>
          <c:spPr>
            <a:ln w="25400" cap="rnd">
              <a:noFill/>
              <a:round/>
            </a:ln>
            <a:effectLst/>
          </c:spPr>
          <c:marker>
            <c:symbol val="circle"/>
            <c:size val="5"/>
            <c:spPr>
              <a:solidFill>
                <a:schemeClr val="accent6"/>
              </a:solidFill>
              <a:ln w="9525">
                <a:solidFill>
                  <a:schemeClr val="accent6"/>
                </a:solidFill>
              </a:ln>
              <a:effectLst/>
            </c:spPr>
          </c:marker>
          <c:xVal>
            <c:numRef>
              <c:f>costs_cable!$AV$11:$AV$21</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costs_cable!$AX$11:$AX$21</c:f>
              <c:numCache>
                <c:formatCode>0.000</c:formatCode>
                <c:ptCount val="11"/>
                <c:pt idx="0">
                  <c:v>0.73262857142857141</c:v>
                </c:pt>
                <c:pt idx="1">
                  <c:v>0.52330612244897956</c:v>
                </c:pt>
                <c:pt idx="2">
                  <c:v>0.38559398496240604</c:v>
                </c:pt>
                <c:pt idx="3">
                  <c:v>0.30526190476190479</c:v>
                </c:pt>
                <c:pt idx="4">
                  <c:v>0.24420952380952385</c:v>
                </c:pt>
                <c:pt idx="5">
                  <c:v>0.19800772200772201</c:v>
                </c:pt>
                <c:pt idx="6">
                  <c:v>0.15263095238095239</c:v>
                </c:pt>
                <c:pt idx="7">
                  <c:v>0.12210476190476192</c:v>
                </c:pt>
                <c:pt idx="8">
                  <c:v>9.1578571428571426E-2</c:v>
                </c:pt>
                <c:pt idx="9">
                  <c:v>7.3262857142857143E-2</c:v>
                </c:pt>
                <c:pt idx="10">
                  <c:v>5.8145124716553295E-2</c:v>
                </c:pt>
              </c:numCache>
            </c:numRef>
          </c:yVal>
          <c:smooth val="0"/>
          <c:extLst>
            <c:ext xmlns:c16="http://schemas.microsoft.com/office/drawing/2014/chart" uri="{C3380CC4-5D6E-409C-BE32-E72D297353CC}">
              <c16:uniqueId val="{00000006-67B9-344D-BEF7-A175C027D808}"/>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R [Ohm/km]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Zarkovic et al. 2021</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forward val="400"/>
            <c:backward val="100"/>
            <c:dispRSqr val="1"/>
            <c:dispEq val="1"/>
            <c:trendlineLbl>
              <c:layout>
                <c:manualLayout>
                  <c:x val="6.0668930145199741E-3"/>
                  <c:y val="-8.179024496937886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costs_cable!$C$67:$C$69</c:f>
              <c:numCache>
                <c:formatCode>General</c:formatCode>
                <c:ptCount val="3"/>
                <c:pt idx="0">
                  <c:v>150</c:v>
                </c:pt>
                <c:pt idx="1">
                  <c:v>240</c:v>
                </c:pt>
                <c:pt idx="2">
                  <c:v>300</c:v>
                </c:pt>
              </c:numCache>
            </c:numRef>
          </c:xVal>
          <c:yVal>
            <c:numRef>
              <c:f>costs_cable!$G$67:$G$69</c:f>
              <c:numCache>
                <c:formatCode>General</c:formatCode>
                <c:ptCount val="3"/>
                <c:pt idx="0">
                  <c:v>0.11799999999999999</c:v>
                </c:pt>
                <c:pt idx="1">
                  <c:v>0.109</c:v>
                </c:pt>
                <c:pt idx="2">
                  <c:v>0.105</c:v>
                </c:pt>
              </c:numCache>
            </c:numRef>
          </c:yVal>
          <c:smooth val="0"/>
          <c:extLst>
            <c:ext xmlns:c16="http://schemas.microsoft.com/office/drawing/2014/chart" uri="{C3380CC4-5D6E-409C-BE32-E72D297353CC}">
              <c16:uniqueId val="{00000000-18C8-461E-8962-FC9CA4165B23}"/>
            </c:ext>
          </c:extLst>
        </c:ser>
        <c:ser>
          <c:idx val="2"/>
          <c:order val="1"/>
          <c:tx>
            <c:v>Cerveira et al. 2021</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9.7795949818199335E-2"/>
                  <c:y val="-0.233930081656459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costs_cable!$C$12:$C$21</c:f>
              <c:numCache>
                <c:formatCode>General</c:formatCode>
                <c:ptCount val="10"/>
                <c:pt idx="0">
                  <c:v>50</c:v>
                </c:pt>
                <c:pt idx="1">
                  <c:v>70</c:v>
                </c:pt>
                <c:pt idx="2">
                  <c:v>95</c:v>
                </c:pt>
                <c:pt idx="3">
                  <c:v>120</c:v>
                </c:pt>
                <c:pt idx="4">
                  <c:v>150</c:v>
                </c:pt>
                <c:pt idx="5">
                  <c:v>185</c:v>
                </c:pt>
                <c:pt idx="6">
                  <c:v>240</c:v>
                </c:pt>
                <c:pt idx="7">
                  <c:v>300</c:v>
                </c:pt>
                <c:pt idx="8">
                  <c:v>400</c:v>
                </c:pt>
                <c:pt idx="9">
                  <c:v>500</c:v>
                </c:pt>
              </c:numCache>
            </c:numRef>
          </c:xVal>
          <c:yVal>
            <c:numRef>
              <c:f>costs_cable!$L$12:$L$21</c:f>
              <c:numCache>
                <c:formatCode>0.00</c:formatCode>
                <c:ptCount val="10"/>
                <c:pt idx="0">
                  <c:v>0.19477874452256719</c:v>
                </c:pt>
                <c:pt idx="1">
                  <c:v>0.18535396656179778</c:v>
                </c:pt>
                <c:pt idx="2">
                  <c:v>0.1790707812546182</c:v>
                </c:pt>
                <c:pt idx="3">
                  <c:v>0.17278759594743864</c:v>
                </c:pt>
                <c:pt idx="4">
                  <c:v>0.16964600329384885</c:v>
                </c:pt>
                <c:pt idx="5">
                  <c:v>0.16650441064025903</c:v>
                </c:pt>
                <c:pt idx="6">
                  <c:v>0.15707963267948966</c:v>
                </c:pt>
                <c:pt idx="7">
                  <c:v>0.15393804002589989</c:v>
                </c:pt>
                <c:pt idx="8">
                  <c:v>0.14765485471872028</c:v>
                </c:pt>
                <c:pt idx="9">
                  <c:v>0.14451326206513052</c:v>
                </c:pt>
              </c:numCache>
            </c:numRef>
          </c:yVal>
          <c:smooth val="0"/>
          <c:extLst>
            <c:ext xmlns:c16="http://schemas.microsoft.com/office/drawing/2014/chart" uri="{C3380CC4-5D6E-409C-BE32-E72D297353CC}">
              <c16:uniqueId val="{00000001-18C8-461E-8962-FC9CA4165B23}"/>
            </c:ext>
          </c:extLst>
        </c:ser>
        <c:ser>
          <c:idx val="4"/>
          <c:order val="2"/>
          <c:tx>
            <c:v>Eberle et al. 2019</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dispRSqr val="1"/>
            <c:dispEq val="1"/>
            <c:trendlineLbl>
              <c:layout>
                <c:manualLayout>
                  <c:x val="0.1046601651857738"/>
                  <c:y val="8.72109215514727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costs_cable!$C$125:$C$129</c:f>
              <c:numCache>
                <c:formatCode>General</c:formatCode>
                <c:ptCount val="5"/>
                <c:pt idx="0" formatCode="0">
                  <c:v>53.5</c:v>
                </c:pt>
                <c:pt idx="1">
                  <c:v>107</c:v>
                </c:pt>
                <c:pt idx="2" formatCode="0">
                  <c:v>253.35000000000002</c:v>
                </c:pt>
                <c:pt idx="3" formatCode="0">
                  <c:v>506.70000000000005</c:v>
                </c:pt>
                <c:pt idx="4" formatCode="0">
                  <c:v>633.375</c:v>
                </c:pt>
              </c:numCache>
            </c:numRef>
          </c:xVal>
          <c:yVal>
            <c:numRef>
              <c:f>costs_cable!$H$125:$H$129</c:f>
              <c:numCache>
                <c:formatCode>General</c:formatCode>
                <c:ptCount val="5"/>
                <c:pt idx="0">
                  <c:v>0.12503538761287378</c:v>
                </c:pt>
                <c:pt idx="1">
                  <c:v>0.11278317626387357</c:v>
                </c:pt>
                <c:pt idx="2">
                  <c:v>9.9588487118796448E-2</c:v>
                </c:pt>
                <c:pt idx="3">
                  <c:v>9.1420346219462975E-2</c:v>
                </c:pt>
                <c:pt idx="4">
                  <c:v>8.9221231361950121E-2</c:v>
                </c:pt>
              </c:numCache>
            </c:numRef>
          </c:yVal>
          <c:smooth val="0"/>
          <c:extLst>
            <c:ext xmlns:c16="http://schemas.microsoft.com/office/drawing/2014/chart" uri="{C3380CC4-5D6E-409C-BE32-E72D297353CC}">
              <c16:uniqueId val="{00000002-18C8-461E-8962-FC9CA4165B23}"/>
            </c:ext>
          </c:extLst>
        </c:ser>
        <c:ser>
          <c:idx val="0"/>
          <c:order val="3"/>
          <c:tx>
            <c:v>Datasheet (elendcable)</c:v>
          </c:tx>
          <c:spPr>
            <a:ln w="25400" cap="rnd">
              <a:noFill/>
              <a:round/>
            </a:ln>
            <a:effectLst/>
          </c:spPr>
          <c:marker>
            <c:symbol val="circle"/>
            <c:size val="5"/>
            <c:spPr>
              <a:solidFill>
                <a:schemeClr val="accent4"/>
              </a:solidFill>
              <a:ln w="9525">
                <a:solidFill>
                  <a:schemeClr val="accent4"/>
                </a:solidFill>
              </a:ln>
              <a:effectLst/>
            </c:spPr>
          </c:marker>
          <c:xVal>
            <c:numRef>
              <c:f>costs_cable!$P$12:$P$22</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costs_cable!$U$12:$U$22</c:f>
              <c:numCache>
                <c:formatCode>0.00</c:formatCode>
                <c:ptCount val="11"/>
                <c:pt idx="0">
                  <c:v>0.14451326206513052</c:v>
                </c:pt>
                <c:pt idx="1">
                  <c:v>0.13508848410436111</c:v>
                </c:pt>
                <c:pt idx="2">
                  <c:v>0.1288052987971815</c:v>
                </c:pt>
                <c:pt idx="3">
                  <c:v>0.12252211349000194</c:v>
                </c:pt>
                <c:pt idx="4">
                  <c:v>0.11938052083641215</c:v>
                </c:pt>
                <c:pt idx="5">
                  <c:v>0.11623892818282235</c:v>
                </c:pt>
                <c:pt idx="6">
                  <c:v>0.11309733552923255</c:v>
                </c:pt>
                <c:pt idx="7">
                  <c:v>0.10681415022205297</c:v>
                </c:pt>
                <c:pt idx="8">
                  <c:v>0.10367255756846318</c:v>
                </c:pt>
                <c:pt idx="9">
                  <c:v>0.10053096491487339</c:v>
                </c:pt>
                <c:pt idx="10">
                  <c:v>9.4247779607693802E-2</c:v>
                </c:pt>
              </c:numCache>
            </c:numRef>
          </c:yVal>
          <c:smooth val="0"/>
          <c:extLst>
            <c:ext xmlns:c16="http://schemas.microsoft.com/office/drawing/2014/chart" uri="{C3380CC4-5D6E-409C-BE32-E72D297353CC}">
              <c16:uniqueId val="{00000003-493B-E742-9614-653DCF9876AF}"/>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X [Ohm/km]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Hau 2016, 20kV</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forward val="1000"/>
            <c:dispRSqr val="1"/>
            <c:dispEq val="1"/>
            <c:trendlineLbl>
              <c:layout>
                <c:manualLayout>
                  <c:x val="6.5192227118399185E-2"/>
                  <c:y val="0.105231846019247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costs_cable!$C$80:$C$84</c:f>
              <c:numCache>
                <c:formatCode>General</c:formatCode>
                <c:ptCount val="5"/>
                <c:pt idx="0">
                  <c:v>150</c:v>
                </c:pt>
                <c:pt idx="1">
                  <c:v>240</c:v>
                </c:pt>
                <c:pt idx="2">
                  <c:v>300</c:v>
                </c:pt>
                <c:pt idx="3">
                  <c:v>400</c:v>
                </c:pt>
                <c:pt idx="4">
                  <c:v>630</c:v>
                </c:pt>
              </c:numCache>
            </c:numRef>
          </c:xVal>
          <c:yVal>
            <c:numRef>
              <c:f>costs_cable!$E$80:$E$84</c:f>
              <c:numCache>
                <c:formatCode>0.00</c:formatCode>
                <c:ptCount val="5"/>
                <c:pt idx="0">
                  <c:v>9.6514446818826602</c:v>
                </c:pt>
                <c:pt idx="1">
                  <c:v>11.877218501026499</c:v>
                </c:pt>
                <c:pt idx="2">
                  <c:v>13.494871134894799</c:v>
                </c:pt>
                <c:pt idx="3">
                  <c:v>15.3228660988102</c:v>
                </c:pt>
                <c:pt idx="4">
                  <c:v>18.183298316183901</c:v>
                </c:pt>
              </c:numCache>
            </c:numRef>
          </c:yVal>
          <c:smooth val="0"/>
          <c:extLst>
            <c:ext xmlns:c16="http://schemas.microsoft.com/office/drawing/2014/chart" uri="{C3380CC4-5D6E-409C-BE32-E72D297353CC}">
              <c16:uniqueId val="{00000000-826E-4FC5-8AD6-F10A14695DC4}"/>
            </c:ext>
          </c:extLst>
        </c:ser>
        <c:ser>
          <c:idx val="3"/>
          <c:order val="1"/>
          <c:tx>
            <c:v>Hau 2016, 110 kV</c:v>
          </c:tx>
          <c:spPr>
            <a:ln w="25400" cap="rnd">
              <a:noFill/>
              <a:round/>
            </a:ln>
            <a:effectLst/>
          </c:spPr>
          <c:marker>
            <c:symbol val="circle"/>
            <c:size val="5"/>
            <c:spPr>
              <a:solidFill>
                <a:schemeClr val="accent4"/>
              </a:solidFill>
              <a:ln w="9525">
                <a:solidFill>
                  <a:schemeClr val="accent4"/>
                </a:solidFill>
              </a:ln>
              <a:effectLst/>
            </c:spPr>
          </c:marker>
          <c:xVal>
            <c:numRef>
              <c:f>costs_cable!$C$93:$C$95</c:f>
              <c:numCache>
                <c:formatCode>General</c:formatCode>
                <c:ptCount val="3"/>
                <c:pt idx="0">
                  <c:v>800</c:v>
                </c:pt>
                <c:pt idx="1">
                  <c:v>1200</c:v>
                </c:pt>
                <c:pt idx="2">
                  <c:v>1600</c:v>
                </c:pt>
              </c:numCache>
            </c:numRef>
          </c:xVal>
          <c:yVal>
            <c:numRef>
              <c:f>costs_cable!$E$93:$E$95</c:f>
              <c:numCache>
                <c:formatCode>General</c:formatCode>
                <c:ptCount val="3"/>
                <c:pt idx="0">
                  <c:v>111.559091190243</c:v>
                </c:pt>
              </c:numCache>
            </c:numRef>
          </c:yVal>
          <c:smooth val="0"/>
          <c:extLst>
            <c:ext xmlns:c16="http://schemas.microsoft.com/office/drawing/2014/chart" uri="{C3380CC4-5D6E-409C-BE32-E72D297353CC}">
              <c16:uniqueId val="{00000001-826E-4FC5-8AD6-F10A14695DC4}"/>
            </c:ext>
          </c:extLst>
        </c:ser>
        <c:ser>
          <c:idx val="1"/>
          <c:order val="2"/>
          <c:tx>
            <c:v>Zarkovic et al. 2021</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forward val="1000"/>
            <c:dispRSqr val="1"/>
            <c:dispEq val="1"/>
            <c:trendlineLbl>
              <c:layout>
                <c:manualLayout>
                  <c:x val="0.1216379879120615"/>
                  <c:y val="-0.113822178477690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costs_cable!$C$67:$C$69</c:f>
              <c:numCache>
                <c:formatCode>General</c:formatCode>
                <c:ptCount val="3"/>
                <c:pt idx="0">
                  <c:v>150</c:v>
                </c:pt>
                <c:pt idx="1">
                  <c:v>240</c:v>
                </c:pt>
                <c:pt idx="2">
                  <c:v>300</c:v>
                </c:pt>
              </c:numCache>
            </c:numRef>
          </c:xVal>
          <c:yVal>
            <c:numRef>
              <c:f>costs_cable!$E$67:$E$69</c:f>
              <c:numCache>
                <c:formatCode>General</c:formatCode>
                <c:ptCount val="3"/>
                <c:pt idx="0">
                  <c:v>11.055</c:v>
                </c:pt>
                <c:pt idx="1">
                  <c:v>14.355</c:v>
                </c:pt>
                <c:pt idx="2">
                  <c:v>16.170000000000002</c:v>
                </c:pt>
              </c:numCache>
            </c:numRef>
          </c:yVal>
          <c:smooth val="0"/>
          <c:extLst>
            <c:ext xmlns:c16="http://schemas.microsoft.com/office/drawing/2014/chart" uri="{C3380CC4-5D6E-409C-BE32-E72D297353CC}">
              <c16:uniqueId val="{00000002-826E-4FC5-8AD6-F10A14695DC4}"/>
            </c:ext>
          </c:extLst>
        </c:ser>
        <c:ser>
          <c:idx val="2"/>
          <c:order val="3"/>
          <c:tx>
            <c:v>Cerveira et al. 2021</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forward val="1000"/>
            <c:dispRSqr val="1"/>
            <c:dispEq val="1"/>
            <c:trendlineLbl>
              <c:layout>
                <c:manualLayout>
                  <c:x val="0.17735519757278045"/>
                  <c:y val="-6.485090405365995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costs_cable!$C$12:$C$21</c:f>
              <c:numCache>
                <c:formatCode>General</c:formatCode>
                <c:ptCount val="10"/>
                <c:pt idx="0">
                  <c:v>50</c:v>
                </c:pt>
                <c:pt idx="1">
                  <c:v>70</c:v>
                </c:pt>
                <c:pt idx="2">
                  <c:v>95</c:v>
                </c:pt>
                <c:pt idx="3">
                  <c:v>120</c:v>
                </c:pt>
                <c:pt idx="4">
                  <c:v>150</c:v>
                </c:pt>
                <c:pt idx="5">
                  <c:v>185</c:v>
                </c:pt>
                <c:pt idx="6">
                  <c:v>240</c:v>
                </c:pt>
                <c:pt idx="7">
                  <c:v>300</c:v>
                </c:pt>
                <c:pt idx="8">
                  <c:v>400</c:v>
                </c:pt>
                <c:pt idx="9">
                  <c:v>500</c:v>
                </c:pt>
              </c:numCache>
            </c:numRef>
          </c:xVal>
          <c:yVal>
            <c:numRef>
              <c:f>costs_cable!$F$12:$F$21</c:f>
              <c:numCache>
                <c:formatCode>General</c:formatCode>
                <c:ptCount val="10"/>
                <c:pt idx="0">
                  <c:v>5.07</c:v>
                </c:pt>
                <c:pt idx="1">
                  <c:v>6.21</c:v>
                </c:pt>
                <c:pt idx="2">
                  <c:v>7.41</c:v>
                </c:pt>
                <c:pt idx="3">
                  <c:v>8.43</c:v>
                </c:pt>
                <c:pt idx="4">
                  <c:v>9.39</c:v>
                </c:pt>
                <c:pt idx="5">
                  <c:v>10.62</c:v>
                </c:pt>
                <c:pt idx="6">
                  <c:v>12.24</c:v>
                </c:pt>
                <c:pt idx="7">
                  <c:v>13.74</c:v>
                </c:pt>
                <c:pt idx="8">
                  <c:v>15.57</c:v>
                </c:pt>
                <c:pt idx="9">
                  <c:v>17.55</c:v>
                </c:pt>
              </c:numCache>
            </c:numRef>
          </c:yVal>
          <c:smooth val="0"/>
          <c:extLst>
            <c:ext xmlns:c16="http://schemas.microsoft.com/office/drawing/2014/chart" uri="{C3380CC4-5D6E-409C-BE32-E72D297353CC}">
              <c16:uniqueId val="{00000003-826E-4FC5-8AD6-F10A14695DC4}"/>
            </c:ext>
          </c:extLst>
        </c:ser>
        <c:ser>
          <c:idx val="4"/>
          <c:order val="4"/>
          <c:tx>
            <c:v>Eberle et al. 2019</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power"/>
            <c:forward val="1000"/>
            <c:dispRSqr val="1"/>
            <c:dispEq val="1"/>
            <c:trendlineLbl>
              <c:layout>
                <c:manualLayout>
                  <c:x val="-0.14360914060054419"/>
                  <c:y val="-4.1604695246427528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costs_cable!$C$125:$C$129</c:f>
              <c:numCache>
                <c:formatCode>General</c:formatCode>
                <c:ptCount val="5"/>
                <c:pt idx="0" formatCode="0">
                  <c:v>53.5</c:v>
                </c:pt>
                <c:pt idx="1">
                  <c:v>107</c:v>
                </c:pt>
                <c:pt idx="2" formatCode="0">
                  <c:v>253.35000000000002</c:v>
                </c:pt>
                <c:pt idx="3" formatCode="0">
                  <c:v>506.70000000000005</c:v>
                </c:pt>
                <c:pt idx="4" formatCode="0">
                  <c:v>633.375</c:v>
                </c:pt>
              </c:numCache>
            </c:numRef>
          </c:xVal>
          <c:yVal>
            <c:numRef>
              <c:f>costs_cable!$E$125:$E$129</c:f>
              <c:numCache>
                <c:formatCode>General</c:formatCode>
                <c:ptCount val="5"/>
                <c:pt idx="0">
                  <c:v>10.8</c:v>
                </c:pt>
                <c:pt idx="1">
                  <c:v>15.84</c:v>
                </c:pt>
                <c:pt idx="2">
                  <c:v>23.04</c:v>
                </c:pt>
                <c:pt idx="3">
                  <c:v>29.88</c:v>
                </c:pt>
                <c:pt idx="4">
                  <c:v>33.659999999999997</c:v>
                </c:pt>
              </c:numCache>
            </c:numRef>
          </c:yVal>
          <c:smooth val="0"/>
          <c:extLst>
            <c:ext xmlns:c16="http://schemas.microsoft.com/office/drawing/2014/chart" uri="{C3380CC4-5D6E-409C-BE32-E72D297353CC}">
              <c16:uniqueId val="{00000004-826E-4FC5-8AD6-F10A14695DC4}"/>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P [MVA]</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Hau 2016, 20kV</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1000"/>
            <c:dispRSqr val="1"/>
            <c:dispEq val="1"/>
            <c:trendlineLbl>
              <c:layout>
                <c:manualLayout>
                  <c:x val="-2.4199671250383612E-2"/>
                  <c:y val="1.41371391076115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trendlineLbl>
          </c:trendline>
          <c:xVal>
            <c:numRef>
              <c:f>costs_cable!$C$80:$C$85</c:f>
              <c:numCache>
                <c:formatCode>General</c:formatCode>
                <c:ptCount val="6"/>
                <c:pt idx="0">
                  <c:v>150</c:v>
                </c:pt>
                <c:pt idx="1">
                  <c:v>240</c:v>
                </c:pt>
                <c:pt idx="2">
                  <c:v>300</c:v>
                </c:pt>
                <c:pt idx="3">
                  <c:v>400</c:v>
                </c:pt>
                <c:pt idx="4">
                  <c:v>630</c:v>
                </c:pt>
                <c:pt idx="5">
                  <c:v>800</c:v>
                </c:pt>
              </c:numCache>
            </c:numRef>
          </c:xVal>
          <c:yVal>
            <c:numRef>
              <c:f>costs_cable!$G$80:$G$85</c:f>
              <c:numCache>
                <c:formatCode>0.0</c:formatCode>
                <c:ptCount val="6"/>
                <c:pt idx="0">
                  <c:v>24.855085840871329</c:v>
                </c:pt>
                <c:pt idx="1">
                  <c:v>29.826103009045596</c:v>
                </c:pt>
                <c:pt idx="2">
                  <c:v>41.425143068118885</c:v>
                </c:pt>
                <c:pt idx="3">
                  <c:v>49.710171681742658</c:v>
                </c:pt>
                <c:pt idx="4">
                  <c:v>66.28022890899021</c:v>
                </c:pt>
                <c:pt idx="5">
                  <c:v>82.85028613623777</c:v>
                </c:pt>
              </c:numCache>
            </c:numRef>
          </c:yVal>
          <c:smooth val="0"/>
          <c:extLst>
            <c:ext xmlns:c16="http://schemas.microsoft.com/office/drawing/2014/chart" uri="{C3380CC4-5D6E-409C-BE32-E72D297353CC}">
              <c16:uniqueId val="{00000000-A43A-4656-B7CF-2BE96F78FF58}"/>
            </c:ext>
          </c:extLst>
        </c:ser>
        <c:ser>
          <c:idx val="3"/>
          <c:order val="1"/>
          <c:tx>
            <c:v>Hau 2016, 110 kV</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0.10772998810279522"/>
                  <c:y val="-9.2592592592592587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trendlineLbl>
          </c:trendline>
          <c:xVal>
            <c:numRef>
              <c:f>costs_cable!$C$93:$C$95</c:f>
              <c:numCache>
                <c:formatCode>General</c:formatCode>
                <c:ptCount val="3"/>
                <c:pt idx="0">
                  <c:v>800</c:v>
                </c:pt>
                <c:pt idx="1">
                  <c:v>1200</c:v>
                </c:pt>
                <c:pt idx="2">
                  <c:v>1600</c:v>
                </c:pt>
              </c:numCache>
            </c:numRef>
          </c:xVal>
          <c:yVal>
            <c:numRef>
              <c:f>costs_cable!$G$93:$G$95</c:f>
              <c:numCache>
                <c:formatCode>0.0</c:formatCode>
                <c:ptCount val="3"/>
                <c:pt idx="0">
                  <c:v>165.70057227247554</c:v>
                </c:pt>
                <c:pt idx="1">
                  <c:v>215.41074395421819</c:v>
                </c:pt>
                <c:pt idx="2">
                  <c:v>248.55085840871328</c:v>
                </c:pt>
              </c:numCache>
            </c:numRef>
          </c:yVal>
          <c:smooth val="0"/>
          <c:extLst>
            <c:ext xmlns:c16="http://schemas.microsoft.com/office/drawing/2014/chart" uri="{C3380CC4-5D6E-409C-BE32-E72D297353CC}">
              <c16:uniqueId val="{00000001-A43A-4656-B7CF-2BE96F78FF58}"/>
            </c:ext>
          </c:extLst>
        </c:ser>
        <c:ser>
          <c:idx val="1"/>
          <c:order val="2"/>
          <c:tx>
            <c:v>Zarkovic et al. 2021</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1000"/>
            <c:dispRSqr val="1"/>
            <c:dispEq val="1"/>
            <c:trendlineLbl>
              <c:layout>
                <c:manualLayout>
                  <c:x val="0.11877573247836391"/>
                  <c:y val="3.68405215390235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trendlineLbl>
          </c:trendline>
          <c:xVal>
            <c:numRef>
              <c:f>costs_cable!$C$67:$C$69</c:f>
              <c:numCache>
                <c:formatCode>General</c:formatCode>
                <c:ptCount val="3"/>
                <c:pt idx="0">
                  <c:v>150</c:v>
                </c:pt>
                <c:pt idx="1">
                  <c:v>240</c:v>
                </c:pt>
                <c:pt idx="2">
                  <c:v>300</c:v>
                </c:pt>
              </c:numCache>
            </c:numRef>
          </c:xVal>
          <c:yVal>
            <c:numRef>
              <c:f>costs_cable!$J$67:$J$69</c:f>
              <c:numCache>
                <c:formatCode>0.0</c:formatCode>
                <c:ptCount val="3"/>
                <c:pt idx="0">
                  <c:v>24.988349887133189</c:v>
                </c:pt>
                <c:pt idx="1">
                  <c:v>26.614363431151244</c:v>
                </c:pt>
                <c:pt idx="2">
                  <c:v>28.49702708803612</c:v>
                </c:pt>
              </c:numCache>
            </c:numRef>
          </c:yVal>
          <c:smooth val="0"/>
          <c:extLst>
            <c:ext xmlns:c16="http://schemas.microsoft.com/office/drawing/2014/chart" uri="{C3380CC4-5D6E-409C-BE32-E72D297353CC}">
              <c16:uniqueId val="{00000002-A43A-4656-B7CF-2BE96F78FF58}"/>
            </c:ext>
          </c:extLst>
        </c:ser>
        <c:ser>
          <c:idx val="2"/>
          <c:order val="3"/>
          <c:tx>
            <c:v>Cerveira et al. 2021</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forward val="1000"/>
            <c:dispRSqr val="1"/>
            <c:dispEq val="1"/>
            <c:trendlineLbl>
              <c:layout>
                <c:manualLayout>
                  <c:x val="-0.28226766487659055"/>
                  <c:y val="-4.364659043918248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trendlineLbl>
          </c:trendline>
          <c:xVal>
            <c:numRef>
              <c:f>costs_cable!$C$12:$C$21</c:f>
              <c:numCache>
                <c:formatCode>General</c:formatCode>
                <c:ptCount val="10"/>
                <c:pt idx="0">
                  <c:v>50</c:v>
                </c:pt>
                <c:pt idx="1">
                  <c:v>70</c:v>
                </c:pt>
                <c:pt idx="2">
                  <c:v>95</c:v>
                </c:pt>
                <c:pt idx="3">
                  <c:v>120</c:v>
                </c:pt>
                <c:pt idx="4">
                  <c:v>150</c:v>
                </c:pt>
                <c:pt idx="5">
                  <c:v>185</c:v>
                </c:pt>
                <c:pt idx="6">
                  <c:v>240</c:v>
                </c:pt>
                <c:pt idx="7">
                  <c:v>300</c:v>
                </c:pt>
                <c:pt idx="8">
                  <c:v>400</c:v>
                </c:pt>
                <c:pt idx="9">
                  <c:v>500</c:v>
                </c:pt>
              </c:numCache>
            </c:numRef>
          </c:xVal>
          <c:yVal>
            <c:numRef>
              <c:f>costs_cable!$H$12:$H$21</c:f>
              <c:numCache>
                <c:formatCode>0.0</c:formatCode>
                <c:ptCount val="10"/>
                <c:pt idx="0">
                  <c:v>8.6112866817155762</c:v>
                </c:pt>
                <c:pt idx="1">
                  <c:v>9.0165237020316038</c:v>
                </c:pt>
                <c:pt idx="2">
                  <c:v>10.105598194130927</c:v>
                </c:pt>
                <c:pt idx="3">
                  <c:v>11.017381489841988</c:v>
                </c:pt>
                <c:pt idx="4">
                  <c:v>16.171489841986457</c:v>
                </c:pt>
                <c:pt idx="5">
                  <c:v>16.754018058690747</c:v>
                </c:pt>
                <c:pt idx="6">
                  <c:v>18.856185101580138</c:v>
                </c:pt>
                <c:pt idx="7">
                  <c:v>22.161399548532732</c:v>
                </c:pt>
                <c:pt idx="8">
                  <c:v>26.707652370203164</c:v>
                </c:pt>
                <c:pt idx="9">
                  <c:v>30.101512415349891</c:v>
                </c:pt>
              </c:numCache>
            </c:numRef>
          </c:yVal>
          <c:smooth val="0"/>
          <c:extLst>
            <c:ext xmlns:c16="http://schemas.microsoft.com/office/drawing/2014/chart" uri="{C3380CC4-5D6E-409C-BE32-E72D297353CC}">
              <c16:uniqueId val="{00000003-A43A-4656-B7CF-2BE96F78FF58}"/>
            </c:ext>
          </c:extLst>
        </c:ser>
        <c:ser>
          <c:idx val="4"/>
          <c:order val="4"/>
          <c:tx>
            <c:v>Gonzalez-Rodriguez 2017 (Cu, 220 kV)</c:v>
          </c:tx>
          <c:spPr>
            <a:ln w="25400" cap="rnd">
              <a:noFill/>
              <a:round/>
            </a:ln>
            <a:effectLst/>
          </c:spPr>
          <c:marker>
            <c:symbol val="circle"/>
            <c:size val="5"/>
            <c:spPr>
              <a:solidFill>
                <a:schemeClr val="accent5"/>
              </a:solidFill>
              <a:ln w="9525">
                <a:solidFill>
                  <a:schemeClr val="accent5"/>
                </a:solidFill>
              </a:ln>
              <a:effectLst/>
            </c:spPr>
          </c:marker>
          <c:xVal>
            <c:numRef>
              <c:f>costs_cable!$C$176:$C$179</c:f>
              <c:numCache>
                <c:formatCode>General</c:formatCode>
                <c:ptCount val="4"/>
                <c:pt idx="0">
                  <c:v>500</c:v>
                </c:pt>
                <c:pt idx="1">
                  <c:v>630</c:v>
                </c:pt>
                <c:pt idx="2">
                  <c:v>800</c:v>
                </c:pt>
                <c:pt idx="3">
                  <c:v>1000</c:v>
                </c:pt>
              </c:numCache>
            </c:numRef>
          </c:xVal>
          <c:yVal>
            <c:numRef>
              <c:f>costs_cable!$K$176:$K$179</c:f>
              <c:numCache>
                <c:formatCode>0</c:formatCode>
                <c:ptCount val="4"/>
                <c:pt idx="0">
                  <c:v>385.7509322503231</c:v>
                </c:pt>
                <c:pt idx="1">
                  <c:v>440.76352224478489</c:v>
                </c:pt>
                <c:pt idx="2">
                  <c:v>495.94181281151924</c:v>
                </c:pt>
                <c:pt idx="3">
                  <c:v>608.61820195680264</c:v>
                </c:pt>
              </c:numCache>
            </c:numRef>
          </c:yVal>
          <c:smooth val="0"/>
          <c:extLst>
            <c:ext xmlns:c16="http://schemas.microsoft.com/office/drawing/2014/chart" uri="{C3380CC4-5D6E-409C-BE32-E72D297353CC}">
              <c16:uniqueId val="{00000005-A2D1-9C45-BD6C-6DEE648B62DF}"/>
            </c:ext>
          </c:extLst>
        </c:ser>
        <c:dLbls>
          <c:showLegendKey val="0"/>
          <c:showVal val="0"/>
          <c:showCatName val="0"/>
          <c:showSerName val="0"/>
          <c:showPercent val="0"/>
          <c:showBubbleSize val="0"/>
        </c:dLbls>
        <c:axId val="844886624"/>
        <c:axId val="844878424"/>
      </c:scatterChart>
      <c:valAx>
        <c:axId val="844886624"/>
        <c:scaling>
          <c:orientation val="minMax"/>
          <c:max val="16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max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Cost cable (1 phase) [USD 2022/m]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layout>
        <c:manualLayout>
          <c:xMode val="edge"/>
          <c:yMode val="edge"/>
          <c:x val="0.63730886850152901"/>
          <c:y val="8.1067283651154995E-2"/>
          <c:w val="0.35797575684718802"/>
          <c:h val="0.77675262156211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MV (Datasheet elandcable)</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2"/>
                </a:solidFill>
                <a:prstDash val="sysDot"/>
              </a:ln>
              <a:effectLst/>
            </c:spPr>
            <c:trendlineType val="power"/>
            <c:dispRSqr val="1"/>
            <c:dispEq val="1"/>
            <c:trendlineLbl>
              <c:layout>
                <c:manualLayout>
                  <c:x val="-1.5750593589621963E-2"/>
                  <c:y val="-2.812993151426491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costs_cable!$P$12:$P$22</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costs_cable!$V$12:$V$22</c:f>
              <c:numCache>
                <c:formatCode>General</c:formatCode>
                <c:ptCount val="11"/>
                <c:pt idx="0">
                  <c:v>0.14000000000000001</c:v>
                </c:pt>
                <c:pt idx="1">
                  <c:v>0.16</c:v>
                </c:pt>
                <c:pt idx="2">
                  <c:v>0.17</c:v>
                </c:pt>
                <c:pt idx="3">
                  <c:v>0.19</c:v>
                </c:pt>
                <c:pt idx="4">
                  <c:v>0.2</c:v>
                </c:pt>
                <c:pt idx="5">
                  <c:v>0.21</c:v>
                </c:pt>
                <c:pt idx="6">
                  <c:v>0.24</c:v>
                </c:pt>
                <c:pt idx="7">
                  <c:v>0.26</c:v>
                </c:pt>
                <c:pt idx="8">
                  <c:v>0.28999999999999998</c:v>
                </c:pt>
                <c:pt idx="9">
                  <c:v>0.31</c:v>
                </c:pt>
                <c:pt idx="10">
                  <c:v>0.35</c:v>
                </c:pt>
              </c:numCache>
            </c:numRef>
          </c:yVal>
          <c:smooth val="0"/>
          <c:extLst>
            <c:ext xmlns:c16="http://schemas.microsoft.com/office/drawing/2014/chart" uri="{C3380CC4-5D6E-409C-BE32-E72D297353CC}">
              <c16:uniqueId val="{00000007-232D-B146-A7E0-37BBA1EA0B1F}"/>
            </c:ext>
          </c:extLst>
        </c:ser>
        <c:ser>
          <c:idx val="0"/>
          <c:order val="1"/>
          <c:tx>
            <c:v>HV (Nexans)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6.6803313825202937E-2"/>
                  <c:y val="0.42709013980050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costs_cable!$BB$11:$BB$19</c:f>
              <c:numCache>
                <c:formatCode>General</c:formatCode>
                <c:ptCount val="9"/>
                <c:pt idx="0">
                  <c:v>240</c:v>
                </c:pt>
                <c:pt idx="1">
                  <c:v>300</c:v>
                </c:pt>
                <c:pt idx="2">
                  <c:v>400</c:v>
                </c:pt>
                <c:pt idx="3">
                  <c:v>500</c:v>
                </c:pt>
                <c:pt idx="4">
                  <c:v>630</c:v>
                </c:pt>
                <c:pt idx="5">
                  <c:v>800</c:v>
                </c:pt>
                <c:pt idx="6">
                  <c:v>1000</c:v>
                </c:pt>
                <c:pt idx="7">
                  <c:v>1200</c:v>
                </c:pt>
                <c:pt idx="8">
                  <c:v>1600</c:v>
                </c:pt>
              </c:numCache>
            </c:numRef>
          </c:xVal>
          <c:yVal>
            <c:numRef>
              <c:f>costs_cable!$BC$11:$BC$19</c:f>
              <c:numCache>
                <c:formatCode>General</c:formatCode>
                <c:ptCount val="9"/>
                <c:pt idx="0">
                  <c:v>0.16</c:v>
                </c:pt>
                <c:pt idx="1">
                  <c:v>0.17</c:v>
                </c:pt>
                <c:pt idx="2">
                  <c:v>0.19</c:v>
                </c:pt>
                <c:pt idx="3">
                  <c:v>0.21</c:v>
                </c:pt>
                <c:pt idx="4">
                  <c:v>0.24</c:v>
                </c:pt>
                <c:pt idx="5">
                  <c:v>0.27</c:v>
                </c:pt>
                <c:pt idx="6">
                  <c:v>0.28000000000000003</c:v>
                </c:pt>
                <c:pt idx="7">
                  <c:v>0.28999999999999998</c:v>
                </c:pt>
                <c:pt idx="8">
                  <c:v>0.33</c:v>
                </c:pt>
              </c:numCache>
            </c:numRef>
          </c:yVal>
          <c:smooth val="0"/>
          <c:extLst>
            <c:ext xmlns:c16="http://schemas.microsoft.com/office/drawing/2014/chart" uri="{C3380CC4-5D6E-409C-BE32-E72D297353CC}">
              <c16:uniqueId val="{00000008-232D-B146-A7E0-37BBA1EA0B1F}"/>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C [microF/km]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Datasheet (elandcables)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4735493605347053E-2"/>
                  <c:y val="7.25521553485547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costs_cable!$P$12:$P$22</c:f>
              <c:numCache>
                <c:formatCode>General</c:formatCode>
                <c:ptCount val="11"/>
                <c:pt idx="0">
                  <c:v>50</c:v>
                </c:pt>
                <c:pt idx="1">
                  <c:v>70</c:v>
                </c:pt>
                <c:pt idx="2">
                  <c:v>95</c:v>
                </c:pt>
                <c:pt idx="3">
                  <c:v>120</c:v>
                </c:pt>
                <c:pt idx="4">
                  <c:v>150</c:v>
                </c:pt>
                <c:pt idx="5">
                  <c:v>185</c:v>
                </c:pt>
                <c:pt idx="6">
                  <c:v>240</c:v>
                </c:pt>
                <c:pt idx="7">
                  <c:v>300</c:v>
                </c:pt>
                <c:pt idx="8">
                  <c:v>400</c:v>
                </c:pt>
                <c:pt idx="9">
                  <c:v>500</c:v>
                </c:pt>
                <c:pt idx="10">
                  <c:v>630</c:v>
                </c:pt>
              </c:numCache>
            </c:numRef>
          </c:xVal>
          <c:yVal>
            <c:numRef>
              <c:f>costs_cable!$T$12:$T$22</c:f>
              <c:numCache>
                <c:formatCode>General</c:formatCode>
                <c:ptCount val="11"/>
                <c:pt idx="0">
                  <c:v>0.46</c:v>
                </c:pt>
                <c:pt idx="1">
                  <c:v>0.43</c:v>
                </c:pt>
                <c:pt idx="2">
                  <c:v>0.41</c:v>
                </c:pt>
                <c:pt idx="3">
                  <c:v>0.39</c:v>
                </c:pt>
                <c:pt idx="4">
                  <c:v>0.38</c:v>
                </c:pt>
                <c:pt idx="5">
                  <c:v>0.37</c:v>
                </c:pt>
                <c:pt idx="6">
                  <c:v>0.36</c:v>
                </c:pt>
                <c:pt idx="7">
                  <c:v>0.34</c:v>
                </c:pt>
                <c:pt idx="8">
                  <c:v>0.33</c:v>
                </c:pt>
                <c:pt idx="9">
                  <c:v>0.32</c:v>
                </c:pt>
                <c:pt idx="10">
                  <c:v>0.3</c:v>
                </c:pt>
              </c:numCache>
            </c:numRef>
          </c:yVal>
          <c:smooth val="0"/>
          <c:extLst>
            <c:ext xmlns:c16="http://schemas.microsoft.com/office/drawing/2014/chart" uri="{C3380CC4-5D6E-409C-BE32-E72D297353CC}">
              <c16:uniqueId val="{00000004-4FC6-3B43-A73E-CBB01FCD07B4}"/>
            </c:ext>
          </c:extLst>
        </c:ser>
        <c:dLbls>
          <c:showLegendKey val="0"/>
          <c:showVal val="0"/>
          <c:showCatName val="0"/>
          <c:showSerName val="0"/>
          <c:showPercent val="0"/>
          <c:showBubbleSize val="0"/>
        </c:dLbls>
        <c:axId val="844886624"/>
        <c:axId val="844878424"/>
      </c:scatterChart>
      <c:valAx>
        <c:axId val="84488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78424"/>
        <c:crosses val="autoZero"/>
        <c:crossBetween val="midCat"/>
      </c:valAx>
      <c:valAx>
        <c:axId val="8448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L [mH/km]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NG based</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costs_summary_table!$C$63:$C$100</c:f>
              <c:numCache>
                <c:formatCode>General</c:formatCode>
                <c:ptCount val="38"/>
                <c:pt idx="0">
                  <c:v>20</c:v>
                </c:pt>
                <c:pt idx="1">
                  <c:v>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pt idx="25">
                  <c:v>1250</c:v>
                </c:pt>
                <c:pt idx="26">
                  <c:v>1300</c:v>
                </c:pt>
                <c:pt idx="27">
                  <c:v>1350</c:v>
                </c:pt>
                <c:pt idx="28">
                  <c:v>1400</c:v>
                </c:pt>
                <c:pt idx="29">
                  <c:v>1450</c:v>
                </c:pt>
                <c:pt idx="30">
                  <c:v>1500</c:v>
                </c:pt>
                <c:pt idx="31">
                  <c:v>1550</c:v>
                </c:pt>
                <c:pt idx="32">
                  <c:v>1600</c:v>
                </c:pt>
                <c:pt idx="33">
                  <c:v>1650</c:v>
                </c:pt>
                <c:pt idx="34">
                  <c:v>1700</c:v>
                </c:pt>
                <c:pt idx="35">
                  <c:v>1750</c:v>
                </c:pt>
                <c:pt idx="36">
                  <c:v>1800</c:v>
                </c:pt>
                <c:pt idx="37">
                  <c:v>1850</c:v>
                </c:pt>
              </c:numCache>
            </c:numRef>
          </c:xVal>
          <c:yVal>
            <c:numRef>
              <c:f>costs_summary_table!$E$63:$E$100</c:f>
              <c:numCache>
                <c:formatCode>_(* #,##0_);_(* \(#,##0\);_(* "-"??_);_(@_)</c:formatCode>
                <c:ptCount val="38"/>
                <c:pt idx="0">
                  <c:v>777.85491437243672</c:v>
                </c:pt>
                <c:pt idx="1">
                  <c:v>692.52337183384441</c:v>
                </c:pt>
                <c:pt idx="2">
                  <c:v>643.10768426570553</c:v>
                </c:pt>
                <c:pt idx="3">
                  <c:v>619.02829806975194</c:v>
                </c:pt>
                <c:pt idx="4">
                  <c:v>603.79570193541667</c:v>
                </c:pt>
                <c:pt idx="5">
                  <c:v>592.93706114461816</c:v>
                </c:pt>
                <c:pt idx="6">
                  <c:v>584.63967171011097</c:v>
                </c:pt>
                <c:pt idx="7">
                  <c:v>578.00347739638664</c:v>
                </c:pt>
                <c:pt idx="8">
                  <c:v>572.52158574294322</c:v>
                </c:pt>
                <c:pt idx="9">
                  <c:v>567.88270533743139</c:v>
                </c:pt>
                <c:pt idx="10">
                  <c:v>563.88314082987358</c:v>
                </c:pt>
                <c:pt idx="11">
                  <c:v>560.38296103187747</c:v>
                </c:pt>
                <c:pt idx="12">
                  <c:v>557.28226481480056</c:v>
                </c:pt>
                <c:pt idx="13">
                  <c:v>554.50746411627586</c:v>
                </c:pt>
                <c:pt idx="14">
                  <c:v>552.00293012494592</c:v>
                </c:pt>
                <c:pt idx="15">
                  <c:v>549.72568188931905</c:v>
                </c:pt>
                <c:pt idx="16">
                  <c:v>547.64188531464004</c:v>
                </c:pt>
                <c:pt idx="17">
                  <c:v>545.7244736149147</c:v>
                </c:pt>
                <c:pt idx="18">
                  <c:v>543.95148670827962</c:v>
                </c:pt>
                <c:pt idx="19">
                  <c:v>542.30488538443853</c:v>
                </c:pt>
                <c:pt idx="20">
                  <c:v>540.7696872233862</c:v>
                </c:pt>
                <c:pt idx="21">
                  <c:v>539.33332559517225</c:v>
                </c:pt>
                <c:pt idx="22">
                  <c:v>537.98516649437829</c:v>
                </c:pt>
                <c:pt idx="23">
                  <c:v>536.71613908715199</c:v>
                </c:pt>
                <c:pt idx="24">
                  <c:v>535.5184495286527</c:v>
                </c:pt>
                <c:pt idx="25">
                  <c:v>534.38535666383916</c:v>
                </c:pt>
                <c:pt idx="26">
                  <c:v>533.31099433782765</c:v>
                </c:pt>
                <c:pt idx="27">
                  <c:v>532.2902292439054</c:v>
                </c:pt>
                <c:pt idx="28">
                  <c:v>531.31854617292049</c:v>
                </c:pt>
                <c:pt idx="29">
                  <c:v>530.39195460968392</c:v>
                </c:pt>
                <c:pt idx="30">
                  <c:v>529.50691211891274</c:v>
                </c:pt>
                <c:pt idx="31">
                  <c:v>528.66026105325557</c:v>
                </c:pt>
                <c:pt idx="32">
                  <c:v>527.84917591903206</c:v>
                </c:pt>
                <c:pt idx="33">
                  <c:v>527.07111933349654</c:v>
                </c:pt>
                <c:pt idx="34">
                  <c:v>526.32380495752204</c:v>
                </c:pt>
                <c:pt idx="35">
                  <c:v>525.60516612947879</c:v>
                </c:pt>
                <c:pt idx="36">
                  <c:v>524.91332918807404</c:v>
                </c:pt>
                <c:pt idx="37">
                  <c:v>524.24659067435834</c:v>
                </c:pt>
              </c:numCache>
            </c:numRef>
          </c:yVal>
          <c:smooth val="1"/>
          <c:extLst>
            <c:ext xmlns:c16="http://schemas.microsoft.com/office/drawing/2014/chart" uri="{C3380CC4-5D6E-409C-BE32-E72D297353CC}">
              <c16:uniqueId val="{00000000-3E73-3E4A-BB8D-271377253569}"/>
            </c:ext>
          </c:extLst>
        </c:ser>
        <c:ser>
          <c:idx val="1"/>
          <c:order val="1"/>
          <c:tx>
            <c:strRef>
              <c:f>costs_summary_table!$B$6</c:f>
              <c:strCache>
                <c:ptCount val="1"/>
                <c:pt idx="0">
                  <c:v>C_p1s1m1_y2020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costs_summary_table!$G$6:$J$6</c:f>
              <c:numCache>
                <c:formatCode>General</c:formatCode>
                <c:ptCount val="4"/>
                <c:pt idx="0">
                  <c:v>20.6</c:v>
                </c:pt>
                <c:pt idx="1">
                  <c:v>208.7</c:v>
                </c:pt>
                <c:pt idx="2">
                  <c:v>585</c:v>
                </c:pt>
                <c:pt idx="3">
                  <c:v>1714</c:v>
                </c:pt>
              </c:numCache>
            </c:numRef>
          </c:xVal>
          <c:yVal>
            <c:numRef>
              <c:f>costs_summary_table!$C$6:$F$6</c:f>
              <c:numCache>
                <c:formatCode>General</c:formatCode>
                <c:ptCount val="4"/>
                <c:pt idx="0">
                  <c:v>1617</c:v>
                </c:pt>
                <c:pt idx="1">
                  <c:v>1378</c:v>
                </c:pt>
                <c:pt idx="2">
                  <c:v>1335</c:v>
                </c:pt>
                <c:pt idx="3">
                  <c:v>1311</c:v>
                </c:pt>
              </c:numCache>
            </c:numRef>
          </c:yVal>
          <c:smooth val="1"/>
          <c:extLst>
            <c:ext xmlns:c16="http://schemas.microsoft.com/office/drawing/2014/chart" uri="{C3380CC4-5D6E-409C-BE32-E72D297353CC}">
              <c16:uniqueId val="{00000001-3E73-3E4A-BB8D-271377253569}"/>
            </c:ext>
          </c:extLst>
        </c:ser>
        <c:ser>
          <c:idx val="2"/>
          <c:order val="2"/>
          <c:tx>
            <c:strRef>
              <c:f>costs_summary_table!$B$9</c:f>
              <c:strCache>
                <c:ptCount val="1"/>
                <c:pt idx="0">
                  <c:v>C_p1s1m1_y2050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costs_summary_table!$G$9:$J$9</c:f>
              <c:numCache>
                <c:formatCode>General</c:formatCode>
                <c:ptCount val="4"/>
                <c:pt idx="0">
                  <c:v>21.9</c:v>
                </c:pt>
                <c:pt idx="1">
                  <c:v>222.8</c:v>
                </c:pt>
                <c:pt idx="2">
                  <c:v>624.5</c:v>
                </c:pt>
                <c:pt idx="3">
                  <c:v>1829.7</c:v>
                </c:pt>
              </c:numCache>
            </c:numRef>
          </c:xVal>
          <c:yVal>
            <c:numRef>
              <c:f>costs_summary_table!$C$9:$F$9</c:f>
              <c:numCache>
                <c:formatCode>General</c:formatCode>
                <c:ptCount val="4"/>
                <c:pt idx="0">
                  <c:v>814</c:v>
                </c:pt>
                <c:pt idx="1">
                  <c:v>686</c:v>
                </c:pt>
                <c:pt idx="2">
                  <c:v>666</c:v>
                </c:pt>
                <c:pt idx="3">
                  <c:v>659</c:v>
                </c:pt>
              </c:numCache>
            </c:numRef>
          </c:yVal>
          <c:smooth val="1"/>
          <c:extLst>
            <c:ext xmlns:c16="http://schemas.microsoft.com/office/drawing/2014/chart" uri="{C3380CC4-5D6E-409C-BE32-E72D297353CC}">
              <c16:uniqueId val="{00000002-3E73-3E4A-BB8D-271377253569}"/>
            </c:ext>
          </c:extLst>
        </c:ser>
        <c:ser>
          <c:idx val="3"/>
          <c:order val="3"/>
          <c:tx>
            <c:strRef>
              <c:f>costs_summary_table!$B$7</c:f>
              <c:strCache>
                <c:ptCount val="1"/>
                <c:pt idx="0">
                  <c:v>C_p1s1m1_y2020_maxCAPscale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costs_summary_table!$G$7:$J$7</c:f>
              <c:numCache>
                <c:formatCode>General</c:formatCode>
                <c:ptCount val="4"/>
                <c:pt idx="0">
                  <c:v>20.6</c:v>
                </c:pt>
                <c:pt idx="1">
                  <c:v>208.7</c:v>
                </c:pt>
                <c:pt idx="2">
                  <c:v>585</c:v>
                </c:pt>
                <c:pt idx="3">
                  <c:v>1714</c:v>
                </c:pt>
              </c:numCache>
            </c:numRef>
          </c:xVal>
          <c:yVal>
            <c:numRef>
              <c:f>costs_summary_table!$C$7:$F$7</c:f>
              <c:numCache>
                <c:formatCode>General</c:formatCode>
                <c:ptCount val="4"/>
                <c:pt idx="0">
                  <c:v>1617</c:v>
                </c:pt>
                <c:pt idx="1">
                  <c:v>1449</c:v>
                </c:pt>
                <c:pt idx="2">
                  <c:v>1442</c:v>
                </c:pt>
                <c:pt idx="3">
                  <c:v>1439</c:v>
                </c:pt>
              </c:numCache>
            </c:numRef>
          </c:yVal>
          <c:smooth val="1"/>
          <c:extLst>
            <c:ext xmlns:c16="http://schemas.microsoft.com/office/drawing/2014/chart" uri="{C3380CC4-5D6E-409C-BE32-E72D297353CC}">
              <c16:uniqueId val="{00000003-3E73-3E4A-BB8D-271377253569}"/>
            </c:ext>
          </c:extLst>
        </c:ser>
        <c:ser>
          <c:idx val="4"/>
          <c:order val="4"/>
          <c:tx>
            <c:strRef>
              <c:f>costs_summary_table!$B$10</c:f>
              <c:strCache>
                <c:ptCount val="1"/>
                <c:pt idx="0">
                  <c:v>C_p1s1m1_y2050_maxCAPscale</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costs_summary_table!$G$10:$J$10</c:f>
              <c:numCache>
                <c:formatCode>General</c:formatCode>
                <c:ptCount val="4"/>
                <c:pt idx="0">
                  <c:v>21.9</c:v>
                </c:pt>
                <c:pt idx="1">
                  <c:v>222.8</c:v>
                </c:pt>
                <c:pt idx="2">
                  <c:v>624.5</c:v>
                </c:pt>
                <c:pt idx="3">
                  <c:v>1829.7</c:v>
                </c:pt>
              </c:numCache>
            </c:numRef>
          </c:xVal>
          <c:yVal>
            <c:numRef>
              <c:f>costs_summary_table!$C$10:$F$10</c:f>
              <c:numCache>
                <c:formatCode>General</c:formatCode>
                <c:ptCount val="4"/>
                <c:pt idx="0">
                  <c:v>814</c:v>
                </c:pt>
                <c:pt idx="1">
                  <c:v>709</c:v>
                </c:pt>
                <c:pt idx="2">
                  <c:v>697</c:v>
                </c:pt>
                <c:pt idx="3">
                  <c:v>695</c:v>
                </c:pt>
              </c:numCache>
            </c:numRef>
          </c:yVal>
          <c:smooth val="1"/>
          <c:extLst>
            <c:ext xmlns:c16="http://schemas.microsoft.com/office/drawing/2014/chart" uri="{C3380CC4-5D6E-409C-BE32-E72D297353CC}">
              <c16:uniqueId val="{00000004-3E73-3E4A-BB8D-271377253569}"/>
            </c:ext>
          </c:extLst>
        </c:ser>
        <c:ser>
          <c:idx val="5"/>
          <c:order val="5"/>
          <c:tx>
            <c:strRef>
              <c:f>costs_summary_table!$B$22</c:f>
              <c:strCache>
                <c:ptCount val="1"/>
                <c:pt idx="0">
                  <c:v>C_p1l1m1_y2020_minCAP_DACL_25</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costs_summary_table!$G$8:$J$8</c:f>
              <c:numCache>
                <c:formatCode>General</c:formatCode>
                <c:ptCount val="4"/>
                <c:pt idx="0">
                  <c:v>21.9</c:v>
                </c:pt>
                <c:pt idx="1">
                  <c:v>222.4</c:v>
                </c:pt>
                <c:pt idx="2">
                  <c:v>623.4</c:v>
                </c:pt>
                <c:pt idx="3">
                  <c:v>1826.4</c:v>
                </c:pt>
              </c:numCache>
            </c:numRef>
          </c:xVal>
          <c:yVal>
            <c:numRef>
              <c:f>costs_summary_table!$C$8:$F$8</c:f>
              <c:numCache>
                <c:formatCode>General</c:formatCode>
                <c:ptCount val="4"/>
                <c:pt idx="0">
                  <c:v>1678</c:v>
                </c:pt>
                <c:pt idx="1">
                  <c:v>1359</c:v>
                </c:pt>
                <c:pt idx="2">
                  <c:v>1289</c:v>
                </c:pt>
                <c:pt idx="3">
                  <c:v>1241</c:v>
                </c:pt>
              </c:numCache>
            </c:numRef>
          </c:yVal>
          <c:smooth val="1"/>
          <c:extLst>
            <c:ext xmlns:c16="http://schemas.microsoft.com/office/drawing/2014/chart" uri="{C3380CC4-5D6E-409C-BE32-E72D297353CC}">
              <c16:uniqueId val="{00000005-3E73-3E4A-BB8D-271377253569}"/>
            </c:ext>
          </c:extLst>
        </c:ser>
        <c:ser>
          <c:idx val="6"/>
          <c:order val="6"/>
          <c:tx>
            <c:strRef>
              <c:f>costs_summary_table!$B$11</c:f>
              <c:strCache>
                <c:ptCount val="1"/>
                <c:pt idx="0">
                  <c:v>C_p1l1m1_y2050_minCAP_DACL_25</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costs_summary_table!$G$11:$J$11</c:f>
              <c:numCache>
                <c:formatCode>General</c:formatCode>
                <c:ptCount val="4"/>
                <c:pt idx="0">
                  <c:v>21.9</c:v>
                </c:pt>
                <c:pt idx="1">
                  <c:v>222.4</c:v>
                </c:pt>
                <c:pt idx="2">
                  <c:v>623.4</c:v>
                </c:pt>
                <c:pt idx="3">
                  <c:v>1826.4</c:v>
                </c:pt>
              </c:numCache>
            </c:numRef>
          </c:xVal>
          <c:yVal>
            <c:numRef>
              <c:f>costs_summary_table!$C$11:$F$11</c:f>
              <c:numCache>
                <c:formatCode>General</c:formatCode>
                <c:ptCount val="4"/>
                <c:pt idx="0">
                  <c:v>818</c:v>
                </c:pt>
                <c:pt idx="1">
                  <c:v>678</c:v>
                </c:pt>
                <c:pt idx="2">
                  <c:v>653</c:v>
                </c:pt>
                <c:pt idx="3">
                  <c:v>643</c:v>
                </c:pt>
              </c:numCache>
            </c:numRef>
          </c:yVal>
          <c:smooth val="1"/>
          <c:extLst>
            <c:ext xmlns:c16="http://schemas.microsoft.com/office/drawing/2014/chart" uri="{C3380CC4-5D6E-409C-BE32-E72D297353CC}">
              <c16:uniqueId val="{00000006-3E73-3E4A-BB8D-271377253569}"/>
            </c:ext>
          </c:extLst>
        </c:ser>
        <c:dLbls>
          <c:showLegendKey val="0"/>
          <c:showVal val="0"/>
          <c:showCatName val="0"/>
          <c:showSerName val="0"/>
          <c:showPercent val="0"/>
          <c:showBubbleSize val="0"/>
        </c:dLbls>
        <c:axId val="124215631"/>
        <c:axId val="124508047"/>
      </c:scatterChart>
      <c:valAx>
        <c:axId val="12421563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Plant capacity (kt/a)</a:t>
                </a:r>
              </a:p>
            </c:rich>
          </c:tx>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4508047"/>
        <c:crosses val="autoZero"/>
        <c:crossBetween val="midCat"/>
      </c:valAx>
      <c:valAx>
        <c:axId val="124508047"/>
        <c:scaling>
          <c:orientation val="minMax"/>
          <c:max val="17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LCOMeOH ($/t)</a:t>
                </a:r>
              </a:p>
            </c:rich>
          </c:tx>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4215631"/>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Lundberg 2003, power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costs_substation!$B$30:$B$45</c:f>
              <c:numCache>
                <c:formatCode>General</c:formatCode>
                <c:ptCount val="16"/>
                <c:pt idx="0">
                  <c:v>6.3</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numCache>
            </c:numRef>
          </c:xVal>
          <c:yVal>
            <c:numRef>
              <c:f>costs_substation!$C$30:$C$45</c:f>
              <c:numCache>
                <c:formatCode>_-* #,##0_-;\-* #,##0_-;_-* "-"??_-;_-@_-</c:formatCode>
                <c:ptCount val="16"/>
                <c:pt idx="0">
                  <c:v>231372.33529150812</c:v>
                </c:pt>
                <c:pt idx="1">
                  <c:v>340332.38436575793</c:v>
                </c:pt>
                <c:pt idx="2">
                  <c:v>552454.40950573783</c:v>
                </c:pt>
                <c:pt idx="3">
                  <c:v>710680.79927025677</c:v>
                </c:pt>
                <c:pt idx="4">
                  <c:v>841679.84372415696</c:v>
                </c:pt>
                <c:pt idx="5">
                  <c:v>955557.05096776178</c:v>
                </c:pt>
                <c:pt idx="6">
                  <c:v>1057419.3278925559</c:v>
                </c:pt>
                <c:pt idx="7">
                  <c:v>1150266.3596237169</c:v>
                </c:pt>
                <c:pt idx="8">
                  <c:v>1236034.7050056758</c:v>
                </c:pt>
                <c:pt idx="9">
                  <c:v>1316059.068579375</c:v>
                </c:pt>
                <c:pt idx="10">
                  <c:v>1391304.6949601755</c:v>
                </c:pt>
                <c:pt idx="11">
                  <c:v>1462495.9252633175</c:v>
                </c:pt>
                <c:pt idx="12">
                  <c:v>1530192.4943511533</c:v>
                </c:pt>
                <c:pt idx="13">
                  <c:v>1594837.3739247788</c:v>
                </c:pt>
                <c:pt idx="14">
                  <c:v>1656788.1321714879</c:v>
                </c:pt>
                <c:pt idx="15">
                  <c:v>1716338.2529408515</c:v>
                </c:pt>
              </c:numCache>
            </c:numRef>
          </c:yVal>
          <c:smooth val="0"/>
          <c:extLst>
            <c:ext xmlns:c16="http://schemas.microsoft.com/office/drawing/2014/chart" uri="{C3380CC4-5D6E-409C-BE32-E72D297353CC}">
              <c16:uniqueId val="{00000000-5F12-4001-AFAE-226B17986F1A}"/>
            </c:ext>
          </c:extLst>
        </c:ser>
        <c:ser>
          <c:idx val="1"/>
          <c:order val="1"/>
          <c:tx>
            <c:v>Lundberg 2003, linear</c:v>
          </c:tx>
          <c:spPr>
            <a:ln w="25400" cap="rnd">
              <a:solidFill>
                <a:schemeClr val="accent2"/>
              </a:solidFill>
              <a:round/>
            </a:ln>
            <a:effectLst/>
          </c:spPr>
          <c:marker>
            <c:symbol val="circle"/>
            <c:size val="5"/>
            <c:spPr>
              <a:solidFill>
                <a:schemeClr val="accent2"/>
              </a:solidFill>
              <a:ln w="9525">
                <a:solidFill>
                  <a:schemeClr val="accent2"/>
                </a:solidFill>
              </a:ln>
              <a:effectLst/>
            </c:spPr>
          </c:marker>
          <c:xVal>
            <c:numRef>
              <c:f>costs_substation!$B$30:$B$45</c:f>
              <c:numCache>
                <c:formatCode>General</c:formatCode>
                <c:ptCount val="16"/>
                <c:pt idx="0">
                  <c:v>6.3</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numCache>
            </c:numRef>
          </c:xVal>
          <c:yVal>
            <c:numRef>
              <c:f>costs_substation!$G$30:$G$45</c:f>
              <c:numCache>
                <c:formatCode>_-* #,##0_-;\-* #,##0_-;_-* "-"??_-;_-@_-</c:formatCode>
                <c:ptCount val="16"/>
                <c:pt idx="0">
                  <c:v>408520.38228059694</c:v>
                </c:pt>
                <c:pt idx="1">
                  <c:v>444565.2441791044</c:v>
                </c:pt>
                <c:pt idx="2">
                  <c:v>541983.78985074617</c:v>
                </c:pt>
                <c:pt idx="3">
                  <c:v>639402.33552238799</c:v>
                </c:pt>
                <c:pt idx="4">
                  <c:v>736820.8811940297</c:v>
                </c:pt>
                <c:pt idx="5">
                  <c:v>834239.42686567153</c:v>
                </c:pt>
                <c:pt idx="6">
                  <c:v>931657.97253731336</c:v>
                </c:pt>
                <c:pt idx="7">
                  <c:v>1029076.5182089551</c:v>
                </c:pt>
                <c:pt idx="8">
                  <c:v>1126495.0638805968</c:v>
                </c:pt>
                <c:pt idx="9">
                  <c:v>1223913.6095522386</c:v>
                </c:pt>
                <c:pt idx="10">
                  <c:v>1321332.1552238804</c:v>
                </c:pt>
                <c:pt idx="11">
                  <c:v>1418750.7008955223</c:v>
                </c:pt>
                <c:pt idx="12">
                  <c:v>1516169.2465671641</c:v>
                </c:pt>
                <c:pt idx="13">
                  <c:v>1613587.7922388057</c:v>
                </c:pt>
                <c:pt idx="14">
                  <c:v>1711006.3379104475</c:v>
                </c:pt>
                <c:pt idx="15">
                  <c:v>1808424.8835820893</c:v>
                </c:pt>
              </c:numCache>
            </c:numRef>
          </c:yVal>
          <c:smooth val="0"/>
          <c:extLst>
            <c:ext xmlns:c16="http://schemas.microsoft.com/office/drawing/2014/chart" uri="{C3380CC4-5D6E-409C-BE32-E72D297353CC}">
              <c16:uniqueId val="{00000001-5F12-4001-AFAE-226B17986F1A}"/>
            </c:ext>
          </c:extLst>
        </c:ser>
        <c:ser>
          <c:idx val="2"/>
          <c:order val="2"/>
          <c:tx>
            <c:strRef>
              <c:f>costs_substation!$D$28</c:f>
              <c:strCache>
                <c:ptCount val="1"/>
                <c:pt idx="0">
                  <c:v>Smail et al. 2019</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costs_substation!$B$30:$B$45</c:f>
              <c:numCache>
                <c:formatCode>General</c:formatCode>
                <c:ptCount val="16"/>
                <c:pt idx="0">
                  <c:v>6.3</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numCache>
            </c:numRef>
          </c:xVal>
          <c:yVal>
            <c:numRef>
              <c:f>costs_substation!$D$30:$D$45</c:f>
              <c:numCache>
                <c:formatCode>_-* #,##0_-;\-* #,##0_-;_-* "-"??_-;_-@_-</c:formatCode>
                <c:ptCount val="16"/>
                <c:pt idx="0">
                  <c:v>179467.51881831314</c:v>
                </c:pt>
                <c:pt idx="1">
                  <c:v>253945.95751474303</c:v>
                </c:pt>
                <c:pt idx="2">
                  <c:v>427469.50625943864</c:v>
                </c:pt>
                <c:pt idx="3">
                  <c:v>579698.93498853222</c:v>
                </c:pt>
                <c:pt idx="4">
                  <c:v>719563.25105541409</c:v>
                </c:pt>
                <c:pt idx="5">
                  <c:v>850897.93184491829</c:v>
                </c:pt>
                <c:pt idx="6">
                  <c:v>975812.41278189793</c:v>
                </c:pt>
                <c:pt idx="7">
                  <c:v>1095628.8544160498</c:v>
                </c:pt>
                <c:pt idx="8">
                  <c:v>1211247.2695425241</c:v>
                </c:pt>
                <c:pt idx="9">
                  <c:v>1323316.4194288442</c:v>
                </c:pt>
                <c:pt idx="10">
                  <c:v>1432324.1147944212</c:v>
                </c:pt>
                <c:pt idx="11">
                  <c:v>1538649.245403223</c:v>
                </c:pt>
                <c:pt idx="12">
                  <c:v>1642593.7800939109</c:v>
                </c:pt>
                <c:pt idx="13">
                  <c:v>1744403.4800517438</c:v>
                </c:pt>
                <c:pt idx="14">
                  <c:v>1844281.8701440985</c:v>
                </c:pt>
                <c:pt idx="15">
                  <c:v>1942399.9881778341</c:v>
                </c:pt>
              </c:numCache>
            </c:numRef>
          </c:yVal>
          <c:smooth val="0"/>
          <c:extLst>
            <c:ext xmlns:c16="http://schemas.microsoft.com/office/drawing/2014/chart" uri="{C3380CC4-5D6E-409C-BE32-E72D297353CC}">
              <c16:uniqueId val="{00000002-5F12-4001-AFAE-226B17986F1A}"/>
            </c:ext>
          </c:extLst>
        </c:ser>
        <c:dLbls>
          <c:showLegendKey val="0"/>
          <c:showVal val="0"/>
          <c:showCatName val="0"/>
          <c:showSerName val="0"/>
          <c:showPercent val="0"/>
          <c:showBubbleSize val="0"/>
        </c:dLbls>
        <c:axId val="728722104"/>
        <c:axId val="728729976"/>
      </c:scatterChart>
      <c:valAx>
        <c:axId val="728722104"/>
        <c:scaling>
          <c:orientation val="minMax"/>
          <c:max val="1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 rated [MVA]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29976"/>
        <c:crosses val="autoZero"/>
        <c:crossBetween val="midCat"/>
      </c:valAx>
      <c:valAx>
        <c:axId val="72872997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r>
                  <a:rPr lang="en-GB" baseline="0"/>
                  <a:t> transformer [USD2022]</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2210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Lundberg 2003</c:v>
          </c:tx>
          <c:spPr>
            <a:ln w="19050" cap="rnd">
              <a:noFill/>
              <a:round/>
            </a:ln>
            <a:effectLst/>
          </c:spPr>
          <c:marker>
            <c:symbol val="circle"/>
            <c:size val="5"/>
            <c:spPr>
              <a:solidFill>
                <a:schemeClr val="accent1"/>
              </a:solidFill>
              <a:ln w="9525">
                <a:solidFill>
                  <a:schemeClr val="accent1"/>
                </a:solidFill>
              </a:ln>
              <a:effectLst/>
            </c:spPr>
          </c:marker>
          <c:xVal>
            <c:numRef>
              <c:f>costs_substation!$B$54:$B$64</c:f>
              <c:numCache>
                <c:formatCode>General</c:formatCode>
                <c:ptCount val="11"/>
                <c:pt idx="0">
                  <c:v>47</c:v>
                </c:pt>
                <c:pt idx="1">
                  <c:v>50</c:v>
                </c:pt>
                <c:pt idx="2">
                  <c:v>60</c:v>
                </c:pt>
                <c:pt idx="3">
                  <c:v>70</c:v>
                </c:pt>
                <c:pt idx="4">
                  <c:v>80</c:v>
                </c:pt>
                <c:pt idx="5">
                  <c:v>90</c:v>
                </c:pt>
                <c:pt idx="6">
                  <c:v>100</c:v>
                </c:pt>
                <c:pt idx="7">
                  <c:v>110</c:v>
                </c:pt>
                <c:pt idx="8">
                  <c:v>120</c:v>
                </c:pt>
                <c:pt idx="9">
                  <c:v>130</c:v>
                </c:pt>
                <c:pt idx="10">
                  <c:v>140</c:v>
                </c:pt>
              </c:numCache>
            </c:numRef>
          </c:xVal>
          <c:yVal>
            <c:numRef>
              <c:f>costs_substation!$C$54:$C$64</c:f>
              <c:numCache>
                <c:formatCode>_-* #,##0_-;\-* #,##0_-;_-* "-"??_-;_-@_-</c:formatCode>
                <c:ptCount val="11"/>
                <c:pt idx="0">
                  <c:v>121219.43880597015</c:v>
                </c:pt>
                <c:pt idx="1">
                  <c:v>124843.94029850746</c:v>
                </c:pt>
                <c:pt idx="2">
                  <c:v>136925.61194029849</c:v>
                </c:pt>
                <c:pt idx="3">
                  <c:v>149007.28358208956</c:v>
                </c:pt>
                <c:pt idx="4">
                  <c:v>161088.95522388059</c:v>
                </c:pt>
                <c:pt idx="5">
                  <c:v>173170.62686567163</c:v>
                </c:pt>
                <c:pt idx="6">
                  <c:v>185252.29850746266</c:v>
                </c:pt>
                <c:pt idx="7">
                  <c:v>197333.97014925373</c:v>
                </c:pt>
                <c:pt idx="8">
                  <c:v>209415.64179104476</c:v>
                </c:pt>
                <c:pt idx="9">
                  <c:v>221497.3134328358</c:v>
                </c:pt>
                <c:pt idx="10">
                  <c:v>233578.98507462686</c:v>
                </c:pt>
              </c:numCache>
            </c:numRef>
          </c:yVal>
          <c:smooth val="0"/>
          <c:extLst>
            <c:ext xmlns:c16="http://schemas.microsoft.com/office/drawing/2014/chart" uri="{C3380CC4-5D6E-409C-BE32-E72D297353CC}">
              <c16:uniqueId val="{00000000-6C51-436C-A73D-396CF15721CD}"/>
            </c:ext>
          </c:extLst>
        </c:ser>
        <c:dLbls>
          <c:showLegendKey val="0"/>
          <c:showVal val="0"/>
          <c:showCatName val="0"/>
          <c:showSerName val="0"/>
          <c:showPercent val="0"/>
          <c:showBubbleSize val="0"/>
        </c:dLbls>
        <c:axId val="839562280"/>
        <c:axId val="839565232"/>
      </c:scatterChart>
      <c:valAx>
        <c:axId val="839562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 rated [kV]</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5232"/>
        <c:crosses val="autoZero"/>
        <c:crossBetween val="midCat"/>
      </c:valAx>
      <c:valAx>
        <c:axId val="83956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r>
                  <a:rPr lang="en-GB" baseline="0"/>
                  <a:t> switchgear [USD2022]</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2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PEM CAPEX</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2020 model</c:v>
          </c:tx>
          <c:spPr>
            <a:ln w="19050" cap="rnd">
              <a:solidFill>
                <a:schemeClr val="accent1"/>
              </a:solidFill>
              <a:round/>
            </a:ln>
            <a:effectLst/>
          </c:spPr>
          <c:marker>
            <c:symbol val="none"/>
          </c:marker>
          <c:xVal>
            <c:numRef>
              <c:f>cost_scaling_PEM!$B$30:$B$129</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cost_scaling_PEM!$C$30:$C$129</c:f>
              <c:numCache>
                <c:formatCode>0.0</c:formatCode>
                <c:ptCount val="100"/>
                <c:pt idx="0">
                  <c:v>1553.1530051404648</c:v>
                </c:pt>
                <c:pt idx="1">
                  <c:v>1363.8241370512694</c:v>
                </c:pt>
                <c:pt idx="2">
                  <c:v>1281.6721577354472</c:v>
                </c:pt>
                <c:pt idx="3">
                  <c:v>1233.3391475095289</c:v>
                </c:pt>
                <c:pt idx="4">
                  <c:v>1200</c:v>
                </c:pt>
                <c:pt idx="5">
                  <c:v>1174.7962087094397</c:v>
                </c:pt>
                <c:pt idx="6">
                  <c:v>1154.6573304267579</c:v>
                </c:pt>
                <c:pt idx="7">
                  <c:v>1137.9791558015465</c:v>
                </c:pt>
                <c:pt idx="8">
                  <c:v>1123.8181259217401</c:v>
                </c:pt>
                <c:pt idx="9">
                  <c:v>1111.5686714789613</c:v>
                </c:pt>
                <c:pt idx="10">
                  <c:v>1100.8170802362185</c:v>
                </c:pt>
                <c:pt idx="11">
                  <c:v>1091.2676842643029</c:v>
                </c:pt>
                <c:pt idx="12">
                  <c:v>1082.701949366405</c:v>
                </c:pt>
                <c:pt idx="13">
                  <c:v>1074.9540494837038</c:v>
                </c:pt>
                <c:pt idx="14">
                  <c:v>1067.8954255196909</c:v>
                </c:pt>
                <c:pt idx="15">
                  <c:v>1061.4245901245954</c:v>
                </c:pt>
                <c:pt idx="16">
                  <c:v>1055.4601656987261</c:v>
                </c:pt>
                <c:pt idx="17">
                  <c:v>1049.9360001762197</c:v>
                </c:pt>
                <c:pt idx="18">
                  <c:v>1044.797662547523</c:v>
                </c:pt>
                <c:pt idx="19">
                  <c:v>1039.9998792023268</c:v>
                </c:pt>
                <c:pt idx="20">
                  <c:v>1035.5046262311039</c:v>
                </c:pt>
                <c:pt idx="21">
                  <c:v>1031.2796879776695</c:v>
                </c:pt>
                <c:pt idx="22">
                  <c:v>1027.2975527248959</c:v>
                </c:pt>
                <c:pt idx="23">
                  <c:v>1023.5345559508997</c:v>
                </c:pt>
                <c:pt idx="24">
                  <c:v>1019.9702079680389</c:v>
                </c:pt>
                <c:pt idx="25">
                  <c:v>1016.5866606725647</c:v>
                </c:pt>
                <c:pt idx="26">
                  <c:v>1013.3682805062406</c:v>
                </c:pt>
                <c:pt idx="27">
                  <c:v>1010.3013034081505</c:v>
                </c:pt>
                <c:pt idx="28">
                  <c:v>1007.3735537057594</c:v>
                </c:pt>
                <c:pt idx="29">
                  <c:v>1004.5742133406329</c:v>
                </c:pt>
                <c:pt idx="30">
                  <c:v>1001.8936310673157</c:v>
                </c:pt>
                <c:pt idx="31">
                  <c:v>999.32316365642851</c:v>
                </c:pt>
                <c:pt idx="32">
                  <c:v>996.85504291705672</c:v>
                </c:pt>
                <c:pt idx="33">
                  <c:v>994.48226369708289</c:v>
                </c:pt>
                <c:pt idx="34">
                  <c:v>992.19848904152377</c:v>
                </c:pt>
                <c:pt idx="35">
                  <c:v>989.99796947222512</c:v>
                </c:pt>
                <c:pt idx="36">
                  <c:v>987.87547395797765</c:v>
                </c:pt>
                <c:pt idx="37">
                  <c:v>985.82623061609229</c:v>
                </c:pt>
                <c:pt idx="38">
                  <c:v>983.84587555698658</c:v>
                </c:pt>
                <c:pt idx="39">
                  <c:v>981.93040857616984</c:v>
                </c:pt>
                <c:pt idx="40">
                  <c:v>980.07615463098898</c:v>
                </c:pt>
                <c:pt idx="41">
                  <c:v>978.27973022598974</c:v>
                </c:pt>
                <c:pt idx="42">
                  <c:v>976.53801398089092</c:v>
                </c:pt>
                <c:pt idx="43">
                  <c:v>974.84812077674019</c:v>
                </c:pt>
                <c:pt idx="44">
                  <c:v>973.20737897476079</c:v>
                </c:pt>
                <c:pt idx="45">
                  <c:v>971.61331028332393</c:v>
                </c:pt>
                <c:pt idx="46">
                  <c:v>970.06361191500218</c:v>
                </c:pt>
                <c:pt idx="47">
                  <c:v>968.55614073057325</c:v>
                </c:pt>
                <c:pt idx="48">
                  <c:v>967.08889911237316</c:v>
                </c:pt>
                <c:pt idx="49">
                  <c:v>965.66002234732798</c:v>
                </c:pt>
                <c:pt idx="50">
                  <c:v>964.26776733167162</c:v>
                </c:pt>
                <c:pt idx="51">
                  <c:v>962.91050243596953</c:v>
                </c:pt>
                <c:pt idx="52">
                  <c:v>961.58669839145875</c:v>
                </c:pt>
                <c:pt idx="53">
                  <c:v>960.29492007764929</c:v>
                </c:pt>
                <c:pt idx="54">
                  <c:v>959.03381910718338</c:v>
                </c:pt>
                <c:pt idx="55">
                  <c:v>957.80212711760794</c:v>
                </c:pt>
                <c:pt idx="56">
                  <c:v>956.59864969136459</c:v>
                </c:pt>
                <c:pt idx="57">
                  <c:v>955.42226083528226</c:v>
                </c:pt>
                <c:pt idx="58">
                  <c:v>954.27189795941081</c:v>
                </c:pt>
                <c:pt idx="59">
                  <c:v>953.14655730241168</c:v>
                </c:pt>
                <c:pt idx="60">
                  <c:v>952.04528975707433</c:v>
                </c:pt>
                <c:pt idx="61">
                  <c:v>950.96719705503006</c:v>
                </c:pt>
                <c:pt idx="62">
                  <c:v>949.91142827451745</c:v>
                </c:pt>
                <c:pt idx="63">
                  <c:v>948.87717663918818</c:v>
                </c:pt>
                <c:pt idx="64">
                  <c:v>947.86367657957123</c:v>
                </c:pt>
                <c:pt idx="65">
                  <c:v>946.8702010319688</c:v>
                </c:pt>
                <c:pt idx="66">
                  <c:v>945.89605895231966</c:v>
                </c:pt>
                <c:pt idx="67">
                  <c:v>944.94059302499625</c:v>
                </c:pt>
                <c:pt idx="68">
                  <c:v>944.00317754863033</c:v>
                </c:pt>
                <c:pt idx="69">
                  <c:v>943.0832164829427</c:v>
                </c:pt>
                <c:pt idx="70">
                  <c:v>942.18014164220767</c:v>
                </c:pt>
                <c:pt idx="71">
                  <c:v>941.29341102245098</c:v>
                </c:pt>
                <c:pt idx="72">
                  <c:v>940.42250725077042</c:v>
                </c:pt>
                <c:pt idx="73">
                  <c:v>939.56693614633195</c:v>
                </c:pt>
                <c:pt idx="74">
                  <c:v>938.72622538360304</c:v>
                </c:pt>
                <c:pt idx="75">
                  <c:v>937.89992324930574</c:v>
                </c:pt>
                <c:pt idx="76">
                  <c:v>937.0875974853825</c:v>
                </c:pt>
                <c:pt idx="77">
                  <c:v>936.28883421098612</c:v>
                </c:pt>
                <c:pt idx="78">
                  <c:v>935.50323691716596</c:v>
                </c:pt>
                <c:pt idx="79">
                  <c:v>934.73042552849029</c:v>
                </c:pt>
                <c:pt idx="80">
                  <c:v>933.97003552637705</c:v>
                </c:pt>
                <c:pt idx="81">
                  <c:v>933.22171712936517</c:v>
                </c:pt>
                <c:pt idx="82">
                  <c:v>932.48513452598559</c:v>
                </c:pt>
                <c:pt idx="83">
                  <c:v>931.75996515626684</c:v>
                </c:pt>
                <c:pt idx="84">
                  <c:v>931.04589903825342</c:v>
                </c:pt>
                <c:pt idx="85">
                  <c:v>930.34263813622294</c:v>
                </c:pt>
                <c:pt idx="86">
                  <c:v>929.64989576757091</c:v>
                </c:pt>
                <c:pt idx="87">
                  <c:v>928.96739604557911</c:v>
                </c:pt>
                <c:pt idx="88">
                  <c:v>928.29487335551744</c:v>
                </c:pt>
                <c:pt idx="89">
                  <c:v>927.63207186173724</c:v>
                </c:pt>
                <c:pt idx="90">
                  <c:v>926.97874504359493</c:v>
                </c:pt>
                <c:pt idx="91">
                  <c:v>926.33465525823124</c:v>
                </c:pt>
                <c:pt idx="92">
                  <c:v>925.69957332837191</c:v>
                </c:pt>
                <c:pt idx="93">
                  <c:v>925.07327815346946</c:v>
                </c:pt>
                <c:pt idx="94">
                  <c:v>924.45555634262973</c:v>
                </c:pt>
                <c:pt idx="95">
                  <c:v>923.84620186788936</c:v>
                </c:pt>
                <c:pt idx="96">
                  <c:v>923.2450157365148</c:v>
                </c:pt>
                <c:pt idx="97">
                  <c:v>922.65180568109577</c:v>
                </c:pt>
                <c:pt idx="98">
                  <c:v>922.06638586629879</c:v>
                </c:pt>
                <c:pt idx="99">
                  <c:v>921.48857661122122</c:v>
                </c:pt>
              </c:numCache>
            </c:numRef>
          </c:yVal>
          <c:smooth val="1"/>
          <c:extLst>
            <c:ext xmlns:c16="http://schemas.microsoft.com/office/drawing/2014/chart" uri="{C3380CC4-5D6E-409C-BE32-E72D297353CC}">
              <c16:uniqueId val="{00000000-5339-4223-8BB8-0BC2695A60CC}"/>
            </c:ext>
          </c:extLst>
        </c:ser>
        <c:ser>
          <c:idx val="1"/>
          <c:order val="1"/>
          <c:tx>
            <c:v>2020 data</c:v>
          </c:tx>
          <c:spPr>
            <a:ln w="19050" cap="rnd">
              <a:solidFill>
                <a:schemeClr val="accent2"/>
              </a:solidFill>
              <a:round/>
            </a:ln>
            <a:effectLst/>
          </c:spPr>
          <c:marker>
            <c:symbol val="none"/>
          </c:marker>
          <c:xVal>
            <c:numRef>
              <c:f>#REF!</c:f>
            </c:numRef>
          </c:xVal>
          <c:yVal>
            <c:numRef>
              <c:f>#REF!</c:f>
              <c:numCache>
                <c:formatCode>General</c:formatCode>
                <c:ptCount val="1"/>
                <c:pt idx="0">
                  <c:v>1</c:v>
                </c:pt>
              </c:numCache>
            </c:numRef>
          </c:yVal>
          <c:smooth val="1"/>
          <c:extLst>
            <c:ext xmlns:c16="http://schemas.microsoft.com/office/drawing/2014/chart" uri="{C3380CC4-5D6E-409C-BE32-E72D297353CC}">
              <c16:uniqueId val="{00000001-5339-4223-8BB8-0BC2695A60CC}"/>
            </c:ext>
          </c:extLst>
        </c:ser>
        <c:ser>
          <c:idx val="2"/>
          <c:order val="2"/>
          <c:tx>
            <c:v>2030 model</c:v>
          </c:tx>
          <c:spPr>
            <a:ln w="19050" cap="rnd">
              <a:solidFill>
                <a:schemeClr val="accent2"/>
              </a:solidFill>
              <a:round/>
            </a:ln>
            <a:effectLst/>
          </c:spPr>
          <c:marker>
            <c:symbol val="none"/>
          </c:marker>
          <c:xVal>
            <c:numRef>
              <c:f>cost_scaling_PEM!$E$30:$E$129</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cost_scaling_PEM!$F$30:$F$129</c:f>
              <c:numCache>
                <c:formatCode>0.0</c:formatCode>
                <c:ptCount val="100"/>
                <c:pt idx="0">
                  <c:v>921.33918503901782</c:v>
                </c:pt>
                <c:pt idx="1">
                  <c:v>804.50517063518294</c:v>
                </c:pt>
                <c:pt idx="2">
                  <c:v>752.07230995848988</c:v>
                </c:pt>
                <c:pt idx="3">
                  <c:v>721.50667975176452</c:v>
                </c:pt>
                <c:pt idx="4">
                  <c:v>701</c:v>
                </c:pt>
                <c:pt idx="5">
                  <c:v>685.91385922715676</c:v>
                </c:pt>
                <c:pt idx="6">
                  <c:v>674.08808004227797</c:v>
                </c:pt>
                <c:pt idx="7">
                  <c:v>664.39907443205504</c:v>
                </c:pt>
                <c:pt idx="8">
                  <c:v>656.21013360751544</c:v>
                </c:pt>
                <c:pt idx="9">
                  <c:v>649.1330492419653</c:v>
                </c:pt>
                <c:pt idx="10">
                  <c:v>642.91540110664471</c:v>
                </c:pt>
                <c:pt idx="11">
                  <c:v>637.38365597412246</c:v>
                </c:pt>
                <c:pt idx="12">
                  <c:v>632.41280267741365</c:v>
                </c:pt>
                <c:pt idx="13">
                  <c:v>627.90929588008737</c:v>
                </c:pt>
                <c:pt idx="14">
                  <c:v>623.80098904218971</c:v>
                </c:pt>
                <c:pt idx="15">
                  <c:v>620.03089957768998</c:v>
                </c:pt>
                <c:pt idx="16">
                  <c:v>616.55316659112702</c:v>
                </c:pt>
                <c:pt idx="17">
                  <c:v>613.33031790896973</c:v>
                </c:pt>
                <c:pt idx="18">
                  <c:v>610.33135287306402</c:v>
                </c:pt>
                <c:pt idx="19">
                  <c:v>607.53035460910428</c:v>
                </c:pt>
                <c:pt idx="20">
                  <c:v>604.90545919485874</c:v>
                </c:pt>
                <c:pt idx="21">
                  <c:v>602.43807360978246</c:v>
                </c:pt>
                <c:pt idx="22">
                  <c:v>600.11227215518284</c:v>
                </c:pt>
                <c:pt idx="23">
                  <c:v>597.91432401029408</c:v>
                </c:pt>
                <c:pt idx="24">
                  <c:v>595.83231905979221</c:v>
                </c:pt>
                <c:pt idx="25">
                  <c:v>593.85586856183545</c:v>
                </c:pt>
                <c:pt idx="26">
                  <c:v>591.9758635760262</c:v>
                </c:pt>
                <c:pt idx="27">
                  <c:v>590.18427846936538</c:v>
                </c:pt>
                <c:pt idx="28">
                  <c:v>588.47400994093027</c:v>
                </c:pt>
                <c:pt idx="29">
                  <c:v>586.83874426908733</c:v>
                </c:pt>
                <c:pt idx="30">
                  <c:v>585.27284715345502</c:v>
                </c:pt>
                <c:pt idx="31">
                  <c:v>583.77127177127625</c:v>
                </c:pt>
                <c:pt idx="32">
                  <c:v>582.32948161157265</c:v>
                </c:pt>
                <c:pt idx="33">
                  <c:v>580.94338537144779</c:v>
                </c:pt>
                <c:pt idx="34">
                  <c:v>579.60928175446998</c:v>
                </c:pt>
                <c:pt idx="35">
                  <c:v>578.32381244236944</c:v>
                </c:pt>
                <c:pt idx="36">
                  <c:v>577.08392184839681</c:v>
                </c:pt>
                <c:pt idx="37">
                  <c:v>575.88682252583442</c:v>
                </c:pt>
                <c:pt idx="38">
                  <c:v>574.72996531491572</c:v>
                </c:pt>
                <c:pt idx="39">
                  <c:v>573.61101347828128</c:v>
                </c:pt>
                <c:pt idx="40">
                  <c:v>572.52782020856728</c:v>
                </c:pt>
                <c:pt idx="41">
                  <c:v>571.47840899902087</c:v>
                </c:pt>
                <c:pt idx="42">
                  <c:v>570.46095645471848</c:v>
                </c:pt>
                <c:pt idx="43">
                  <c:v>569.47377719234555</c:v>
                </c:pt>
                <c:pt idx="44">
                  <c:v>568.51531053388999</c:v>
                </c:pt>
                <c:pt idx="45">
                  <c:v>567.58410874663866</c:v>
                </c:pt>
                <c:pt idx="46">
                  <c:v>566.67882662056127</c:v>
                </c:pt>
                <c:pt idx="47">
                  <c:v>565.79821220615941</c:v>
                </c:pt>
                <c:pt idx="48">
                  <c:v>564.94109856239345</c:v>
                </c:pt>
                <c:pt idx="49">
                  <c:v>564.10639638641794</c:v>
                </c:pt>
                <c:pt idx="50">
                  <c:v>563.29308741534646</c:v>
                </c:pt>
                <c:pt idx="51">
                  <c:v>562.50021850579208</c:v>
                </c:pt>
                <c:pt idx="52">
                  <c:v>561.72689631000537</c:v>
                </c:pt>
                <c:pt idx="53">
                  <c:v>560.97228247848659</c:v>
                </c:pt>
                <c:pt idx="54">
                  <c:v>560.23558932831986</c:v>
                </c:pt>
                <c:pt idx="55">
                  <c:v>559.51607592445873</c:v>
                </c:pt>
                <c:pt idx="56">
                  <c:v>558.81304452799168</c:v>
                </c:pt>
                <c:pt idx="57">
                  <c:v>558.12583737124851</c:v>
                </c:pt>
                <c:pt idx="58">
                  <c:v>557.45383372460481</c:v>
                </c:pt>
                <c:pt idx="59">
                  <c:v>556.79644722414798</c:v>
                </c:pt>
                <c:pt idx="60">
                  <c:v>556.15312343308437</c:v>
                </c:pt>
                <c:pt idx="61">
                  <c:v>555.52333761297598</c:v>
                </c:pt>
                <c:pt idx="62">
                  <c:v>554.90659268369484</c:v>
                </c:pt>
                <c:pt idx="63">
                  <c:v>554.30241735339087</c:v>
                </c:pt>
                <c:pt idx="64">
                  <c:v>553.71036440189857</c:v>
                </c:pt>
                <c:pt idx="65">
                  <c:v>553.1300091028412</c:v>
                </c:pt>
                <c:pt idx="66">
                  <c:v>552.56094777131307</c:v>
                </c:pt>
                <c:pt idx="67">
                  <c:v>552.00279642543501</c:v>
                </c:pt>
                <c:pt idx="68">
                  <c:v>551.45518955132479</c:v>
                </c:pt>
                <c:pt idx="69">
                  <c:v>550.91777896211897</c:v>
                </c:pt>
                <c:pt idx="70">
                  <c:v>550.39023274265639</c:v>
                </c:pt>
                <c:pt idx="71">
                  <c:v>549.87223427228173</c:v>
                </c:pt>
                <c:pt idx="72">
                  <c:v>549.36348131899172</c:v>
                </c:pt>
                <c:pt idx="73">
                  <c:v>548.86368519881557</c:v>
                </c:pt>
                <c:pt idx="74">
                  <c:v>548.37256999492138</c:v>
                </c:pt>
                <c:pt idx="75">
                  <c:v>547.88987183146946</c:v>
                </c:pt>
                <c:pt idx="76">
                  <c:v>547.41533819771087</c:v>
                </c:pt>
                <c:pt idx="77">
                  <c:v>546.94872731825103</c:v>
                </c:pt>
                <c:pt idx="78">
                  <c:v>546.48980756577782</c:v>
                </c:pt>
                <c:pt idx="79">
                  <c:v>546.03835691289305</c:v>
                </c:pt>
                <c:pt idx="80">
                  <c:v>545.5941624199919</c:v>
                </c:pt>
                <c:pt idx="81">
                  <c:v>545.15701975640411</c:v>
                </c:pt>
                <c:pt idx="82">
                  <c:v>544.72673275226327</c:v>
                </c:pt>
                <c:pt idx="83">
                  <c:v>544.30311297878586</c:v>
                </c:pt>
                <c:pt idx="84">
                  <c:v>543.88597935484631</c:v>
                </c:pt>
                <c:pt idx="85">
                  <c:v>543.47515777791023</c:v>
                </c:pt>
                <c:pt idx="86">
                  <c:v>543.07048077755599</c:v>
                </c:pt>
                <c:pt idx="87">
                  <c:v>542.6717871899591</c:v>
                </c:pt>
                <c:pt idx="88">
                  <c:v>542.27892185184805</c:v>
                </c:pt>
                <c:pt idx="89">
                  <c:v>541.89173531256483</c:v>
                </c:pt>
                <c:pt idx="90">
                  <c:v>541.51008356296666</c:v>
                </c:pt>
                <c:pt idx="91">
                  <c:v>541.13382778001676</c:v>
                </c:pt>
                <c:pt idx="92">
                  <c:v>540.76283408599056</c:v>
                </c:pt>
                <c:pt idx="93">
                  <c:v>540.39697332131846</c:v>
                </c:pt>
                <c:pt idx="94">
                  <c:v>540.03612083015287</c:v>
                </c:pt>
                <c:pt idx="95">
                  <c:v>539.68015625782539</c:v>
                </c:pt>
                <c:pt idx="96">
                  <c:v>539.32896335941405</c:v>
                </c:pt>
                <c:pt idx="97">
                  <c:v>538.98242981870681</c:v>
                </c:pt>
                <c:pt idx="98">
                  <c:v>538.64044707689618</c:v>
                </c:pt>
                <c:pt idx="99">
                  <c:v>538.30291017038837</c:v>
                </c:pt>
              </c:numCache>
            </c:numRef>
          </c:yVal>
          <c:smooth val="1"/>
          <c:extLst>
            <c:ext xmlns:c16="http://schemas.microsoft.com/office/drawing/2014/chart" uri="{C3380CC4-5D6E-409C-BE32-E72D297353CC}">
              <c16:uniqueId val="{00000002-5339-4223-8BB8-0BC2695A60CC}"/>
            </c:ext>
          </c:extLst>
        </c:ser>
        <c:ser>
          <c:idx val="3"/>
          <c:order val="3"/>
          <c:tx>
            <c:v>2050 model</c:v>
          </c:tx>
          <c:spPr>
            <a:ln w="19050" cap="rnd">
              <a:solidFill>
                <a:schemeClr val="accent3"/>
              </a:solidFill>
              <a:round/>
            </a:ln>
            <a:effectLst/>
          </c:spPr>
          <c:marker>
            <c:symbol val="none"/>
          </c:marker>
          <c:xVal>
            <c:numRef>
              <c:f>cost_scaling_PEM!$H$30:$H$129</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cost_scaling_PEM!$I$30:$I$129</c:f>
              <c:numCache>
                <c:formatCode>0.0</c:formatCode>
                <c:ptCount val="100"/>
                <c:pt idx="0">
                  <c:v>412.6874135021763</c:v>
                </c:pt>
                <c:pt idx="1">
                  <c:v>359.41349513528934</c:v>
                </c:pt>
                <c:pt idx="2">
                  <c:v>333.89585267088995</c:v>
                </c:pt>
                <c:pt idx="3">
                  <c:v>318.4446227707769</c:v>
                </c:pt>
                <c:pt idx="4">
                  <c:v>308</c:v>
                </c:pt>
                <c:pt idx="5">
                  <c:v>300.44306655314534</c:v>
                </c:pt>
                <c:pt idx="6">
                  <c:v>294.7030740787132</c:v>
                </c:pt>
                <c:pt idx="7">
                  <c:v>290.17454123044035</c:v>
                </c:pt>
                <c:pt idx="8">
                  <c:v>286.48869943800082</c:v>
                </c:pt>
                <c:pt idx="9">
                  <c:v>283.40890312019371</c:v>
                </c:pt>
                <c:pt idx="10">
                  <c:v>280.77730439866076</c:v>
                </c:pt>
                <c:pt idx="11">
                  <c:v>278.48541399609587</c:v>
                </c:pt>
                <c:pt idx="12">
                  <c:v>276.45683711774296</c:v>
                </c:pt>
                <c:pt idx="13">
                  <c:v>274.63666412633114</c:v>
                </c:pt>
                <c:pt idx="14">
                  <c:v>272.98470639993695</c:v>
                </c:pt>
                <c:pt idx="15">
                  <c:v>271.47105555748493</c:v>
                </c:pt>
                <c:pt idx="16">
                  <c:v>270.07309842963707</c:v>
                </c:pt>
                <c:pt idx="17">
                  <c:v>268.77347159937267</c:v>
                </c:pt>
                <c:pt idx="18">
                  <c:v>267.55863729724575</c:v>
                </c:pt>
                <c:pt idx="19">
                  <c:v>266.4178785396798</c:v>
                </c:pt>
                <c:pt idx="20">
                  <c:v>265.34258189027207</c:v>
                </c:pt>
                <c:pt idx="21">
                  <c:v>264.32572031131627</c:v>
                </c:pt>
                <c:pt idx="22">
                  <c:v>263.36147685591129</c:v>
                </c:pt>
                <c:pt idx="23">
                  <c:v>262.44496849453526</c:v>
                </c:pt>
                <c:pt idx="24">
                  <c:v>261.57204175603641</c:v>
                </c:pt>
                <c:pt idx="25">
                  <c:v>260.73912026876957</c:v>
                </c:pt>
                <c:pt idx="26">
                  <c:v>259.94309007011395</c:v>
                </c:pt>
                <c:pt idx="27">
                  <c:v>259.1812125769813</c:v>
                </c:pt>
                <c:pt idx="28">
                  <c:v>258.45105793868453</c:v>
                </c:pt>
                <c:pt idx="29">
                  <c:v>257.75045349895208</c:v>
                </c:pt>
                <c:pt idx="30">
                  <c:v>257.07744352608677</c:v>
                </c:pt>
                <c:pt idx="31">
                  <c:v>256.43025739966129</c:v>
                </c:pt>
                <c:pt idx="32">
                  <c:v>255.80728418613486</c:v>
                </c:pt>
                <c:pt idx="33">
                  <c:v>255.20705207612164</c:v>
                </c:pt>
                <c:pt idx="34">
                  <c:v>254.62821155020237</c:v>
                </c:pt>
                <c:pt idx="35">
                  <c:v>254.06952142880488</c:v>
                </c:pt>
                <c:pt idx="36">
                  <c:v>253.52983717381358</c:v>
                </c:pt>
                <c:pt idx="37">
                  <c:v>253.0081009659917</c:v>
                </c:pt>
                <c:pt idx="38">
                  <c:v>252.50333319802215</c:v>
                </c:pt>
                <c:pt idx="39">
                  <c:v>252.01462510886219</c:v>
                </c:pt>
                <c:pt idx="40">
                  <c:v>251.54113234905955</c:v>
                </c:pt>
                <c:pt idx="41">
                  <c:v>251.08206931446708</c:v>
                </c:pt>
                <c:pt idx="42">
                  <c:v>250.63670412163688</c:v>
                </c:pt>
                <c:pt idx="43">
                  <c:v>250.20435412517853</c:v>
                </c:pt>
                <c:pt idx="44">
                  <c:v>249.78438189779848</c:v>
                </c:pt>
                <c:pt idx="45">
                  <c:v>249.3761916092933</c:v>
                </c:pt>
                <c:pt idx="46">
                  <c:v>248.97922575267819</c:v>
                </c:pt>
                <c:pt idx="47">
                  <c:v>248.59296217481986</c:v>
                </c:pt>
                <c:pt idx="48">
                  <c:v>248.21691137608639</c:v>
                </c:pt>
                <c:pt idx="49">
                  <c:v>247.85061404913341</c:v>
                </c:pt>
                <c:pt idx="50">
                  <c:v>247.49363883139051</c:v>
                </c:pt>
                <c:pt idx="51">
                  <c:v>247.14558024937119</c:v>
                </c:pt>
                <c:pt idx="52">
                  <c:v>246.80605683582024</c:v>
                </c:pt>
                <c:pt idx="53">
                  <c:v>246.47470940307662</c:v>
                </c:pt>
                <c:pt idx="54">
                  <c:v>246.15119945800072</c:v>
                </c:pt>
                <c:pt idx="55">
                  <c:v>245.83520774546332</c:v>
                </c:pt>
                <c:pt idx="56">
                  <c:v>245.5264329088003</c:v>
                </c:pt>
                <c:pt idx="57">
                  <c:v>245.2245902568414</c:v>
                </c:pt>
                <c:pt idx="58">
                  <c:v>244.92941062816686</c:v>
                </c:pt>
                <c:pt idx="59">
                  <c:v>244.64063934416046</c:v>
                </c:pt>
                <c:pt idx="60">
                  <c:v>244.35803524323305</c:v>
                </c:pt>
                <c:pt idx="61">
                  <c:v>244.08136978930386</c:v>
                </c:pt>
                <c:pt idx="62">
                  <c:v>243.81042624826745</c:v>
                </c:pt>
                <c:pt idx="63">
                  <c:v>243.54499892673988</c:v>
                </c:pt>
                <c:pt idx="64">
                  <c:v>243.2848924678955</c:v>
                </c:pt>
                <c:pt idx="65">
                  <c:v>243.02992119966603</c:v>
                </c:pt>
                <c:pt idx="66">
                  <c:v>242.77990853099161</c:v>
                </c:pt>
                <c:pt idx="67">
                  <c:v>242.5346863921946</c:v>
                </c:pt>
                <c:pt idx="68">
                  <c:v>242.29409471588764</c:v>
                </c:pt>
                <c:pt idx="69">
                  <c:v>242.05798095514126</c:v>
                </c:pt>
                <c:pt idx="70">
                  <c:v>241.82619963591972</c:v>
                </c:pt>
                <c:pt idx="71">
                  <c:v>241.59861194105181</c:v>
                </c:pt>
                <c:pt idx="72">
                  <c:v>241.37508532323608</c:v>
                </c:pt>
                <c:pt idx="73">
                  <c:v>241.15549314479702</c:v>
                </c:pt>
                <c:pt idx="74">
                  <c:v>240.93971434210059</c:v>
                </c:pt>
                <c:pt idx="75">
                  <c:v>240.72763311271507</c:v>
                </c:pt>
                <c:pt idx="76">
                  <c:v>240.51913862356702</c:v>
                </c:pt>
                <c:pt idx="77">
                  <c:v>240.31412473848528</c:v>
                </c:pt>
                <c:pt idx="78">
                  <c:v>240.11248976366426</c:v>
                </c:pt>
                <c:pt idx="79">
                  <c:v>239.91413620969698</c:v>
                </c:pt>
                <c:pt idx="80">
                  <c:v>239.71897056894241</c:v>
                </c:pt>
                <c:pt idx="81">
                  <c:v>239.52690310709019</c:v>
                </c:pt>
                <c:pt idx="82">
                  <c:v>239.3378476678829</c:v>
                </c:pt>
                <c:pt idx="83">
                  <c:v>239.15172149003658</c:v>
                </c:pt>
                <c:pt idx="84">
                  <c:v>238.96844503548081</c:v>
                </c:pt>
                <c:pt idx="85">
                  <c:v>238.78794182810799</c:v>
                </c:pt>
                <c:pt idx="86">
                  <c:v>238.61013830228768</c:v>
                </c:pt>
                <c:pt idx="87">
                  <c:v>238.43496366045986</c:v>
                </c:pt>
                <c:pt idx="88">
                  <c:v>238.26234973917545</c:v>
                </c:pt>
                <c:pt idx="89">
                  <c:v>238.09223088300112</c:v>
                </c:pt>
                <c:pt idx="90">
                  <c:v>237.92454382575161</c:v>
                </c:pt>
                <c:pt idx="91">
                  <c:v>237.75922757855238</c:v>
                </c:pt>
                <c:pt idx="92">
                  <c:v>237.59622332427634</c:v>
                </c:pt>
                <c:pt idx="93">
                  <c:v>237.43547431792825</c:v>
                </c:pt>
                <c:pt idx="94">
                  <c:v>237.2769257925888</c:v>
                </c:pt>
                <c:pt idx="95">
                  <c:v>237.12052487055141</c:v>
                </c:pt>
                <c:pt idx="96">
                  <c:v>236.96622047932112</c:v>
                </c:pt>
                <c:pt idx="97">
                  <c:v>236.81396327215899</c:v>
                </c:pt>
                <c:pt idx="98">
                  <c:v>236.66370555288896</c:v>
                </c:pt>
                <c:pt idx="99">
                  <c:v>236.51540120469491</c:v>
                </c:pt>
              </c:numCache>
            </c:numRef>
          </c:yVal>
          <c:smooth val="1"/>
          <c:extLst>
            <c:ext xmlns:c16="http://schemas.microsoft.com/office/drawing/2014/chart" uri="{C3380CC4-5D6E-409C-BE32-E72D297353CC}">
              <c16:uniqueId val="{00000003-5339-4223-8BB8-0BC2695A60CC}"/>
            </c:ext>
          </c:extLst>
        </c:ser>
        <c:ser>
          <c:idx val="4"/>
          <c:order val="4"/>
          <c:tx>
            <c:v>2050 data</c:v>
          </c:tx>
          <c:spPr>
            <a:ln w="19050" cap="rnd">
              <a:solidFill>
                <a:schemeClr val="accent5"/>
              </a:solidFill>
              <a:round/>
            </a:ln>
            <a:effectLst/>
          </c:spPr>
          <c:marker>
            <c:symbol val="none"/>
          </c:marker>
          <c:xVal>
            <c:numRef>
              <c:f>#REF!</c:f>
            </c:numRef>
          </c:xVal>
          <c:yVal>
            <c:numRef>
              <c:f>#REF!</c:f>
              <c:numCache>
                <c:formatCode>General</c:formatCode>
                <c:ptCount val="1"/>
                <c:pt idx="0">
                  <c:v>1</c:v>
                </c:pt>
              </c:numCache>
            </c:numRef>
          </c:yVal>
          <c:smooth val="1"/>
          <c:extLst>
            <c:ext xmlns:c16="http://schemas.microsoft.com/office/drawing/2014/chart" uri="{C3380CC4-5D6E-409C-BE32-E72D297353CC}">
              <c16:uniqueId val="{00000004-5339-4223-8BB8-0BC2695A60CC}"/>
            </c:ext>
          </c:extLst>
        </c:ser>
        <c:dLbls>
          <c:showLegendKey val="0"/>
          <c:showVal val="0"/>
          <c:showCatName val="0"/>
          <c:showSerName val="0"/>
          <c:showPercent val="0"/>
          <c:showBubbleSize val="0"/>
        </c:dLbls>
        <c:axId val="865832584"/>
        <c:axId val="865830616"/>
      </c:scatterChart>
      <c:valAx>
        <c:axId val="865832584"/>
        <c:scaling>
          <c:orientation val="minMax"/>
          <c:max val="1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Nominal power [MW</a:t>
                </a:r>
                <a:r>
                  <a:rPr lang="en-GB" sz="800"/>
                  <a:t>el</a:t>
                </a:r>
                <a:r>
                  <a:rPr lang="en-GB"/>
                  <a: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0616"/>
        <c:crosses val="autoZero"/>
        <c:crossBetween val="midCat"/>
        <c:majorUnit val="25"/>
      </c:valAx>
      <c:valAx>
        <c:axId val="865830616"/>
        <c:scaling>
          <c:orientation val="minMax"/>
          <c:max val="1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CAPEX [EUR</a:t>
                </a:r>
                <a:r>
                  <a:rPr lang="en-GB" sz="600"/>
                  <a:t>2017</a:t>
                </a:r>
                <a:r>
                  <a:rPr lang="en-GB"/>
                  <a:t>/kW</a:t>
                </a:r>
                <a:r>
                  <a:rPr lang="en-GB" sz="600"/>
                  <a:t>el</a:t>
                </a:r>
                <a:r>
                  <a:rPr lang="en-GB"/>
                  <a: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2584"/>
        <c:crosses val="autoZero"/>
        <c:crossBetween val="midCat"/>
        <c:majorUnit val="25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SOEC CAPEX</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2020 model</c:v>
          </c:tx>
          <c:spPr>
            <a:ln w="19050" cap="rnd">
              <a:solidFill>
                <a:schemeClr val="accent1"/>
              </a:solidFill>
              <a:round/>
            </a:ln>
            <a:effectLst/>
          </c:spPr>
          <c:marker>
            <c:symbol val="none"/>
          </c:marker>
          <c:xVal>
            <c:numRef>
              <c:f>cost_scaling_PEM!$B$136:$B$235</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cost_scaling_PEM!$C$136:$C$235</c:f>
              <c:numCache>
                <c:formatCode>0.0</c:formatCode>
                <c:ptCount val="100"/>
                <c:pt idx="0">
                  <c:v>3142.102961361551</c:v>
                </c:pt>
                <c:pt idx="1">
                  <c:v>2699.7336824726026</c:v>
                </c:pt>
                <c:pt idx="2">
                  <c:v>2485.7977295058395</c:v>
                </c:pt>
                <c:pt idx="3">
                  <c:v>2348.8431027725005</c:v>
                </c:pt>
                <c:pt idx="4">
                  <c:v>2250</c:v>
                </c:pt>
                <c:pt idx="5">
                  <c:v>2173.6822191963356</c:v>
                </c:pt>
                <c:pt idx="6">
                  <c:v>2112.1080259989108</c:v>
                </c:pt>
                <c:pt idx="7">
                  <c:v>2060.860098081891</c:v>
                </c:pt>
                <c:pt idx="8">
                  <c:v>2017.2057814643385</c:v>
                </c:pt>
                <c:pt idx="9">
                  <c:v>1979.3454009583904</c:v>
                </c:pt>
                <c:pt idx="10">
                  <c:v>1946.0355608905791</c:v>
                </c:pt>
                <c:pt idx="11">
                  <c:v>1916.3839877189378</c:v>
                </c:pt>
                <c:pt idx="12">
                  <c:v>1889.7303436065292</c:v>
                </c:pt>
                <c:pt idx="13">
                  <c:v>1865.5732995238482</c:v>
                </c:pt>
                <c:pt idx="14">
                  <c:v>1843.5239692231239</c:v>
                </c:pt>
                <c:pt idx="15">
                  <c:v>1823.2750940194544</c:v>
                </c:pt>
                <c:pt idx="16">
                  <c:v>1804.5800216795649</c:v>
                </c:pt>
                <c:pt idx="17">
                  <c:v>1787.2379863509698</c:v>
                </c:pt>
                <c:pt idx="18">
                  <c:v>1771.0835633020522</c:v>
                </c:pt>
                <c:pt idx="19">
                  <c:v>1755.9789617016713</c:v>
                </c:pt>
                <c:pt idx="20">
                  <c:v>1741.8082908676238</c:v>
                </c:pt>
                <c:pt idx="21">
                  <c:v>1728.4732266544092</c:v>
                </c:pt>
                <c:pt idx="22">
                  <c:v>1715.8896892275252</c:v>
                </c:pt>
                <c:pt idx="23">
                  <c:v>1703.9852633172382</c:v>
                </c:pt>
                <c:pt idx="24">
                  <c:v>1692.6971715712787</c:v>
                </c:pt>
                <c:pt idx="25">
                  <c:v>1681.970665443783</c:v>
                </c:pt>
                <c:pt idx="26">
                  <c:v>1671.7577351326236</c:v>
                </c:pt>
                <c:pt idx="27">
                  <c:v>1662.0160660360773</c:v>
                </c:pt>
                <c:pt idx="28">
                  <c:v>1652.7081876478078</c:v>
                </c:pt>
                <c:pt idx="29">
                  <c:v>1643.8007740999315</c:v>
                </c:pt>
                <c:pt idx="30">
                  <c:v>1635.264065260717</c:v>
                </c:pt>
                <c:pt idx="31">
                  <c:v>1627.0713844511142</c:v>
                </c:pt>
                <c:pt idx="32">
                  <c:v>1619.1987341852227</c:v>
                </c:pt>
                <c:pt idx="33">
                  <c:v>1611.6244553654683</c:v>
                </c:pt>
                <c:pt idx="34">
                  <c:v>1604.328938426215</c:v>
                </c:pt>
                <c:pt idx="35">
                  <c:v>1597.2943772705821</c:v>
                </c:pt>
                <c:pt idx="36">
                  <c:v>1590.5045586648091</c:v>
                </c:pt>
                <c:pt idx="37">
                  <c:v>1583.9446811736468</c:v>
                </c:pt>
                <c:pt idx="38">
                  <c:v>1577.6011988351893</c:v>
                </c:pt>
                <c:pt idx="39">
                  <c:v>1571.4616856555785</c:v>
                </c:pt>
                <c:pt idx="40">
                  <c:v>1565.5147177062231</c:v>
                </c:pt>
                <c:pt idx="41">
                  <c:v>1559.749770168768</c:v>
                </c:pt>
                <c:pt idx="42">
                  <c:v>1554.1571271263463</c:v>
                </c:pt>
                <c:pt idx="43">
                  <c:v>1548.7278022669286</c:v>
                </c:pt>
                <c:pt idx="44">
                  <c:v>1543.4534689637278</c:v>
                </c:pt>
                <c:pt idx="45">
                  <c:v>1538.3263984424843</c:v>
                </c:pt>
                <c:pt idx="46">
                  <c:v>1533.3394049468491</c:v>
                </c:pt>
                <c:pt idx="47">
                  <c:v>1528.4857969794596</c:v>
                </c:pt>
                <c:pt idx="48">
                  <c:v>1523.7593338343595</c:v>
                </c:pt>
                <c:pt idx="49">
                  <c:v>1519.1541867514513</c:v>
                </c:pt>
                <c:pt idx="50">
                  <c:v>1514.6649041198705</c:v>
                </c:pt>
                <c:pt idx="51">
                  <c:v>1510.2863802379825</c:v>
                </c:pt>
                <c:pt idx="52">
                  <c:v>1506.0138272057607</c:v>
                </c:pt>
                <c:pt idx="53">
                  <c:v>1501.8427495828946</c:v>
                </c:pt>
                <c:pt idx="54">
                  <c:v>1497.7689214948193</c:v>
                </c:pt>
                <c:pt idx="55">
                  <c:v>1493.7883659104298</c:v>
                </c:pt>
                <c:pt idx="56">
                  <c:v>1489.8973358507503</c:v>
                </c:pt>
                <c:pt idx="57">
                  <c:v>1486.092297318233</c:v>
                </c:pt>
                <c:pt idx="58">
                  <c:v>1482.3699137624599</c:v>
                </c:pt>
                <c:pt idx="59">
                  <c:v>1478.7270319205084</c:v>
                </c:pt>
                <c:pt idx="60">
                  <c:v>1475.1606688896616</c:v>
                </c:pt>
                <c:pt idx="61">
                  <c:v>1471.6680003069448</c:v>
                </c:pt>
                <c:pt idx="62">
                  <c:v>1468.246349524552</c:v>
                </c:pt>
                <c:pt idx="63">
                  <c:v>1464.8931776829234</c:v>
                </c:pt>
                <c:pt idx="64">
                  <c:v>1461.6060745942855</c:v>
                </c:pt>
                <c:pt idx="65">
                  <c:v>1458.3827503591467</c:v>
                </c:pt>
                <c:pt idx="66">
                  <c:v>1455.2210276466917</c:v>
                </c:pt>
                <c:pt idx="67">
                  <c:v>1452.1188345774603</c:v>
                </c:pt>
                <c:pt idx="68">
                  <c:v>1449.0741981532258</c:v>
                </c:pt>
                <c:pt idx="69">
                  <c:v>1446.0852381847474</c:v>
                </c:pt>
                <c:pt idx="70">
                  <c:v>1443.1501616731407</c:v>
                </c:pt>
                <c:pt idx="71">
                  <c:v>1440.2672576051336</c:v>
                </c:pt>
                <c:pt idx="72">
                  <c:v>1437.4348921264218</c:v>
                </c:pt>
                <c:pt idx="73">
                  <c:v>1434.6515040609067</c:v>
                </c:pt>
                <c:pt idx="74">
                  <c:v>1431.9156007467125</c:v>
                </c:pt>
                <c:pt idx="75">
                  <c:v>1429.2257541627059</c:v>
                </c:pt>
                <c:pt idx="76">
                  <c:v>1426.5805973217118</c:v>
                </c:pt>
                <c:pt idx="77">
                  <c:v>1423.9788209088711</c:v>
                </c:pt>
                <c:pt idx="78">
                  <c:v>1421.4191701455629</c:v>
                </c:pt>
                <c:pt idx="79">
                  <c:v>1418.9004418611257</c:v>
                </c:pt>
                <c:pt idx="80">
                  <c:v>1416.421481756184</c:v>
                </c:pt>
                <c:pt idx="81">
                  <c:v>1413.9811818428652</c:v>
                </c:pt>
                <c:pt idx="82">
                  <c:v>1411.5784780484591</c:v>
                </c:pt>
                <c:pt idx="83">
                  <c:v>1409.2123479702557</c:v>
                </c:pt>
                <c:pt idx="84">
                  <c:v>1406.8818087703551</c:v>
                </c:pt>
                <c:pt idx="85">
                  <c:v>1404.5859152001838</c:v>
                </c:pt>
                <c:pt idx="86">
                  <c:v>1402.3237577453206</c:v>
                </c:pt>
                <c:pt idx="87">
                  <c:v>1400.0944608820205</c:v>
                </c:pt>
                <c:pt idx="88">
                  <c:v>1397.8971814375195</c:v>
                </c:pt>
                <c:pt idx="89">
                  <c:v>1395.7311070468611</c:v>
                </c:pt>
                <c:pt idx="90">
                  <c:v>1393.5954546995506</c:v>
                </c:pt>
                <c:pt idx="91">
                  <c:v>1391.4894693698941</c:v>
                </c:pt>
                <c:pt idx="92">
                  <c:v>1389.4124227253465</c:v>
                </c:pt>
                <c:pt idx="93">
                  <c:v>1387.3636119076386</c:v>
                </c:pt>
                <c:pt idx="94">
                  <c:v>1385.3423583818626</c:v>
                </c:pt>
                <c:pt idx="95">
                  <c:v>1383.3480068490471</c:v>
                </c:pt>
                <c:pt idx="96">
                  <c:v>1381.3799242181062</c:v>
                </c:pt>
                <c:pt idx="97">
                  <c:v>1379.4374986333394</c:v>
                </c:pt>
                <c:pt idx="98">
                  <c:v>1377.520138553954</c:v>
                </c:pt>
                <c:pt idx="99">
                  <c:v>1375.6272718823259</c:v>
                </c:pt>
              </c:numCache>
            </c:numRef>
          </c:yVal>
          <c:smooth val="1"/>
          <c:extLst>
            <c:ext xmlns:c16="http://schemas.microsoft.com/office/drawing/2014/chart" uri="{C3380CC4-5D6E-409C-BE32-E72D297353CC}">
              <c16:uniqueId val="{00000000-041C-49C2-BD7E-A8A4926DF3F8}"/>
            </c:ext>
          </c:extLst>
        </c:ser>
        <c:ser>
          <c:idx val="2"/>
          <c:order val="1"/>
          <c:tx>
            <c:v>2030 model</c:v>
          </c:tx>
          <c:spPr>
            <a:ln w="19050" cap="rnd">
              <a:solidFill>
                <a:schemeClr val="accent2"/>
              </a:solidFill>
              <a:round/>
            </a:ln>
            <a:effectLst/>
          </c:spPr>
          <c:marker>
            <c:symbol val="none"/>
          </c:marker>
          <c:xVal>
            <c:numRef>
              <c:f>cost_scaling_PEM!$E$136:$E$235</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cost_scaling_PEM!$F$136:$F$235</c:f>
              <c:numCache>
                <c:formatCode>0.0</c:formatCode>
                <c:ptCount val="100"/>
                <c:pt idx="0">
                  <c:v>1795.907612399461</c:v>
                </c:pt>
                <c:pt idx="1">
                  <c:v>1531.6175548598651</c:v>
                </c:pt>
                <c:pt idx="2">
                  <c:v>1406.5052410211335</c:v>
                </c:pt>
                <c:pt idx="3">
                  <c:v>1328.0783898726254</c:v>
                </c:pt>
                <c:pt idx="4">
                  <c:v>1272</c:v>
                </c:pt>
                <c:pt idx="5">
                  <c:v>1228.8326514749688</c:v>
                </c:pt>
                <c:pt idx="6">
                  <c:v>1194.0298640076217</c:v>
                </c:pt>
                <c:pt idx="7">
                  <c:v>1165.0650898598005</c:v>
                </c:pt>
                <c:pt idx="8">
                  <c:v>1140.3900704188504</c:v>
                </c:pt>
                <c:pt idx="9">
                  <c:v>1118.9883723099945</c:v>
                </c:pt>
                <c:pt idx="10">
                  <c:v>1100.1581171680807</c:v>
                </c:pt>
                <c:pt idx="11">
                  <c:v>1083.3954808808078</c:v>
                </c:pt>
                <c:pt idx="12">
                  <c:v>1068.327447110581</c:v>
                </c:pt>
                <c:pt idx="13">
                  <c:v>1054.6707295252281</c:v>
                </c:pt>
                <c:pt idx="14">
                  <c:v>1042.2055339291476</c:v>
                </c:pt>
                <c:pt idx="15">
                  <c:v>1030.7581799922079</c:v>
                </c:pt>
                <c:pt idx="16">
                  <c:v>1020.1892364095304</c:v>
                </c:pt>
                <c:pt idx="17">
                  <c:v>1010.3852073159657</c:v>
                </c:pt>
                <c:pt idx="18">
                  <c:v>1001.252574082372</c:v>
                </c:pt>
                <c:pt idx="19">
                  <c:v>992.71343954026349</c:v>
                </c:pt>
                <c:pt idx="20">
                  <c:v>984.70228704984845</c:v>
                </c:pt>
                <c:pt idx="21">
                  <c:v>977.16353078145698</c:v>
                </c:pt>
                <c:pt idx="22">
                  <c:v>970.04963763552553</c:v>
                </c:pt>
                <c:pt idx="23">
                  <c:v>963.31966885907423</c:v>
                </c:pt>
                <c:pt idx="24">
                  <c:v>956.93813432718741</c:v>
                </c:pt>
                <c:pt idx="25">
                  <c:v>950.87408286380082</c:v>
                </c:pt>
                <c:pt idx="26">
                  <c:v>945.10037292815275</c:v>
                </c:pt>
                <c:pt idx="27">
                  <c:v>939.59308266567007</c:v>
                </c:pt>
                <c:pt idx="28">
                  <c:v>934.33102875020518</c:v>
                </c:pt>
                <c:pt idx="29">
                  <c:v>929.29537095781939</c:v>
                </c:pt>
                <c:pt idx="30">
                  <c:v>924.46928489405559</c:v>
                </c:pt>
                <c:pt idx="31">
                  <c:v>919.83768934302884</c:v>
                </c:pt>
                <c:pt idx="32">
                  <c:v>915.38701772604543</c:v>
                </c:pt>
                <c:pt idx="33">
                  <c:v>911.10502543327789</c:v>
                </c:pt>
                <c:pt idx="34">
                  <c:v>906.98062652362023</c:v>
                </c:pt>
                <c:pt idx="35">
                  <c:v>903.0037546169691</c:v>
                </c:pt>
                <c:pt idx="36">
                  <c:v>899.16524383183878</c:v>
                </c:pt>
                <c:pt idx="37">
                  <c:v>895.45672642350166</c:v>
                </c:pt>
                <c:pt idx="38">
                  <c:v>891.87054440816041</c:v>
                </c:pt>
                <c:pt idx="39">
                  <c:v>888.39967295728707</c:v>
                </c:pt>
                <c:pt idx="40">
                  <c:v>885.03765374325144</c:v>
                </c:pt>
                <c:pt idx="41">
                  <c:v>881.77853673541028</c:v>
                </c:pt>
                <c:pt idx="42">
                  <c:v>878.61682920209444</c:v>
                </c:pt>
                <c:pt idx="43">
                  <c:v>875.54745088157028</c:v>
                </c:pt>
                <c:pt idx="44">
                  <c:v>872.56569445416085</c:v>
                </c:pt>
                <c:pt idx="45">
                  <c:v>869.66719058615115</c:v>
                </c:pt>
                <c:pt idx="46">
                  <c:v>866.84787692995201</c:v>
                </c:pt>
                <c:pt idx="47">
                  <c:v>864.10397055905446</c:v>
                </c:pt>
                <c:pt idx="48">
                  <c:v>861.43194339435797</c:v>
                </c:pt>
                <c:pt idx="49">
                  <c:v>858.82850024348716</c:v>
                </c:pt>
                <c:pt idx="50">
                  <c:v>856.29055912910007</c:v>
                </c:pt>
                <c:pt idx="51">
                  <c:v>853.81523362787277</c:v>
                </c:pt>
                <c:pt idx="52">
                  <c:v>851.39981698032329</c:v>
                </c:pt>
                <c:pt idx="53">
                  <c:v>849.04176776419638</c:v>
                </c:pt>
                <c:pt idx="54">
                  <c:v>846.73869695173789</c:v>
                </c:pt>
                <c:pt idx="55">
                  <c:v>844.48835619469628</c:v>
                </c:pt>
                <c:pt idx="56">
                  <c:v>842.28862720095742</c:v>
                </c:pt>
                <c:pt idx="57">
                  <c:v>840.13751208390784</c:v>
                </c:pt>
                <c:pt idx="58">
                  <c:v>838.03312458037738</c:v>
                </c:pt>
                <c:pt idx="59">
                  <c:v>835.9736820457274</c:v>
                </c:pt>
                <c:pt idx="60">
                  <c:v>833.95749814562191</c:v>
                </c:pt>
                <c:pt idx="61">
                  <c:v>831.98297617352614</c:v>
                </c:pt>
                <c:pt idx="62">
                  <c:v>830.0486029312134</c:v>
                </c:pt>
                <c:pt idx="63">
                  <c:v>828.15294311674597</c:v>
                </c:pt>
                <c:pt idx="64">
                  <c:v>826.29463417063607</c:v>
                </c:pt>
                <c:pt idx="65">
                  <c:v>824.4723815363709</c:v>
                </c:pt>
                <c:pt idx="66">
                  <c:v>822.68495429626307</c:v>
                </c:pt>
                <c:pt idx="67">
                  <c:v>820.93118114779088</c:v>
                </c:pt>
                <c:pt idx="68">
                  <c:v>819.20994668929029</c:v>
                </c:pt>
                <c:pt idx="69">
                  <c:v>817.52018798711049</c:v>
                </c:pt>
                <c:pt idx="70">
                  <c:v>815.86089139921557</c:v>
                </c:pt>
                <c:pt idx="71">
                  <c:v>814.23108963276889</c:v>
                </c:pt>
                <c:pt idx="72">
                  <c:v>812.62985901547052</c:v>
                </c:pt>
                <c:pt idx="73">
                  <c:v>811.05631696243267</c:v>
                </c:pt>
                <c:pt idx="74">
                  <c:v>809.50961962214137</c:v>
                </c:pt>
                <c:pt idx="75">
                  <c:v>807.98895968664976</c:v>
                </c:pt>
                <c:pt idx="76">
                  <c:v>806.49356435254117</c:v>
                </c:pt>
                <c:pt idx="77">
                  <c:v>805.0226934204818</c:v>
                </c:pt>
                <c:pt idx="78">
                  <c:v>803.57563752229169</c:v>
                </c:pt>
                <c:pt idx="79">
                  <c:v>802.1517164654897</c:v>
                </c:pt>
                <c:pt idx="80">
                  <c:v>800.75027768616269</c:v>
                </c:pt>
                <c:pt idx="81">
                  <c:v>799.37069480183311</c:v>
                </c:pt>
                <c:pt idx="82">
                  <c:v>798.01236625672891</c:v>
                </c:pt>
                <c:pt idx="83">
                  <c:v>796.67471405251786</c:v>
                </c:pt>
                <c:pt idx="84">
                  <c:v>795.35718255817415</c:v>
                </c:pt>
                <c:pt idx="85">
                  <c:v>794.05923739317052</c:v>
                </c:pt>
                <c:pt idx="86">
                  <c:v>792.78036437868798</c:v>
                </c:pt>
                <c:pt idx="87">
                  <c:v>791.52006855196885</c:v>
                </c:pt>
                <c:pt idx="88">
                  <c:v>790.27787323934444</c:v>
                </c:pt>
                <c:pt idx="89">
                  <c:v>789.05331918382558</c:v>
                </c:pt>
                <c:pt idx="90">
                  <c:v>787.84596372347926</c:v>
                </c:pt>
                <c:pt idx="91">
                  <c:v>786.65538001711343</c:v>
                </c:pt>
                <c:pt idx="92">
                  <c:v>785.48115631406256</c:v>
                </c:pt>
                <c:pt idx="93">
                  <c:v>784.3228952651184</c:v>
                </c:pt>
                <c:pt idx="94">
                  <c:v>783.18021327187967</c:v>
                </c:pt>
                <c:pt idx="95">
                  <c:v>782.05273987199462</c:v>
                </c:pt>
                <c:pt idx="96">
                  <c:v>780.94011715796933</c:v>
                </c:pt>
                <c:pt idx="97">
                  <c:v>779.84199922738117</c:v>
                </c:pt>
                <c:pt idx="98">
                  <c:v>778.758051662502</c:v>
                </c:pt>
                <c:pt idx="99">
                  <c:v>777.68795103747493</c:v>
                </c:pt>
              </c:numCache>
            </c:numRef>
          </c:yVal>
          <c:smooth val="1"/>
          <c:extLst>
            <c:ext xmlns:c16="http://schemas.microsoft.com/office/drawing/2014/chart" uri="{C3380CC4-5D6E-409C-BE32-E72D297353CC}">
              <c16:uniqueId val="{00000002-041C-49C2-BD7E-A8A4926DF3F8}"/>
            </c:ext>
          </c:extLst>
        </c:ser>
        <c:ser>
          <c:idx val="3"/>
          <c:order val="2"/>
          <c:tx>
            <c:v>2050 model</c:v>
          </c:tx>
          <c:spPr>
            <a:ln w="19050" cap="rnd">
              <a:solidFill>
                <a:schemeClr val="accent3"/>
              </a:solidFill>
              <a:round/>
            </a:ln>
            <a:effectLst/>
          </c:spPr>
          <c:marker>
            <c:symbol val="none"/>
          </c:marker>
          <c:xVal>
            <c:numRef>
              <c:f>cost_scaling_PEM!$H$136:$H$235</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xVal>
          <c:yVal>
            <c:numRef>
              <c:f>cost_scaling_PEM!$I$136:$I$235</c:f>
              <c:numCache>
                <c:formatCode>0.0</c:formatCode>
                <c:ptCount val="100"/>
                <c:pt idx="0">
                  <c:v>729.68897893846281</c:v>
                </c:pt>
                <c:pt idx="1">
                  <c:v>618.81826150328379</c:v>
                </c:pt>
                <c:pt idx="2">
                  <c:v>564.98176493684241</c:v>
                </c:pt>
                <c:pt idx="3">
                  <c:v>531.48490173177049</c:v>
                </c:pt>
                <c:pt idx="4">
                  <c:v>508</c:v>
                </c:pt>
                <c:pt idx="5">
                  <c:v>490.28109446709828</c:v>
                </c:pt>
                <c:pt idx="6">
                  <c:v>476.22199776409985</c:v>
                </c:pt>
                <c:pt idx="7">
                  <c:v>464.65077591342322</c:v>
                </c:pt>
                <c:pt idx="8">
                  <c:v>454.8615584515095</c:v>
                </c:pt>
                <c:pt idx="9">
                  <c:v>446.40309484896903</c:v>
                </c:pt>
                <c:pt idx="10">
                  <c:v>438.97281245245983</c:v>
                </c:pt>
                <c:pt idx="11">
                  <c:v>432.35956814443261</c:v>
                </c:pt>
                <c:pt idx="12">
                  <c:v>426.41088000612018</c:v>
                </c:pt>
                <c:pt idx="13">
                  <c:v>421.01329293879343</c:v>
                </c:pt>
                <c:pt idx="14">
                  <c:v>416.08015941516192</c:v>
                </c:pt>
                <c:pt idx="15">
                  <c:v>411.54378266626821</c:v>
                </c:pt>
                <c:pt idx="16">
                  <c:v>407.3502160713544</c:v>
                </c:pt>
                <c:pt idx="17">
                  <c:v>403.45572847010357</c:v>
                </c:pt>
                <c:pt idx="18">
                  <c:v>399.82434218465045</c:v>
                </c:pt>
                <c:pt idx="19">
                  <c:v>396.42607858234027</c:v>
                </c:pt>
                <c:pt idx="20">
                  <c:v>393.23568090026174</c:v>
                </c:pt>
                <c:pt idx="21">
                  <c:v>390.2316658956139</c:v>
                </c:pt>
                <c:pt idx="22">
                  <c:v>387.39560666893578</c:v>
                </c:pt>
                <c:pt idx="23">
                  <c:v>384.71158116192407</c:v>
                </c:pt>
                <c:pt idx="24">
                  <c:v>382.16574157548553</c:v>
                </c:pt>
                <c:pt idx="25">
                  <c:v>379.74597357426308</c:v>
                </c:pt>
                <c:pt idx="26">
                  <c:v>377.44162323975746</c:v>
                </c:pt>
                <c:pt idx="27">
                  <c:v>375.24327590897116</c:v>
                </c:pt>
                <c:pt idx="28">
                  <c:v>373.1425752951335</c:v>
                </c:pt>
                <c:pt idx="29">
                  <c:v>371.1320742721154</c:v>
                </c:pt>
                <c:pt idx="30">
                  <c:v>369.20511082844155</c:v>
                </c:pt>
                <c:pt idx="31">
                  <c:v>367.3557042313476</c:v>
                </c:pt>
                <c:pt idx="32">
                  <c:v>365.57846756600372</c:v>
                </c:pt>
                <c:pt idx="33">
                  <c:v>363.86853365076865</c:v>
                </c:pt>
                <c:pt idx="34">
                  <c:v>362.22149195856963</c:v>
                </c:pt>
                <c:pt idx="35">
                  <c:v>360.63333465410483</c:v>
                </c:pt>
                <c:pt idx="36">
                  <c:v>359.10041022630264</c:v>
                </c:pt>
                <c:pt idx="37">
                  <c:v>357.61938348352157</c:v>
                </c:pt>
                <c:pt idx="38">
                  <c:v>356.18720090555263</c:v>
                </c:pt>
                <c:pt idx="39">
                  <c:v>354.80106052627201</c:v>
                </c:pt>
                <c:pt idx="40">
                  <c:v>353.45838566457877</c:v>
                </c:pt>
                <c:pt idx="41">
                  <c:v>352.15680193709329</c:v>
                </c:pt>
                <c:pt idx="42">
                  <c:v>350.89411708000762</c:v>
                </c:pt>
                <c:pt idx="43">
                  <c:v>349.66830318409086</c:v>
                </c:pt>
                <c:pt idx="44">
                  <c:v>348.477481009673</c:v>
                </c:pt>
                <c:pt idx="45">
                  <c:v>347.31990610020279</c:v>
                </c:pt>
                <c:pt idx="46">
                  <c:v>346.1939564558449</c:v>
                </c:pt>
                <c:pt idx="47">
                  <c:v>345.09812156421123</c:v>
                </c:pt>
                <c:pt idx="48">
                  <c:v>344.03099261507128</c:v>
                </c:pt>
                <c:pt idx="49">
                  <c:v>342.99125375080945</c:v>
                </c:pt>
                <c:pt idx="50">
                  <c:v>341.97767422534241</c:v>
                </c:pt>
                <c:pt idx="51">
                  <c:v>340.9891013618913</c:v>
                </c:pt>
                <c:pt idx="52">
                  <c:v>340.02445421495065</c:v>
                </c:pt>
                <c:pt idx="53">
                  <c:v>339.0827178544979</c:v>
                </c:pt>
                <c:pt idx="54">
                  <c:v>338.16293820128573</c:v>
                </c:pt>
                <c:pt idx="55">
                  <c:v>337.26421735128963</c:v>
                </c:pt>
                <c:pt idx="56">
                  <c:v>336.38570933527637</c:v>
                </c:pt>
                <c:pt idx="57">
                  <c:v>335.52661626623814</c:v>
                </c:pt>
                <c:pt idx="58">
                  <c:v>334.68618483326571</c:v>
                </c:pt>
                <c:pt idx="59">
                  <c:v>333.8637031054688</c:v>
                </c:pt>
                <c:pt idx="60">
                  <c:v>333.05849761389607</c:v>
                </c:pt>
                <c:pt idx="61">
                  <c:v>332.26993068318279</c:v>
                </c:pt>
                <c:pt idx="62">
                  <c:v>331.49739798792513</c:v>
                </c:pt>
                <c:pt idx="63">
                  <c:v>330.74032631163516</c:v>
                </c:pt>
                <c:pt idx="64">
                  <c:v>329.99817148861564</c:v>
                </c:pt>
                <c:pt idx="65">
                  <c:v>329.27041651127223</c:v>
                </c:pt>
                <c:pt idx="66">
                  <c:v>328.55656978728723</c:v>
                </c:pt>
                <c:pt idx="67">
                  <c:v>327.85616353274969</c:v>
                </c:pt>
                <c:pt idx="68">
                  <c:v>327.16875228881435</c:v>
                </c:pt>
                <c:pt idx="69">
                  <c:v>326.4939115507562</c:v>
                </c:pt>
                <c:pt idx="70">
                  <c:v>325.83123649943298</c:v>
                </c:pt>
                <c:pt idx="71">
                  <c:v>325.18034082618635</c:v>
                </c:pt>
                <c:pt idx="72">
                  <c:v>324.54085564310651</c:v>
                </c:pt>
                <c:pt idx="73">
                  <c:v>323.91242847138335</c:v>
                </c:pt>
                <c:pt idx="74">
                  <c:v>323.29472230117926</c:v>
                </c:pt>
                <c:pt idx="75">
                  <c:v>322.68741471708768</c:v>
                </c:pt>
                <c:pt idx="76">
                  <c:v>322.0901970838047</c:v>
                </c:pt>
                <c:pt idx="77">
                  <c:v>321.50277378714708</c:v>
                </c:pt>
                <c:pt idx="78">
                  <c:v>320.92486152599804</c:v>
                </c:pt>
                <c:pt idx="79">
                  <c:v>320.35618865116788</c:v>
                </c:pt>
                <c:pt idx="80">
                  <c:v>319.79649454751473</c:v>
                </c:pt>
                <c:pt idx="81">
                  <c:v>319.24552905600342</c:v>
                </c:pt>
                <c:pt idx="82">
                  <c:v>318.70305193266506</c:v>
                </c:pt>
                <c:pt idx="83">
                  <c:v>318.16883234169012</c:v>
                </c:pt>
                <c:pt idx="84">
                  <c:v>317.64264838012349</c:v>
                </c:pt>
                <c:pt idx="85">
                  <c:v>317.12428663184369</c:v>
                </c:pt>
                <c:pt idx="86">
                  <c:v>316.61354174870689</c:v>
                </c:pt>
                <c:pt idx="87">
                  <c:v>316.11021605690809</c:v>
                </c:pt>
                <c:pt idx="88">
                  <c:v>315.61411918677476</c:v>
                </c:pt>
                <c:pt idx="89">
                  <c:v>315.12506772435256</c:v>
                </c:pt>
                <c:pt idx="90">
                  <c:v>314.64288488327242</c:v>
                </c:pt>
                <c:pt idx="91">
                  <c:v>314.16740019551111</c:v>
                </c:pt>
                <c:pt idx="92">
                  <c:v>313.69844921976511</c:v>
                </c:pt>
                <c:pt idx="93">
                  <c:v>313.23587326625648</c:v>
                </c:pt>
                <c:pt idx="94">
                  <c:v>312.77951913688173</c:v>
                </c:pt>
                <c:pt idx="95">
                  <c:v>312.32923887969525</c:v>
                </c:pt>
                <c:pt idx="96">
                  <c:v>311.8848895567985</c:v>
                </c:pt>
                <c:pt idx="97">
                  <c:v>311.44633302477132</c:v>
                </c:pt>
                <c:pt idx="98">
                  <c:v>311.01343572684806</c:v>
                </c:pt>
                <c:pt idx="99">
                  <c:v>310.58606849609828</c:v>
                </c:pt>
              </c:numCache>
            </c:numRef>
          </c:yVal>
          <c:smooth val="1"/>
          <c:extLst>
            <c:ext xmlns:c16="http://schemas.microsoft.com/office/drawing/2014/chart" uri="{C3380CC4-5D6E-409C-BE32-E72D297353CC}">
              <c16:uniqueId val="{00000003-041C-49C2-BD7E-A8A4926DF3F8}"/>
            </c:ext>
          </c:extLst>
        </c:ser>
        <c:ser>
          <c:idx val="4"/>
          <c:order val="3"/>
          <c:tx>
            <c:v>2050 data</c:v>
          </c:tx>
          <c:spPr>
            <a:ln w="19050" cap="rnd">
              <a:solidFill>
                <a:schemeClr val="accent5"/>
              </a:solidFill>
              <a:round/>
            </a:ln>
            <a:effectLst/>
          </c:spPr>
          <c:marker>
            <c:symbol val="none"/>
          </c:marker>
          <c:xVal>
            <c:numRef>
              <c:f>#REF!</c:f>
            </c:numRef>
          </c:xVal>
          <c:yVal>
            <c:numRef>
              <c:f>#REF!</c:f>
              <c:numCache>
                <c:formatCode>General</c:formatCode>
                <c:ptCount val="1"/>
                <c:pt idx="0">
                  <c:v>1</c:v>
                </c:pt>
              </c:numCache>
            </c:numRef>
          </c:yVal>
          <c:smooth val="1"/>
          <c:extLst>
            <c:ext xmlns:c16="http://schemas.microsoft.com/office/drawing/2014/chart" uri="{C3380CC4-5D6E-409C-BE32-E72D297353CC}">
              <c16:uniqueId val="{00000004-041C-49C2-BD7E-A8A4926DF3F8}"/>
            </c:ext>
          </c:extLst>
        </c:ser>
        <c:dLbls>
          <c:showLegendKey val="0"/>
          <c:showVal val="0"/>
          <c:showCatName val="0"/>
          <c:showSerName val="0"/>
          <c:showPercent val="0"/>
          <c:showBubbleSize val="0"/>
        </c:dLbls>
        <c:axId val="865832584"/>
        <c:axId val="865830616"/>
      </c:scatterChart>
      <c:valAx>
        <c:axId val="865832584"/>
        <c:scaling>
          <c:orientation val="minMax"/>
          <c:max val="1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Nominal power [MW</a:t>
                </a:r>
                <a:r>
                  <a:rPr lang="en-GB" sz="800"/>
                  <a:t>el</a:t>
                </a:r>
                <a:r>
                  <a:rPr lang="en-GB"/>
                  <a: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0616"/>
        <c:crosses val="autoZero"/>
        <c:crossBetween val="midCat"/>
        <c:majorUnit val="25"/>
      </c:valAx>
      <c:valAx>
        <c:axId val="865830616"/>
        <c:scaling>
          <c:orientation val="minMax"/>
          <c:max val="1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CAPEX [EUR</a:t>
                </a:r>
                <a:r>
                  <a:rPr lang="en-GB" sz="600"/>
                  <a:t>2017</a:t>
                </a:r>
                <a:r>
                  <a:rPr lang="en-GB"/>
                  <a:t>/kW</a:t>
                </a:r>
                <a:r>
                  <a:rPr lang="en-GB" sz="600"/>
                  <a:t>el</a:t>
                </a:r>
                <a:r>
                  <a:rPr lang="en-GB"/>
                  <a: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2584"/>
        <c:crosses val="autoZero"/>
        <c:crossBetween val="midCat"/>
        <c:majorUnit val="25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r>
              <a:rPr lang="en-US"/>
              <a:t>PEM: Capex breakdown</a:t>
            </a:r>
          </a:p>
        </c:rich>
      </c:tx>
      <c:layout/>
      <c:overlay val="0"/>
      <c:spPr>
        <a:noFill/>
        <a:ln>
          <a:noFill/>
        </a:ln>
        <a:effectLst/>
      </c:spPr>
      <c:txPr>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1508379415203022E-2"/>
          <c:y val="7.0706388359303207E-2"/>
          <c:w val="0.59916201998939833"/>
          <c:h val="0.86970601597815933"/>
        </c:manualLayout>
      </c:layout>
      <c:barChart>
        <c:barDir val="col"/>
        <c:grouping val="percentStacked"/>
        <c:varyColors val="0"/>
        <c:ser>
          <c:idx val="0"/>
          <c:order val="0"/>
          <c:tx>
            <c:strRef>
              <c:f>cost_scaling_PEM!$N$18</c:f>
              <c:strCache>
                <c:ptCount val="1"/>
                <c:pt idx="0">
                  <c:v>Cell stack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cost_scaling_PEM!$O$17:$R$17</c:f>
              <c:strCache>
                <c:ptCount val="4"/>
                <c:pt idx="0">
                  <c:v>1 MW</c:v>
                </c:pt>
                <c:pt idx="1">
                  <c:v>10 MW</c:v>
                </c:pt>
                <c:pt idx="2">
                  <c:v>100 MW</c:v>
                </c:pt>
                <c:pt idx="3">
                  <c:v>1000 MW</c:v>
                </c:pt>
              </c:strCache>
            </c:strRef>
          </c:cat>
          <c:val>
            <c:numRef>
              <c:f>cost_scaling_PEM!$O$18:$R$18</c:f>
              <c:numCache>
                <c:formatCode>0%</c:formatCode>
                <c:ptCount val="4"/>
                <c:pt idx="0">
                  <c:v>0.50064868224909154</c:v>
                </c:pt>
                <c:pt idx="1">
                  <c:v>0.6477213895729127</c:v>
                </c:pt>
                <c:pt idx="2">
                  <c:v>0.78134446619816322</c:v>
                </c:pt>
                <c:pt idx="3">
                  <c:v>0.8723780436035411</c:v>
                </c:pt>
              </c:numCache>
            </c:numRef>
          </c:val>
          <c:extLst>
            <c:ext xmlns:c16="http://schemas.microsoft.com/office/drawing/2014/chart" uri="{C3380CC4-5D6E-409C-BE32-E72D297353CC}">
              <c16:uniqueId val="{00000000-2D6E-544B-B012-6C1BC1CF6620}"/>
            </c:ext>
          </c:extLst>
        </c:ser>
        <c:ser>
          <c:idx val="1"/>
          <c:order val="1"/>
          <c:tx>
            <c:strRef>
              <c:f>cost_scaling_PEM!$N$19</c:f>
              <c:strCache>
                <c:ptCount val="1"/>
                <c:pt idx="0">
                  <c:v>Power electronics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cost_scaling_PEM!$O$17:$R$17</c:f>
              <c:strCache>
                <c:ptCount val="4"/>
                <c:pt idx="0">
                  <c:v>1 MW</c:v>
                </c:pt>
                <c:pt idx="1">
                  <c:v>10 MW</c:v>
                </c:pt>
                <c:pt idx="2">
                  <c:v>100 MW</c:v>
                </c:pt>
                <c:pt idx="3">
                  <c:v>1000 MW</c:v>
                </c:pt>
              </c:strCache>
            </c:strRef>
          </c:cat>
          <c:val>
            <c:numRef>
              <c:f>cost_scaling_PEM!$O$19:$R$19</c:f>
              <c:numCache>
                <c:formatCode>0%</c:formatCode>
                <c:ptCount val="4"/>
                <c:pt idx="0">
                  <c:v>0.17330087874727898</c:v>
                </c:pt>
                <c:pt idx="1">
                  <c:v>0.13616914422775137</c:v>
                </c:pt>
                <c:pt idx="2">
                  <c:v>9.2368746580997307E-2</c:v>
                </c:pt>
                <c:pt idx="3">
                  <c:v>5.799455712352012E-2</c:v>
                </c:pt>
              </c:numCache>
            </c:numRef>
          </c:val>
          <c:extLst>
            <c:ext xmlns:c16="http://schemas.microsoft.com/office/drawing/2014/chart" uri="{C3380CC4-5D6E-409C-BE32-E72D297353CC}">
              <c16:uniqueId val="{00000001-2D6E-544B-B012-6C1BC1CF6620}"/>
            </c:ext>
          </c:extLst>
        </c:ser>
        <c:ser>
          <c:idx val="2"/>
          <c:order val="2"/>
          <c:tx>
            <c:strRef>
              <c:f>cost_scaling_PEM!$N$20</c:f>
              <c:strCache>
                <c:ptCount val="1"/>
                <c:pt idx="0">
                  <c:v>Gas conditioning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cost_scaling_PEM!$O$17:$R$17</c:f>
              <c:strCache>
                <c:ptCount val="4"/>
                <c:pt idx="0">
                  <c:v>1 MW</c:v>
                </c:pt>
                <c:pt idx="1">
                  <c:v>10 MW</c:v>
                </c:pt>
                <c:pt idx="2">
                  <c:v>100 MW</c:v>
                </c:pt>
                <c:pt idx="3">
                  <c:v>1000 MW</c:v>
                </c:pt>
              </c:strCache>
            </c:strRef>
          </c:cat>
          <c:val>
            <c:numRef>
              <c:f>cost_scaling_PEM!$O$20:$R$20</c:f>
              <c:numCache>
                <c:formatCode>0%</c:formatCode>
                <c:ptCount val="4"/>
                <c:pt idx="0">
                  <c:v>0.14708046914234688</c:v>
                </c:pt>
                <c:pt idx="1">
                  <c:v>8.181500281905453E-2</c:v>
                </c:pt>
                <c:pt idx="2">
                  <c:v>3.9289752405195576E-2</c:v>
                </c:pt>
                <c:pt idx="3">
                  <c:v>1.7463909730685526E-2</c:v>
                </c:pt>
              </c:numCache>
            </c:numRef>
          </c:val>
          <c:extLst>
            <c:ext xmlns:c16="http://schemas.microsoft.com/office/drawing/2014/chart" uri="{C3380CC4-5D6E-409C-BE32-E72D297353CC}">
              <c16:uniqueId val="{00000002-2D6E-544B-B012-6C1BC1CF6620}"/>
            </c:ext>
          </c:extLst>
        </c:ser>
        <c:ser>
          <c:idx val="3"/>
          <c:order val="3"/>
          <c:tx>
            <c:strRef>
              <c:f>cost_scaling_PEM!$N$21</c:f>
              <c:strCache>
                <c:ptCount val="1"/>
                <c:pt idx="0">
                  <c:v>Balance of plant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cost_scaling_PEM!$O$17:$R$17</c:f>
              <c:strCache>
                <c:ptCount val="4"/>
                <c:pt idx="0">
                  <c:v>1 MW</c:v>
                </c:pt>
                <c:pt idx="1">
                  <c:v>10 MW</c:v>
                </c:pt>
                <c:pt idx="2">
                  <c:v>100 MW</c:v>
                </c:pt>
                <c:pt idx="3">
                  <c:v>1000 MW</c:v>
                </c:pt>
              </c:strCache>
            </c:strRef>
          </c:cat>
          <c:val>
            <c:numRef>
              <c:f>cost_scaling_PEM!$O$21:$R$21</c:f>
              <c:numCache>
                <c:formatCode>0%</c:formatCode>
                <c:ptCount val="4"/>
                <c:pt idx="0">
                  <c:v>0.17896996986128258</c:v>
                </c:pt>
                <c:pt idx="1">
                  <c:v>0.1342944633802815</c:v>
                </c:pt>
                <c:pt idx="2">
                  <c:v>8.6997034815643845E-2</c:v>
                </c:pt>
                <c:pt idx="3">
                  <c:v>5.2163489542253354E-2</c:v>
                </c:pt>
              </c:numCache>
            </c:numRef>
          </c:val>
          <c:extLst>
            <c:ext xmlns:c16="http://schemas.microsoft.com/office/drawing/2014/chart" uri="{C3380CC4-5D6E-409C-BE32-E72D297353CC}">
              <c16:uniqueId val="{00000003-2D6E-544B-B012-6C1BC1CF6620}"/>
            </c:ext>
          </c:extLst>
        </c:ser>
        <c:dLbls>
          <c:showLegendKey val="0"/>
          <c:showVal val="1"/>
          <c:showCatName val="0"/>
          <c:showSerName val="0"/>
          <c:showPercent val="0"/>
          <c:showBubbleSize val="0"/>
        </c:dLbls>
        <c:gapWidth val="95"/>
        <c:overlap val="100"/>
        <c:axId val="34960288"/>
        <c:axId val="35194464"/>
      </c:barChart>
      <c:catAx>
        <c:axId val="349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35194464"/>
        <c:crosses val="autoZero"/>
        <c:auto val="1"/>
        <c:lblAlgn val="ctr"/>
        <c:lblOffset val="100"/>
        <c:noMultiLvlLbl val="0"/>
      </c:catAx>
      <c:valAx>
        <c:axId val="35194464"/>
        <c:scaling>
          <c:orientation val="minMax"/>
        </c:scaling>
        <c:delete val="1"/>
        <c:axPos val="l"/>
        <c:numFmt formatCode="0%" sourceLinked="1"/>
        <c:majorTickMark val="out"/>
        <c:minorTickMark val="none"/>
        <c:tickLblPos val="nextTo"/>
        <c:crossAx val="34960288"/>
        <c:crosses val="autoZero"/>
        <c:crossBetween val="between"/>
      </c:valAx>
      <c:spPr>
        <a:noFill/>
        <a:ln>
          <a:noFill/>
        </a:ln>
        <a:effectLst/>
      </c:spPr>
    </c:plotArea>
    <c:legend>
      <c:legendPos val="t"/>
      <c:layout>
        <c:manualLayout>
          <c:xMode val="edge"/>
          <c:yMode val="edge"/>
          <c:x val="0.61369919030266151"/>
          <c:y val="0.2394837334788282"/>
          <c:w val="0.36505970692254197"/>
          <c:h val="0.4618978368700897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PEM CAPEX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2020 model</c:v>
          </c:tx>
          <c:spPr>
            <a:ln w="19050" cap="rnd">
              <a:solidFill>
                <a:schemeClr val="accent1"/>
              </a:solidFill>
              <a:round/>
            </a:ln>
            <a:effectLst/>
          </c:spPr>
          <c:marker>
            <c:symbol val="none"/>
          </c:marker>
          <c:trendline>
            <c:spPr>
              <a:ln w="19050" cap="rnd">
                <a:solidFill>
                  <a:schemeClr val="accent1"/>
                </a:solidFill>
                <a:prstDash val="sysDot"/>
              </a:ln>
              <a:effectLst/>
            </c:spPr>
            <c:trendlineType val="power"/>
            <c:dispRSqr val="0"/>
            <c:dispEq val="0"/>
          </c:trendline>
          <c:xVal>
            <c:numRef>
              <c:f>cost_scaling_PEM!$B$30:$B$132</c:f>
              <c:numCache>
                <c:formatCode>General</c:formatCode>
                <c:ptCount val="10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300</c:v>
                </c:pt>
                <c:pt idx="101">
                  <c:v>600</c:v>
                </c:pt>
                <c:pt idx="102">
                  <c:v>1000</c:v>
                </c:pt>
              </c:numCache>
            </c:numRef>
          </c:xVal>
          <c:yVal>
            <c:numRef>
              <c:f>cost_scaling_PEM!$C$30:$C$132</c:f>
              <c:numCache>
                <c:formatCode>0.0</c:formatCode>
                <c:ptCount val="103"/>
                <c:pt idx="0">
                  <c:v>1553.1530051404648</c:v>
                </c:pt>
                <c:pt idx="1">
                  <c:v>1363.8241370512694</c:v>
                </c:pt>
                <c:pt idx="2">
                  <c:v>1281.6721577354472</c:v>
                </c:pt>
                <c:pt idx="3">
                  <c:v>1233.3391475095289</c:v>
                </c:pt>
                <c:pt idx="4">
                  <c:v>1200</c:v>
                </c:pt>
                <c:pt idx="5">
                  <c:v>1174.7962087094397</c:v>
                </c:pt>
                <c:pt idx="6">
                  <c:v>1154.6573304267579</c:v>
                </c:pt>
                <c:pt idx="7">
                  <c:v>1137.9791558015465</c:v>
                </c:pt>
                <c:pt idx="8">
                  <c:v>1123.8181259217401</c:v>
                </c:pt>
                <c:pt idx="9">
                  <c:v>1111.5686714789613</c:v>
                </c:pt>
                <c:pt idx="10">
                  <c:v>1100.8170802362185</c:v>
                </c:pt>
                <c:pt idx="11">
                  <c:v>1091.2676842643029</c:v>
                </c:pt>
                <c:pt idx="12">
                  <c:v>1082.701949366405</c:v>
                </c:pt>
                <c:pt idx="13">
                  <c:v>1074.9540494837038</c:v>
                </c:pt>
                <c:pt idx="14">
                  <c:v>1067.8954255196909</c:v>
                </c:pt>
                <c:pt idx="15">
                  <c:v>1061.4245901245954</c:v>
                </c:pt>
                <c:pt idx="16">
                  <c:v>1055.4601656987261</c:v>
                </c:pt>
                <c:pt idx="17">
                  <c:v>1049.9360001762197</c:v>
                </c:pt>
                <c:pt idx="18">
                  <c:v>1044.797662547523</c:v>
                </c:pt>
                <c:pt idx="19">
                  <c:v>1039.9998792023268</c:v>
                </c:pt>
                <c:pt idx="20">
                  <c:v>1035.5046262311039</c:v>
                </c:pt>
                <c:pt idx="21">
                  <c:v>1031.2796879776695</c:v>
                </c:pt>
                <c:pt idx="22">
                  <c:v>1027.2975527248959</c:v>
                </c:pt>
                <c:pt idx="23">
                  <c:v>1023.5345559508997</c:v>
                </c:pt>
                <c:pt idx="24">
                  <c:v>1019.9702079680389</c:v>
                </c:pt>
                <c:pt idx="25">
                  <c:v>1016.5866606725647</c:v>
                </c:pt>
                <c:pt idx="26">
                  <c:v>1013.3682805062406</c:v>
                </c:pt>
                <c:pt idx="27">
                  <c:v>1010.3013034081505</c:v>
                </c:pt>
                <c:pt idx="28">
                  <c:v>1007.3735537057594</c:v>
                </c:pt>
                <c:pt idx="29">
                  <c:v>1004.5742133406329</c:v>
                </c:pt>
                <c:pt idx="30">
                  <c:v>1001.8936310673157</c:v>
                </c:pt>
                <c:pt idx="31">
                  <c:v>999.32316365642851</c:v>
                </c:pt>
                <c:pt idx="32">
                  <c:v>996.85504291705672</c:v>
                </c:pt>
                <c:pt idx="33">
                  <c:v>994.48226369708289</c:v>
                </c:pt>
                <c:pt idx="34">
                  <c:v>992.19848904152377</c:v>
                </c:pt>
                <c:pt idx="35">
                  <c:v>989.99796947222512</c:v>
                </c:pt>
                <c:pt idx="36">
                  <c:v>987.87547395797765</c:v>
                </c:pt>
                <c:pt idx="37">
                  <c:v>985.82623061609229</c:v>
                </c:pt>
                <c:pt idx="38">
                  <c:v>983.84587555698658</c:v>
                </c:pt>
                <c:pt idx="39">
                  <c:v>981.93040857616984</c:v>
                </c:pt>
                <c:pt idx="40">
                  <c:v>980.07615463098898</c:v>
                </c:pt>
                <c:pt idx="41">
                  <c:v>978.27973022598974</c:v>
                </c:pt>
                <c:pt idx="42">
                  <c:v>976.53801398089092</c:v>
                </c:pt>
                <c:pt idx="43">
                  <c:v>974.84812077674019</c:v>
                </c:pt>
                <c:pt idx="44">
                  <c:v>973.20737897476079</c:v>
                </c:pt>
                <c:pt idx="45">
                  <c:v>971.61331028332393</c:v>
                </c:pt>
                <c:pt idx="46">
                  <c:v>970.06361191500218</c:v>
                </c:pt>
                <c:pt idx="47">
                  <c:v>968.55614073057325</c:v>
                </c:pt>
                <c:pt idx="48">
                  <c:v>967.08889911237316</c:v>
                </c:pt>
                <c:pt idx="49">
                  <c:v>965.66002234732798</c:v>
                </c:pt>
                <c:pt idx="50">
                  <c:v>964.26776733167162</c:v>
                </c:pt>
                <c:pt idx="51">
                  <c:v>962.91050243596953</c:v>
                </c:pt>
                <c:pt idx="52">
                  <c:v>961.58669839145875</c:v>
                </c:pt>
                <c:pt idx="53">
                  <c:v>960.29492007764929</c:v>
                </c:pt>
                <c:pt idx="54">
                  <c:v>959.03381910718338</c:v>
                </c:pt>
                <c:pt idx="55">
                  <c:v>957.80212711760794</c:v>
                </c:pt>
                <c:pt idx="56">
                  <c:v>956.59864969136459</c:v>
                </c:pt>
                <c:pt idx="57">
                  <c:v>955.42226083528226</c:v>
                </c:pt>
                <c:pt idx="58">
                  <c:v>954.27189795941081</c:v>
                </c:pt>
                <c:pt idx="59">
                  <c:v>953.14655730241168</c:v>
                </c:pt>
                <c:pt idx="60">
                  <c:v>952.04528975707433</c:v>
                </c:pt>
                <c:pt idx="61">
                  <c:v>950.96719705503006</c:v>
                </c:pt>
                <c:pt idx="62">
                  <c:v>949.91142827451745</c:v>
                </c:pt>
                <c:pt idx="63">
                  <c:v>948.87717663918818</c:v>
                </c:pt>
                <c:pt idx="64">
                  <c:v>947.86367657957123</c:v>
                </c:pt>
                <c:pt idx="65">
                  <c:v>946.8702010319688</c:v>
                </c:pt>
                <c:pt idx="66">
                  <c:v>945.89605895231966</c:v>
                </c:pt>
                <c:pt idx="67">
                  <c:v>944.94059302499625</c:v>
                </c:pt>
                <c:pt idx="68">
                  <c:v>944.00317754863033</c:v>
                </c:pt>
                <c:pt idx="69">
                  <c:v>943.0832164829427</c:v>
                </c:pt>
                <c:pt idx="70">
                  <c:v>942.18014164220767</c:v>
                </c:pt>
                <c:pt idx="71">
                  <c:v>941.29341102245098</c:v>
                </c:pt>
                <c:pt idx="72">
                  <c:v>940.42250725077042</c:v>
                </c:pt>
                <c:pt idx="73">
                  <c:v>939.56693614633195</c:v>
                </c:pt>
                <c:pt idx="74">
                  <c:v>938.72622538360304</c:v>
                </c:pt>
                <c:pt idx="75">
                  <c:v>937.89992324930574</c:v>
                </c:pt>
                <c:pt idx="76">
                  <c:v>937.0875974853825</c:v>
                </c:pt>
                <c:pt idx="77">
                  <c:v>936.28883421098612</c:v>
                </c:pt>
                <c:pt idx="78">
                  <c:v>935.50323691716596</c:v>
                </c:pt>
                <c:pt idx="79">
                  <c:v>934.73042552849029</c:v>
                </c:pt>
                <c:pt idx="80">
                  <c:v>933.97003552637705</c:v>
                </c:pt>
                <c:pt idx="81">
                  <c:v>933.22171712936517</c:v>
                </c:pt>
                <c:pt idx="82">
                  <c:v>932.48513452598559</c:v>
                </c:pt>
                <c:pt idx="83">
                  <c:v>931.75996515626684</c:v>
                </c:pt>
                <c:pt idx="84">
                  <c:v>931.04589903825342</c:v>
                </c:pt>
                <c:pt idx="85">
                  <c:v>930.34263813622294</c:v>
                </c:pt>
                <c:pt idx="86">
                  <c:v>929.64989576757091</c:v>
                </c:pt>
                <c:pt idx="87">
                  <c:v>928.96739604557911</c:v>
                </c:pt>
                <c:pt idx="88">
                  <c:v>928.29487335551744</c:v>
                </c:pt>
                <c:pt idx="89">
                  <c:v>927.63207186173724</c:v>
                </c:pt>
                <c:pt idx="90">
                  <c:v>926.97874504359493</c:v>
                </c:pt>
                <c:pt idx="91">
                  <c:v>926.33465525823124</c:v>
                </c:pt>
                <c:pt idx="92">
                  <c:v>925.69957332837191</c:v>
                </c:pt>
                <c:pt idx="93">
                  <c:v>925.07327815346946</c:v>
                </c:pt>
                <c:pt idx="94">
                  <c:v>924.45555634262973</c:v>
                </c:pt>
                <c:pt idx="95">
                  <c:v>923.84620186788936</c:v>
                </c:pt>
                <c:pt idx="96">
                  <c:v>923.2450157365148</c:v>
                </c:pt>
                <c:pt idx="97">
                  <c:v>922.65180568109577</c:v>
                </c:pt>
                <c:pt idx="98">
                  <c:v>922.06638586629879</c:v>
                </c:pt>
                <c:pt idx="99">
                  <c:v>921.48857661122122</c:v>
                </c:pt>
                <c:pt idx="100" formatCode="General">
                  <c:v>868</c:v>
                </c:pt>
                <c:pt idx="101" formatCode="General">
                  <c:v>841</c:v>
                </c:pt>
                <c:pt idx="102" formatCode="General">
                  <c:v>825</c:v>
                </c:pt>
              </c:numCache>
            </c:numRef>
          </c:yVal>
          <c:smooth val="1"/>
          <c:extLst>
            <c:ext xmlns:c16="http://schemas.microsoft.com/office/drawing/2014/chart" uri="{C3380CC4-5D6E-409C-BE32-E72D297353CC}">
              <c16:uniqueId val="{00000000-27A8-444F-A88B-7EE2E15DD5A9}"/>
            </c:ext>
          </c:extLst>
        </c:ser>
        <c:ser>
          <c:idx val="1"/>
          <c:order val="1"/>
          <c:tx>
            <c:v>2020 data</c:v>
          </c:tx>
          <c:spPr>
            <a:ln w="19050" cap="rnd">
              <a:solidFill>
                <a:schemeClr val="accent2"/>
              </a:solidFill>
              <a:round/>
            </a:ln>
            <a:effectLst/>
          </c:spPr>
          <c:marker>
            <c:symbol val="none"/>
          </c:marker>
          <c:trendline>
            <c:spPr>
              <a:ln w="19050" cap="rnd">
                <a:solidFill>
                  <a:schemeClr val="accent2"/>
                </a:solidFill>
                <a:prstDash val="sysDot"/>
              </a:ln>
              <a:effectLst/>
            </c:spPr>
            <c:trendlineType val="power"/>
            <c:forward val="900"/>
            <c:dispRSqr val="1"/>
            <c:dispEq val="1"/>
            <c:trendlineLbl>
              <c:layout>
                <c:manualLayout>
                  <c:x val="0.22515578602527378"/>
                  <c:y val="-0.2553813677813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#REF!</c:f>
            </c:numRef>
          </c:xVal>
          <c:yVal>
            <c:numRef>
              <c:f>#REF!</c:f>
              <c:numCache>
                <c:formatCode>General</c:formatCode>
                <c:ptCount val="1"/>
                <c:pt idx="0">
                  <c:v>1</c:v>
                </c:pt>
              </c:numCache>
            </c:numRef>
          </c:yVal>
          <c:smooth val="1"/>
          <c:extLst>
            <c:ext xmlns:c16="http://schemas.microsoft.com/office/drawing/2014/chart" uri="{C3380CC4-5D6E-409C-BE32-E72D297353CC}">
              <c16:uniqueId val="{00000001-27A8-444F-A88B-7EE2E15DD5A9}"/>
            </c:ext>
          </c:extLst>
        </c:ser>
        <c:ser>
          <c:idx val="2"/>
          <c:order val="2"/>
          <c:tx>
            <c:v>Large scale</c:v>
          </c:tx>
          <c:spPr>
            <a:ln w="19050" cap="rnd">
              <a:solidFill>
                <a:schemeClr val="accent3"/>
              </a:solidFill>
              <a:round/>
            </a:ln>
            <a:effectLst/>
          </c:spPr>
          <c:marker>
            <c:symbol val="circle"/>
            <c:size val="5"/>
            <c:spPr>
              <a:solidFill>
                <a:schemeClr val="accent1"/>
              </a:solidFill>
              <a:ln w="9525">
                <a:noFill/>
              </a:ln>
              <a:effectLst/>
            </c:spPr>
          </c:marker>
          <c:dPt>
            <c:idx val="0"/>
            <c:marker>
              <c:symbol val="circle"/>
              <c:size val="5"/>
              <c:spPr>
                <a:solidFill>
                  <a:schemeClr val="accent1"/>
                </a:solidFill>
                <a:ln w="9525">
                  <a:noFill/>
                </a:ln>
                <a:effectLst/>
              </c:spPr>
            </c:marker>
            <c:bubble3D val="0"/>
            <c:extLst>
              <c:ext xmlns:c16="http://schemas.microsoft.com/office/drawing/2014/chart" uri="{C3380CC4-5D6E-409C-BE32-E72D297353CC}">
                <c16:uniqueId val="{00000002-E210-EC4F-AA28-F9E107FE60E7}"/>
              </c:ext>
            </c:extLst>
          </c:dPt>
          <c:xVal>
            <c:numRef>
              <c:f>cost_scaling_PEM!$B$24</c:f>
              <c:numCache>
                <c:formatCode>General</c:formatCode>
                <c:ptCount val="1"/>
                <c:pt idx="0">
                  <c:v>1000</c:v>
                </c:pt>
              </c:numCache>
            </c:numRef>
          </c:xVal>
          <c:yVal>
            <c:numRef>
              <c:f>cost_scaling_PEM!$C$24</c:f>
              <c:numCache>
                <c:formatCode>General</c:formatCode>
                <c:ptCount val="1"/>
                <c:pt idx="0">
                  <c:v>825</c:v>
                </c:pt>
              </c:numCache>
            </c:numRef>
          </c:yVal>
          <c:smooth val="1"/>
          <c:extLst>
            <c:ext xmlns:c16="http://schemas.microsoft.com/office/drawing/2014/chart" uri="{C3380CC4-5D6E-409C-BE32-E72D297353CC}">
              <c16:uniqueId val="{00000007-27A8-444F-A88B-7EE2E15DD5A9}"/>
            </c:ext>
          </c:extLst>
        </c:ser>
        <c:dLbls>
          <c:showLegendKey val="0"/>
          <c:showVal val="0"/>
          <c:showCatName val="0"/>
          <c:showSerName val="0"/>
          <c:showPercent val="0"/>
          <c:showBubbleSize val="0"/>
        </c:dLbls>
        <c:axId val="865832584"/>
        <c:axId val="865830616"/>
      </c:scatterChart>
      <c:valAx>
        <c:axId val="865832584"/>
        <c:scaling>
          <c:orientation val="minMax"/>
          <c:max val="1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Nominal power [MW</a:t>
                </a:r>
                <a:r>
                  <a:rPr lang="en-GB" sz="800"/>
                  <a:t>el</a:t>
                </a:r>
                <a:r>
                  <a:rPr lang="en-GB"/>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0616"/>
        <c:crosses val="autoZero"/>
        <c:crossBetween val="midCat"/>
        <c:majorUnit val="100"/>
      </c:valAx>
      <c:valAx>
        <c:axId val="865830616"/>
        <c:scaling>
          <c:orientation val="minMax"/>
          <c:max val="1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CAPEX [EUR</a:t>
                </a:r>
                <a:r>
                  <a:rPr lang="en-GB" sz="600"/>
                  <a:t>2017</a:t>
                </a:r>
                <a:r>
                  <a:rPr lang="en-GB"/>
                  <a:t>/kW</a:t>
                </a:r>
                <a:r>
                  <a:rPr lang="en-GB" sz="600"/>
                  <a:t>el</a:t>
                </a: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32584"/>
        <c:crosses val="autoZero"/>
        <c:crossBetween val="midCat"/>
        <c:majorUnit val="2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PEM CAPEX</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smoothMarker"/>
        <c:varyColors val="0"/>
        <c:ser>
          <c:idx val="0"/>
          <c:order val="0"/>
          <c:tx>
            <c:v>model used</c:v>
          </c:tx>
          <c:spPr>
            <a:ln w="19050" cap="rnd">
              <a:solidFill>
                <a:schemeClr val="accent1"/>
              </a:solidFill>
              <a:round/>
            </a:ln>
            <a:effectLst/>
          </c:spPr>
          <c:marker>
            <c:symbol val="none"/>
          </c:marker>
          <c:xVal>
            <c:numRef>
              <c:f>cost_scaling_PEM!$B$30:$B$132</c:f>
              <c:numCache>
                <c:formatCode>General</c:formatCode>
                <c:ptCount val="10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300</c:v>
                </c:pt>
                <c:pt idx="101">
                  <c:v>600</c:v>
                </c:pt>
                <c:pt idx="102">
                  <c:v>1000</c:v>
                </c:pt>
              </c:numCache>
            </c:numRef>
          </c:xVal>
          <c:yVal>
            <c:numRef>
              <c:f>cost_scaling_PEM!$C$30:$C$132</c:f>
              <c:numCache>
                <c:formatCode>0.0</c:formatCode>
                <c:ptCount val="103"/>
                <c:pt idx="0">
                  <c:v>1553.1530051404648</c:v>
                </c:pt>
                <c:pt idx="1">
                  <c:v>1363.8241370512694</c:v>
                </c:pt>
                <c:pt idx="2">
                  <c:v>1281.6721577354472</c:v>
                </c:pt>
                <c:pt idx="3">
                  <c:v>1233.3391475095289</c:v>
                </c:pt>
                <c:pt idx="4">
                  <c:v>1200</c:v>
                </c:pt>
                <c:pt idx="5">
                  <c:v>1174.7962087094397</c:v>
                </c:pt>
                <c:pt idx="6">
                  <c:v>1154.6573304267579</c:v>
                </c:pt>
                <c:pt idx="7">
                  <c:v>1137.9791558015465</c:v>
                </c:pt>
                <c:pt idx="8">
                  <c:v>1123.8181259217401</c:v>
                </c:pt>
                <c:pt idx="9">
                  <c:v>1111.5686714789613</c:v>
                </c:pt>
                <c:pt idx="10">
                  <c:v>1100.8170802362185</c:v>
                </c:pt>
                <c:pt idx="11">
                  <c:v>1091.2676842643029</c:v>
                </c:pt>
                <c:pt idx="12">
                  <c:v>1082.701949366405</c:v>
                </c:pt>
                <c:pt idx="13">
                  <c:v>1074.9540494837038</c:v>
                </c:pt>
                <c:pt idx="14">
                  <c:v>1067.8954255196909</c:v>
                </c:pt>
                <c:pt idx="15">
                  <c:v>1061.4245901245954</c:v>
                </c:pt>
                <c:pt idx="16">
                  <c:v>1055.4601656987261</c:v>
                </c:pt>
                <c:pt idx="17">
                  <c:v>1049.9360001762197</c:v>
                </c:pt>
                <c:pt idx="18">
                  <c:v>1044.797662547523</c:v>
                </c:pt>
                <c:pt idx="19">
                  <c:v>1039.9998792023268</c:v>
                </c:pt>
                <c:pt idx="20">
                  <c:v>1035.5046262311039</c:v>
                </c:pt>
                <c:pt idx="21">
                  <c:v>1031.2796879776695</c:v>
                </c:pt>
                <c:pt idx="22">
                  <c:v>1027.2975527248959</c:v>
                </c:pt>
                <c:pt idx="23">
                  <c:v>1023.5345559508997</c:v>
                </c:pt>
                <c:pt idx="24">
                  <c:v>1019.9702079680389</c:v>
                </c:pt>
                <c:pt idx="25">
                  <c:v>1016.5866606725647</c:v>
                </c:pt>
                <c:pt idx="26">
                  <c:v>1013.3682805062406</c:v>
                </c:pt>
                <c:pt idx="27">
                  <c:v>1010.3013034081505</c:v>
                </c:pt>
                <c:pt idx="28">
                  <c:v>1007.3735537057594</c:v>
                </c:pt>
                <c:pt idx="29">
                  <c:v>1004.5742133406329</c:v>
                </c:pt>
                <c:pt idx="30">
                  <c:v>1001.8936310673157</c:v>
                </c:pt>
                <c:pt idx="31">
                  <c:v>999.32316365642851</c:v>
                </c:pt>
                <c:pt idx="32">
                  <c:v>996.85504291705672</c:v>
                </c:pt>
                <c:pt idx="33">
                  <c:v>994.48226369708289</c:v>
                </c:pt>
                <c:pt idx="34">
                  <c:v>992.19848904152377</c:v>
                </c:pt>
                <c:pt idx="35">
                  <c:v>989.99796947222512</c:v>
                </c:pt>
                <c:pt idx="36">
                  <c:v>987.87547395797765</c:v>
                </c:pt>
                <c:pt idx="37">
                  <c:v>985.82623061609229</c:v>
                </c:pt>
                <c:pt idx="38">
                  <c:v>983.84587555698658</c:v>
                </c:pt>
                <c:pt idx="39">
                  <c:v>981.93040857616984</c:v>
                </c:pt>
                <c:pt idx="40">
                  <c:v>980.07615463098898</c:v>
                </c:pt>
                <c:pt idx="41">
                  <c:v>978.27973022598974</c:v>
                </c:pt>
                <c:pt idx="42">
                  <c:v>976.53801398089092</c:v>
                </c:pt>
                <c:pt idx="43">
                  <c:v>974.84812077674019</c:v>
                </c:pt>
                <c:pt idx="44">
                  <c:v>973.20737897476079</c:v>
                </c:pt>
                <c:pt idx="45">
                  <c:v>971.61331028332393</c:v>
                </c:pt>
                <c:pt idx="46">
                  <c:v>970.06361191500218</c:v>
                </c:pt>
                <c:pt idx="47">
                  <c:v>968.55614073057325</c:v>
                </c:pt>
                <c:pt idx="48">
                  <c:v>967.08889911237316</c:v>
                </c:pt>
                <c:pt idx="49">
                  <c:v>965.66002234732798</c:v>
                </c:pt>
                <c:pt idx="50">
                  <c:v>964.26776733167162</c:v>
                </c:pt>
                <c:pt idx="51">
                  <c:v>962.91050243596953</c:v>
                </c:pt>
                <c:pt idx="52">
                  <c:v>961.58669839145875</c:v>
                </c:pt>
                <c:pt idx="53">
                  <c:v>960.29492007764929</c:v>
                </c:pt>
                <c:pt idx="54">
                  <c:v>959.03381910718338</c:v>
                </c:pt>
                <c:pt idx="55">
                  <c:v>957.80212711760794</c:v>
                </c:pt>
                <c:pt idx="56">
                  <c:v>956.59864969136459</c:v>
                </c:pt>
                <c:pt idx="57">
                  <c:v>955.42226083528226</c:v>
                </c:pt>
                <c:pt idx="58">
                  <c:v>954.27189795941081</c:v>
                </c:pt>
                <c:pt idx="59">
                  <c:v>953.14655730241168</c:v>
                </c:pt>
                <c:pt idx="60">
                  <c:v>952.04528975707433</c:v>
                </c:pt>
                <c:pt idx="61">
                  <c:v>950.96719705503006</c:v>
                </c:pt>
                <c:pt idx="62">
                  <c:v>949.91142827451745</c:v>
                </c:pt>
                <c:pt idx="63">
                  <c:v>948.87717663918818</c:v>
                </c:pt>
                <c:pt idx="64">
                  <c:v>947.86367657957123</c:v>
                </c:pt>
                <c:pt idx="65">
                  <c:v>946.8702010319688</c:v>
                </c:pt>
                <c:pt idx="66">
                  <c:v>945.89605895231966</c:v>
                </c:pt>
                <c:pt idx="67">
                  <c:v>944.94059302499625</c:v>
                </c:pt>
                <c:pt idx="68">
                  <c:v>944.00317754863033</c:v>
                </c:pt>
                <c:pt idx="69">
                  <c:v>943.0832164829427</c:v>
                </c:pt>
                <c:pt idx="70">
                  <c:v>942.18014164220767</c:v>
                </c:pt>
                <c:pt idx="71">
                  <c:v>941.29341102245098</c:v>
                </c:pt>
                <c:pt idx="72">
                  <c:v>940.42250725077042</c:v>
                </c:pt>
                <c:pt idx="73">
                  <c:v>939.56693614633195</c:v>
                </c:pt>
                <c:pt idx="74">
                  <c:v>938.72622538360304</c:v>
                </c:pt>
                <c:pt idx="75">
                  <c:v>937.89992324930574</c:v>
                </c:pt>
                <c:pt idx="76">
                  <c:v>937.0875974853825</c:v>
                </c:pt>
                <c:pt idx="77">
                  <c:v>936.28883421098612</c:v>
                </c:pt>
                <c:pt idx="78">
                  <c:v>935.50323691716596</c:v>
                </c:pt>
                <c:pt idx="79">
                  <c:v>934.73042552849029</c:v>
                </c:pt>
                <c:pt idx="80">
                  <c:v>933.97003552637705</c:v>
                </c:pt>
                <c:pt idx="81">
                  <c:v>933.22171712936517</c:v>
                </c:pt>
                <c:pt idx="82">
                  <c:v>932.48513452598559</c:v>
                </c:pt>
                <c:pt idx="83">
                  <c:v>931.75996515626684</c:v>
                </c:pt>
                <c:pt idx="84">
                  <c:v>931.04589903825342</c:v>
                </c:pt>
                <c:pt idx="85">
                  <c:v>930.34263813622294</c:v>
                </c:pt>
                <c:pt idx="86">
                  <c:v>929.64989576757091</c:v>
                </c:pt>
                <c:pt idx="87">
                  <c:v>928.96739604557911</c:v>
                </c:pt>
                <c:pt idx="88">
                  <c:v>928.29487335551744</c:v>
                </c:pt>
                <c:pt idx="89">
                  <c:v>927.63207186173724</c:v>
                </c:pt>
                <c:pt idx="90">
                  <c:v>926.97874504359493</c:v>
                </c:pt>
                <c:pt idx="91">
                  <c:v>926.33465525823124</c:v>
                </c:pt>
                <c:pt idx="92">
                  <c:v>925.69957332837191</c:v>
                </c:pt>
                <c:pt idx="93">
                  <c:v>925.07327815346946</c:v>
                </c:pt>
                <c:pt idx="94">
                  <c:v>924.45555634262973</c:v>
                </c:pt>
                <c:pt idx="95">
                  <c:v>923.84620186788936</c:v>
                </c:pt>
                <c:pt idx="96">
                  <c:v>923.2450157365148</c:v>
                </c:pt>
                <c:pt idx="97">
                  <c:v>922.65180568109577</c:v>
                </c:pt>
                <c:pt idx="98">
                  <c:v>922.06638586629879</c:v>
                </c:pt>
                <c:pt idx="99">
                  <c:v>921.48857661122122</c:v>
                </c:pt>
                <c:pt idx="100" formatCode="General">
                  <c:v>868</c:v>
                </c:pt>
                <c:pt idx="101" formatCode="General">
                  <c:v>841</c:v>
                </c:pt>
                <c:pt idx="102" formatCode="General">
                  <c:v>825</c:v>
                </c:pt>
              </c:numCache>
            </c:numRef>
          </c:yVal>
          <c:smooth val="1"/>
          <c:extLst>
            <c:ext xmlns:c16="http://schemas.microsoft.com/office/drawing/2014/chart" uri="{C3380CC4-5D6E-409C-BE32-E72D297353CC}">
              <c16:uniqueId val="{00000000-5038-D443-8AE7-D7608727B560}"/>
            </c:ext>
          </c:extLst>
        </c:ser>
        <c:ser>
          <c:idx val="1"/>
          <c:order val="1"/>
          <c:tx>
            <c:v>power law</c:v>
          </c:tx>
          <c:spPr>
            <a:ln w="19050" cap="rnd">
              <a:solidFill>
                <a:schemeClr val="accent2"/>
              </a:solidFill>
              <a:round/>
            </a:ln>
            <a:effectLst/>
          </c:spPr>
          <c:marker>
            <c:symbol val="none"/>
          </c:marker>
          <c:xVal>
            <c:numRef>
              <c:f>cost_scaling_PEM!$B$30:$B$132</c:f>
              <c:numCache>
                <c:formatCode>General</c:formatCode>
                <c:ptCount val="10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300</c:v>
                </c:pt>
                <c:pt idx="101">
                  <c:v>600</c:v>
                </c:pt>
                <c:pt idx="102">
                  <c:v>1000</c:v>
                </c:pt>
              </c:numCache>
            </c:numRef>
          </c:xVal>
          <c:yVal>
            <c:numRef>
              <c:f>cost_scaling_PEM!$D$30:$D$132</c:f>
              <c:numCache>
                <c:formatCode>General</c:formatCode>
                <c:ptCount val="103"/>
                <c:pt idx="0">
                  <c:v>1413.4</c:v>
                </c:pt>
                <c:pt idx="1">
                  <c:v>1324.2447730094862</c:v>
                </c:pt>
                <c:pt idx="2">
                  <c:v>1274.7226099789918</c:v>
                </c:pt>
                <c:pt idx="3">
                  <c:v>1240.7133287412946</c:v>
                </c:pt>
                <c:pt idx="4">
                  <c:v>1214.9597947518846</c:v>
                </c:pt>
                <c:pt idx="5">
                  <c:v>1194.3149521025118</c:v>
                </c:pt>
                <c:pt idx="6">
                  <c:v>1177.1339113588733</c:v>
                </c:pt>
                <c:pt idx="7">
                  <c:v>1162.4509271181971</c:v>
                </c:pt>
                <c:pt idx="8">
                  <c:v>1149.651713875515</c:v>
                </c:pt>
                <c:pt idx="9">
                  <c:v>1138.3218887907608</c:v>
                </c:pt>
                <c:pt idx="10">
                  <c:v>1128.1690328105019</c:v>
                </c:pt>
                <c:pt idx="11">
                  <c:v>1118.9792929452567</c:v>
                </c:pt>
                <c:pt idx="12">
                  <c:v>1110.5916703622731</c:v>
                </c:pt>
                <c:pt idx="13">
                  <c:v>1102.8820073929533</c:v>
                </c:pt>
                <c:pt idx="14">
                  <c:v>1095.7525969899973</c:v>
                </c:pt>
                <c:pt idx="15">
                  <c:v>1089.1252045537738</c:v>
                </c:pt>
                <c:pt idx="16">
                  <c:v>1082.9362423252048</c:v>
                </c:pt>
                <c:pt idx="17">
                  <c:v>1077.1333471636115</c:v>
                </c:pt>
                <c:pt idx="18">
                  <c:v>1071.6728997247824</c:v>
                </c:pt>
                <c:pt idx="19">
                  <c:v>1066.5181910523918</c:v>
                </c:pt>
                <c:pt idx="20">
                  <c:v>1061.6380442777431</c:v>
                </c:pt>
                <c:pt idx="21">
                  <c:v>1057.0057625374802</c:v>
                </c:pt>
                <c:pt idx="22">
                  <c:v>1052.5983148305743</c:v>
                </c:pt>
                <c:pt idx="23">
                  <c:v>1048.3956981665538</c:v>
                </c:pt>
                <c:pt idx="24">
                  <c:v>1044.3804321943833</c:v>
                </c:pt>
                <c:pt idx="25">
                  <c:v>1040.5371546802849</c:v>
                </c:pt>
                <c:pt idx="26">
                  <c:v>1036.8522946640849</c:v>
                </c:pt>
                <c:pt idx="27">
                  <c:v>1033.3138060961708</c:v>
                </c:pt>
                <c:pt idx="28">
                  <c:v>1029.9109490345468</c:v>
                </c:pt>
                <c:pt idx="29">
                  <c:v>1026.6341085860863</c:v>
                </c:pt>
                <c:pt idx="30">
                  <c:v>1023.4746440573366</c:v>
                </c:pt>
                <c:pt idx="31">
                  <c:v>1020.424762475748</c:v>
                </c:pt>
                <c:pt idx="32">
                  <c:v>1017.4774119157194</c:v>
                </c:pt>
                <c:pt idx="33">
                  <c:v>1014.6261910299185</c:v>
                </c:pt>
                <c:pt idx="34">
                  <c:v>1011.8652719258948</c:v>
                </c:pt>
                <c:pt idx="35">
                  <c:v>1009.1893340990694</c:v>
                </c:pt>
                <c:pt idx="36">
                  <c:v>1006.5935075777062</c:v>
                </c:pt>
                <c:pt idx="37">
                  <c:v>1004.0733237841109</c:v>
                </c:pt>
                <c:pt idx="38">
                  <c:v>1001.6246728916974</c:v>
                </c:pt>
                <c:pt idx="39">
                  <c:v>999.24376667656895</c:v>
                </c:pt>
                <c:pt idx="40">
                  <c:v>996.92710603752562</c:v>
                </c:pt>
                <c:pt idx="41">
                  <c:v>994.67145249951523</c:v>
                </c:pt>
                <c:pt idx="42">
                  <c:v>992.47380312979908</c:v>
                </c:pt>
                <c:pt idx="43">
                  <c:v>990.33136838910741</c:v>
                </c:pt>
                <c:pt idx="44">
                  <c:v>988.24155251616514</c:v>
                </c:pt>
                <c:pt idx="45">
                  <c:v>986.20193610653871</c:v>
                </c:pt>
                <c:pt idx="46">
                  <c:v>984.21026059844212</c:v>
                </c:pt>
                <c:pt idx="47">
                  <c:v>982.26441442103419</c:v>
                </c:pt>
                <c:pt idx="48">
                  <c:v>980.36242059646247</c:v>
                </c:pt>
                <c:pt idx="49">
                  <c:v>978.5024256168108</c:v>
                </c:pt>
                <c:pt idx="50">
                  <c:v>976.68268944221518</c:v>
                </c:pt>
                <c:pt idx="51">
                  <c:v>974.90157648756929</c:v>
                </c:pt>
                <c:pt idx="52">
                  <c:v>973.15754748314714</c:v>
                </c:pt>
                <c:pt idx="53">
                  <c:v>971.44915210966894</c:v>
                </c:pt>
                <c:pt idx="54">
                  <c:v>969.77502232126733</c:v>
                </c:pt>
                <c:pt idx="55">
                  <c:v>968.13386628087733</c:v>
                </c:pt>
                <c:pt idx="56">
                  <c:v>966.52446284203256</c:v>
                </c:pt>
                <c:pt idx="57">
                  <c:v>964.94565651920061</c:v>
                </c:pt>
                <c:pt idx="58">
                  <c:v>963.39635289579326</c:v>
                </c:pt>
                <c:pt idx="59">
                  <c:v>961.87551442505878</c:v>
                </c:pt>
                <c:pt idx="60">
                  <c:v>960.38215658430079</c:v>
                </c:pt>
                <c:pt idx="61">
                  <c:v>958.91534434744062</c:v>
                </c:pt>
                <c:pt idx="62">
                  <c:v>957.47418894489704</c:v>
                </c:pt>
                <c:pt idx="63">
                  <c:v>956.05784488322911</c:v>
                </c:pt>
                <c:pt idx="64">
                  <c:v>954.66550720001396</c:v>
                </c:pt>
                <c:pt idx="65">
                  <c:v>953.29640893208659</c:v>
                </c:pt>
                <c:pt idx="66">
                  <c:v>951.94981877759824</c:v>
                </c:pt>
                <c:pt idx="67">
                  <c:v>950.6250389344093</c:v>
                </c:pt>
                <c:pt idx="68">
                  <c:v>949.32140309913564</c:v>
                </c:pt>
                <c:pt idx="69">
                  <c:v>948.03827461276967</c:v>
                </c:pt>
                <c:pt idx="70">
                  <c:v>946.77504474021396</c:v>
                </c:pt>
                <c:pt idx="71">
                  <c:v>945.53113107231968</c:v>
                </c:pt>
                <c:pt idx="72">
                  <c:v>944.30597604013963</c:v>
                </c:pt>
                <c:pt idx="73">
                  <c:v>943.09904553209424</c:v>
                </c:pt>
                <c:pt idx="74">
                  <c:v>941.90982760564009</c:v>
                </c:pt>
                <c:pt idx="75">
                  <c:v>940.73783128581454</c:v>
                </c:pt>
                <c:pt idx="76">
                  <c:v>939.58258544374064</c:v>
                </c:pt>
                <c:pt idx="77">
                  <c:v>938.44363774880901</c:v>
                </c:pt>
                <c:pt idx="78">
                  <c:v>937.32055368881709</c:v>
                </c:pt>
                <c:pt idx="79">
                  <c:v>936.21291565286344</c:v>
                </c:pt>
                <c:pt idx="80">
                  <c:v>935.12032207224354</c:v>
                </c:pt>
                <c:pt idx="81">
                  <c:v>934.04238661501859</c:v>
                </c:pt>
                <c:pt idx="82">
                  <c:v>932.97873743028742</c:v>
                </c:pt>
                <c:pt idx="83">
                  <c:v>931.92901643854293</c:v>
                </c:pt>
                <c:pt idx="84">
                  <c:v>930.8928786647856</c:v>
                </c:pt>
                <c:pt idx="85">
                  <c:v>929.8699916113502</c:v>
                </c:pt>
                <c:pt idx="86">
                  <c:v>928.86003466765101</c:v>
                </c:pt>
                <c:pt idx="87">
                  <c:v>927.86269855427156</c:v>
                </c:pt>
                <c:pt idx="88">
                  <c:v>926.87768479903775</c:v>
                </c:pt>
                <c:pt idx="89">
                  <c:v>925.90470524289765</c:v>
                </c:pt>
                <c:pt idx="90">
                  <c:v>924.94348157360048</c:v>
                </c:pt>
                <c:pt idx="91">
                  <c:v>923.99374488532544</c:v>
                </c:pt>
                <c:pt idx="92">
                  <c:v>923.05523526254979</c:v>
                </c:pt>
                <c:pt idx="93">
                  <c:v>922.12770138657925</c:v>
                </c:pt>
                <c:pt idx="94">
                  <c:v>921.21090016327878</c:v>
                </c:pt>
                <c:pt idx="95">
                  <c:v>920.3045963706511</c:v>
                </c:pt>
                <c:pt idx="96">
                  <c:v>919.40856232501051</c:v>
                </c:pt>
                <c:pt idx="97">
                  <c:v>918.52257756459073</c:v>
                </c:pt>
                <c:pt idx="98">
                  <c:v>917.64642854950864</c:v>
                </c:pt>
                <c:pt idx="99">
                  <c:v>916.77990837708012</c:v>
                </c:pt>
                <c:pt idx="100">
                  <c:v>826.8289780548555</c:v>
                </c:pt>
                <c:pt idx="101">
                  <c:v>774.67380243520404</c:v>
                </c:pt>
                <c:pt idx="102">
                  <c:v>738.35477353135593</c:v>
                </c:pt>
              </c:numCache>
            </c:numRef>
          </c:yVal>
          <c:smooth val="1"/>
          <c:extLst>
            <c:ext xmlns:c16="http://schemas.microsoft.com/office/drawing/2014/chart" uri="{C3380CC4-5D6E-409C-BE32-E72D297353CC}">
              <c16:uniqueId val="{0000006B-5038-D443-8AE7-D7608727B560}"/>
            </c:ext>
          </c:extLst>
        </c:ser>
        <c:dLbls>
          <c:showLegendKey val="0"/>
          <c:showVal val="0"/>
          <c:showCatName val="0"/>
          <c:showSerName val="0"/>
          <c:showPercent val="0"/>
          <c:showBubbleSize val="0"/>
        </c:dLbls>
        <c:axId val="865832584"/>
        <c:axId val="865830616"/>
      </c:scatterChart>
      <c:valAx>
        <c:axId val="865832584"/>
        <c:scaling>
          <c:orientation val="minMax"/>
          <c:max val="1000"/>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Nominal power [MWel]</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5830616"/>
        <c:crosses val="autoZero"/>
        <c:crossBetween val="midCat"/>
        <c:majorUnit val="200"/>
      </c:valAx>
      <c:valAx>
        <c:axId val="865830616"/>
        <c:scaling>
          <c:orientation val="minMax"/>
          <c:max val="1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a:t>CAPEX [EUR2017/kWel]</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5832584"/>
        <c:crosses val="autoZero"/>
        <c:crossBetween val="midCat"/>
        <c:majorUnit val="250"/>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1.7335520559930009E-2"/>
                  <c:y val="7.19849081364828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cost_scaling_MTS!$C$8:$C$10</c:f>
              <c:numCache>
                <c:formatCode>General</c:formatCode>
                <c:ptCount val="3"/>
                <c:pt idx="0">
                  <c:v>5</c:v>
                </c:pt>
                <c:pt idx="1">
                  <c:v>50</c:v>
                </c:pt>
                <c:pt idx="2">
                  <c:v>200</c:v>
                </c:pt>
              </c:numCache>
            </c:numRef>
          </c:xVal>
          <c:yVal>
            <c:numRef>
              <c:f>cost_scaling_MTS!$J$8:$J$10</c:f>
              <c:numCache>
                <c:formatCode>General</c:formatCode>
                <c:ptCount val="3"/>
                <c:pt idx="0">
                  <c:v>1000</c:v>
                </c:pt>
                <c:pt idx="1">
                  <c:v>500</c:v>
                </c:pt>
                <c:pt idx="2">
                  <c:v>300</c:v>
                </c:pt>
              </c:numCache>
            </c:numRef>
          </c:yVal>
          <c:smooth val="0"/>
          <c:extLst>
            <c:ext xmlns:c16="http://schemas.microsoft.com/office/drawing/2014/chart" uri="{C3380CC4-5D6E-409C-BE32-E72D297353CC}">
              <c16:uniqueId val="{00000000-3A6D-4E74-9BAE-C6CFB5B90384}"/>
            </c:ext>
          </c:extLst>
        </c:ser>
        <c:dLbls>
          <c:showLegendKey val="0"/>
          <c:showVal val="0"/>
          <c:showCatName val="0"/>
          <c:showSerName val="0"/>
          <c:showPercent val="0"/>
          <c:showBubbleSize val="0"/>
        </c:dLbls>
        <c:axId val="859543232"/>
        <c:axId val="859547496"/>
      </c:scatterChart>
      <c:valAx>
        <c:axId val="85954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47496"/>
        <c:crosses val="autoZero"/>
        <c:crossBetween val="midCat"/>
      </c:valAx>
      <c:valAx>
        <c:axId val="859547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43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Capex Scaling DAC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Solid Sorbent</c:v>
          </c:tx>
          <c:spPr>
            <a:ln w="19050" cap="rnd">
              <a:noFill/>
              <a:round/>
            </a:ln>
            <a:effectLst/>
          </c:spPr>
          <c:marker>
            <c:symbol val="circle"/>
            <c:size val="4"/>
            <c:spPr>
              <a:noFill/>
              <a:ln w="3175">
                <a:solidFill>
                  <a:schemeClr val="accent1">
                    <a:alpha val="50000"/>
                  </a:schemeClr>
                </a:solidFill>
              </a:ln>
              <a:effectLst/>
            </c:spPr>
          </c:marker>
          <c:xVal>
            <c:numRef>
              <c:f>cost_scaling_DAC!$F$77:$F$576</c:f>
              <c:numCache>
                <c:formatCode>General</c:formatCode>
                <c:ptCount val="500"/>
                <c:pt idx="0">
                  <c:v>2000</c:v>
                </c:pt>
                <c:pt idx="1">
                  <c:v>4000</c:v>
                </c:pt>
                <c:pt idx="2">
                  <c:v>6000</c:v>
                </c:pt>
                <c:pt idx="3">
                  <c:v>8000</c:v>
                </c:pt>
                <c:pt idx="4">
                  <c:v>10000</c:v>
                </c:pt>
                <c:pt idx="5">
                  <c:v>12000</c:v>
                </c:pt>
                <c:pt idx="6">
                  <c:v>14000</c:v>
                </c:pt>
                <c:pt idx="7">
                  <c:v>16000</c:v>
                </c:pt>
                <c:pt idx="8">
                  <c:v>18000</c:v>
                </c:pt>
                <c:pt idx="9">
                  <c:v>20000</c:v>
                </c:pt>
                <c:pt idx="10">
                  <c:v>22000</c:v>
                </c:pt>
                <c:pt idx="11">
                  <c:v>24000</c:v>
                </c:pt>
                <c:pt idx="12">
                  <c:v>26000</c:v>
                </c:pt>
                <c:pt idx="13">
                  <c:v>28000</c:v>
                </c:pt>
                <c:pt idx="14">
                  <c:v>30000</c:v>
                </c:pt>
                <c:pt idx="15">
                  <c:v>32000</c:v>
                </c:pt>
                <c:pt idx="16">
                  <c:v>34000</c:v>
                </c:pt>
                <c:pt idx="17">
                  <c:v>36000</c:v>
                </c:pt>
                <c:pt idx="18">
                  <c:v>38000</c:v>
                </c:pt>
                <c:pt idx="19">
                  <c:v>40000</c:v>
                </c:pt>
                <c:pt idx="20">
                  <c:v>42000</c:v>
                </c:pt>
                <c:pt idx="21">
                  <c:v>44000</c:v>
                </c:pt>
                <c:pt idx="22">
                  <c:v>46000</c:v>
                </c:pt>
                <c:pt idx="23">
                  <c:v>48000</c:v>
                </c:pt>
                <c:pt idx="24">
                  <c:v>50000</c:v>
                </c:pt>
                <c:pt idx="25">
                  <c:v>52000</c:v>
                </c:pt>
                <c:pt idx="26">
                  <c:v>54000</c:v>
                </c:pt>
                <c:pt idx="27">
                  <c:v>56000</c:v>
                </c:pt>
                <c:pt idx="28">
                  <c:v>58000</c:v>
                </c:pt>
                <c:pt idx="29">
                  <c:v>60000</c:v>
                </c:pt>
                <c:pt idx="30">
                  <c:v>62000</c:v>
                </c:pt>
                <c:pt idx="31">
                  <c:v>64000</c:v>
                </c:pt>
                <c:pt idx="32">
                  <c:v>66000</c:v>
                </c:pt>
                <c:pt idx="33">
                  <c:v>68000</c:v>
                </c:pt>
                <c:pt idx="34">
                  <c:v>70000</c:v>
                </c:pt>
                <c:pt idx="35">
                  <c:v>72000</c:v>
                </c:pt>
                <c:pt idx="36">
                  <c:v>74000</c:v>
                </c:pt>
                <c:pt idx="37">
                  <c:v>76000</c:v>
                </c:pt>
                <c:pt idx="38">
                  <c:v>78000</c:v>
                </c:pt>
                <c:pt idx="39">
                  <c:v>80000</c:v>
                </c:pt>
                <c:pt idx="40">
                  <c:v>82000</c:v>
                </c:pt>
                <c:pt idx="41">
                  <c:v>84000</c:v>
                </c:pt>
                <c:pt idx="42">
                  <c:v>86000</c:v>
                </c:pt>
                <c:pt idx="43">
                  <c:v>88000</c:v>
                </c:pt>
                <c:pt idx="44">
                  <c:v>90000</c:v>
                </c:pt>
                <c:pt idx="45">
                  <c:v>92000</c:v>
                </c:pt>
                <c:pt idx="46">
                  <c:v>94000</c:v>
                </c:pt>
                <c:pt idx="47">
                  <c:v>96000</c:v>
                </c:pt>
                <c:pt idx="48">
                  <c:v>98000</c:v>
                </c:pt>
                <c:pt idx="49">
                  <c:v>100000</c:v>
                </c:pt>
                <c:pt idx="50">
                  <c:v>102000</c:v>
                </c:pt>
                <c:pt idx="51">
                  <c:v>104000</c:v>
                </c:pt>
                <c:pt idx="52">
                  <c:v>106000</c:v>
                </c:pt>
                <c:pt idx="53">
                  <c:v>108000</c:v>
                </c:pt>
                <c:pt idx="54">
                  <c:v>110000</c:v>
                </c:pt>
                <c:pt idx="55">
                  <c:v>112000</c:v>
                </c:pt>
                <c:pt idx="56">
                  <c:v>114000</c:v>
                </c:pt>
                <c:pt idx="57">
                  <c:v>116000</c:v>
                </c:pt>
                <c:pt idx="58">
                  <c:v>118000</c:v>
                </c:pt>
                <c:pt idx="59">
                  <c:v>120000</c:v>
                </c:pt>
                <c:pt idx="60">
                  <c:v>122000</c:v>
                </c:pt>
                <c:pt idx="61">
                  <c:v>124000</c:v>
                </c:pt>
                <c:pt idx="62">
                  <c:v>126000</c:v>
                </c:pt>
                <c:pt idx="63">
                  <c:v>128000</c:v>
                </c:pt>
                <c:pt idx="64">
                  <c:v>130000</c:v>
                </c:pt>
                <c:pt idx="65">
                  <c:v>132000</c:v>
                </c:pt>
                <c:pt idx="66">
                  <c:v>134000</c:v>
                </c:pt>
                <c:pt idx="67">
                  <c:v>136000</c:v>
                </c:pt>
                <c:pt idx="68">
                  <c:v>138000</c:v>
                </c:pt>
                <c:pt idx="69">
                  <c:v>140000</c:v>
                </c:pt>
                <c:pt idx="70">
                  <c:v>142000</c:v>
                </c:pt>
                <c:pt idx="71">
                  <c:v>144000</c:v>
                </c:pt>
                <c:pt idx="72">
                  <c:v>146000</c:v>
                </c:pt>
                <c:pt idx="73">
                  <c:v>148000</c:v>
                </c:pt>
                <c:pt idx="74">
                  <c:v>150000</c:v>
                </c:pt>
                <c:pt idx="75">
                  <c:v>152000</c:v>
                </c:pt>
                <c:pt idx="76">
                  <c:v>154000</c:v>
                </c:pt>
                <c:pt idx="77">
                  <c:v>156000</c:v>
                </c:pt>
                <c:pt idx="78">
                  <c:v>158000</c:v>
                </c:pt>
                <c:pt idx="79">
                  <c:v>160000</c:v>
                </c:pt>
                <c:pt idx="80">
                  <c:v>162000</c:v>
                </c:pt>
                <c:pt idx="81">
                  <c:v>164000</c:v>
                </c:pt>
                <c:pt idx="82">
                  <c:v>166000</c:v>
                </c:pt>
                <c:pt idx="83">
                  <c:v>168000</c:v>
                </c:pt>
                <c:pt idx="84">
                  <c:v>170000</c:v>
                </c:pt>
                <c:pt idx="85">
                  <c:v>172000</c:v>
                </c:pt>
                <c:pt idx="86">
                  <c:v>174000</c:v>
                </c:pt>
                <c:pt idx="87">
                  <c:v>176000</c:v>
                </c:pt>
                <c:pt idx="88">
                  <c:v>178000</c:v>
                </c:pt>
                <c:pt idx="89">
                  <c:v>180000</c:v>
                </c:pt>
                <c:pt idx="90">
                  <c:v>182000</c:v>
                </c:pt>
                <c:pt idx="91">
                  <c:v>184000</c:v>
                </c:pt>
                <c:pt idx="92">
                  <c:v>186000</c:v>
                </c:pt>
                <c:pt idx="93">
                  <c:v>188000</c:v>
                </c:pt>
                <c:pt idx="94">
                  <c:v>190000</c:v>
                </c:pt>
                <c:pt idx="95">
                  <c:v>192000</c:v>
                </c:pt>
                <c:pt idx="96">
                  <c:v>194000</c:v>
                </c:pt>
                <c:pt idx="97">
                  <c:v>196000</c:v>
                </c:pt>
                <c:pt idx="98">
                  <c:v>198000</c:v>
                </c:pt>
                <c:pt idx="99">
                  <c:v>200000</c:v>
                </c:pt>
                <c:pt idx="100">
                  <c:v>202000</c:v>
                </c:pt>
                <c:pt idx="101">
                  <c:v>204000</c:v>
                </c:pt>
                <c:pt idx="102">
                  <c:v>206000</c:v>
                </c:pt>
                <c:pt idx="103">
                  <c:v>208000</c:v>
                </c:pt>
                <c:pt idx="104">
                  <c:v>210000</c:v>
                </c:pt>
                <c:pt idx="105">
                  <c:v>212000</c:v>
                </c:pt>
                <c:pt idx="106">
                  <c:v>214000</c:v>
                </c:pt>
                <c:pt idx="107">
                  <c:v>216000</c:v>
                </c:pt>
                <c:pt idx="108">
                  <c:v>218000</c:v>
                </c:pt>
                <c:pt idx="109">
                  <c:v>220000</c:v>
                </c:pt>
                <c:pt idx="110">
                  <c:v>222000</c:v>
                </c:pt>
                <c:pt idx="111">
                  <c:v>224000</c:v>
                </c:pt>
                <c:pt idx="112">
                  <c:v>226000</c:v>
                </c:pt>
                <c:pt idx="113">
                  <c:v>228000</c:v>
                </c:pt>
                <c:pt idx="114">
                  <c:v>230000</c:v>
                </c:pt>
                <c:pt idx="115">
                  <c:v>232000</c:v>
                </c:pt>
                <c:pt idx="116">
                  <c:v>234000</c:v>
                </c:pt>
                <c:pt idx="117">
                  <c:v>236000</c:v>
                </c:pt>
                <c:pt idx="118">
                  <c:v>238000</c:v>
                </c:pt>
                <c:pt idx="119">
                  <c:v>240000</c:v>
                </c:pt>
                <c:pt idx="120">
                  <c:v>242000</c:v>
                </c:pt>
                <c:pt idx="121">
                  <c:v>244000</c:v>
                </c:pt>
                <c:pt idx="122">
                  <c:v>246000</c:v>
                </c:pt>
                <c:pt idx="123">
                  <c:v>248000</c:v>
                </c:pt>
                <c:pt idx="124">
                  <c:v>250000</c:v>
                </c:pt>
                <c:pt idx="125">
                  <c:v>252000</c:v>
                </c:pt>
                <c:pt idx="126">
                  <c:v>254000</c:v>
                </c:pt>
                <c:pt idx="127">
                  <c:v>256000</c:v>
                </c:pt>
                <c:pt idx="128">
                  <c:v>258000</c:v>
                </c:pt>
                <c:pt idx="129">
                  <c:v>260000</c:v>
                </c:pt>
                <c:pt idx="130">
                  <c:v>262000</c:v>
                </c:pt>
                <c:pt idx="131">
                  <c:v>264000</c:v>
                </c:pt>
                <c:pt idx="132">
                  <c:v>266000</c:v>
                </c:pt>
                <c:pt idx="133">
                  <c:v>268000</c:v>
                </c:pt>
                <c:pt idx="134">
                  <c:v>270000</c:v>
                </c:pt>
                <c:pt idx="135">
                  <c:v>272000</c:v>
                </c:pt>
                <c:pt idx="136">
                  <c:v>274000</c:v>
                </c:pt>
                <c:pt idx="137">
                  <c:v>276000</c:v>
                </c:pt>
                <c:pt idx="138">
                  <c:v>278000</c:v>
                </c:pt>
                <c:pt idx="139">
                  <c:v>280000</c:v>
                </c:pt>
                <c:pt idx="140">
                  <c:v>282000</c:v>
                </c:pt>
                <c:pt idx="141">
                  <c:v>284000</c:v>
                </c:pt>
                <c:pt idx="142">
                  <c:v>286000</c:v>
                </c:pt>
                <c:pt idx="143">
                  <c:v>288000</c:v>
                </c:pt>
                <c:pt idx="144">
                  <c:v>290000</c:v>
                </c:pt>
                <c:pt idx="145">
                  <c:v>292000</c:v>
                </c:pt>
                <c:pt idx="146">
                  <c:v>294000</c:v>
                </c:pt>
                <c:pt idx="147">
                  <c:v>296000</c:v>
                </c:pt>
                <c:pt idx="148">
                  <c:v>298000</c:v>
                </c:pt>
                <c:pt idx="149">
                  <c:v>300000</c:v>
                </c:pt>
                <c:pt idx="150">
                  <c:v>302000</c:v>
                </c:pt>
                <c:pt idx="151">
                  <c:v>304000</c:v>
                </c:pt>
                <c:pt idx="152">
                  <c:v>306000</c:v>
                </c:pt>
                <c:pt idx="153">
                  <c:v>308000</c:v>
                </c:pt>
                <c:pt idx="154">
                  <c:v>310000</c:v>
                </c:pt>
                <c:pt idx="155">
                  <c:v>312000</c:v>
                </c:pt>
                <c:pt idx="156">
                  <c:v>314000</c:v>
                </c:pt>
                <c:pt idx="157">
                  <c:v>316000</c:v>
                </c:pt>
                <c:pt idx="158">
                  <c:v>318000</c:v>
                </c:pt>
                <c:pt idx="159">
                  <c:v>320000</c:v>
                </c:pt>
                <c:pt idx="160">
                  <c:v>322000</c:v>
                </c:pt>
                <c:pt idx="161">
                  <c:v>324000</c:v>
                </c:pt>
                <c:pt idx="162">
                  <c:v>326000</c:v>
                </c:pt>
                <c:pt idx="163">
                  <c:v>328000</c:v>
                </c:pt>
                <c:pt idx="164">
                  <c:v>330000</c:v>
                </c:pt>
                <c:pt idx="165">
                  <c:v>332000</c:v>
                </c:pt>
                <c:pt idx="166">
                  <c:v>334000</c:v>
                </c:pt>
                <c:pt idx="167">
                  <c:v>336000</c:v>
                </c:pt>
                <c:pt idx="168">
                  <c:v>338000</c:v>
                </c:pt>
                <c:pt idx="169">
                  <c:v>340000</c:v>
                </c:pt>
                <c:pt idx="170">
                  <c:v>342000</c:v>
                </c:pt>
                <c:pt idx="171">
                  <c:v>344000</c:v>
                </c:pt>
                <c:pt idx="172">
                  <c:v>346000</c:v>
                </c:pt>
                <c:pt idx="173">
                  <c:v>348000</c:v>
                </c:pt>
                <c:pt idx="174">
                  <c:v>350000</c:v>
                </c:pt>
                <c:pt idx="175">
                  <c:v>352000</c:v>
                </c:pt>
                <c:pt idx="176">
                  <c:v>354000</c:v>
                </c:pt>
                <c:pt idx="177">
                  <c:v>356000</c:v>
                </c:pt>
                <c:pt idx="178">
                  <c:v>358000</c:v>
                </c:pt>
                <c:pt idx="179">
                  <c:v>360000</c:v>
                </c:pt>
                <c:pt idx="180">
                  <c:v>362000</c:v>
                </c:pt>
                <c:pt idx="181">
                  <c:v>364000</c:v>
                </c:pt>
                <c:pt idx="182">
                  <c:v>366000</c:v>
                </c:pt>
                <c:pt idx="183">
                  <c:v>368000</c:v>
                </c:pt>
                <c:pt idx="184">
                  <c:v>370000</c:v>
                </c:pt>
                <c:pt idx="185">
                  <c:v>372000</c:v>
                </c:pt>
                <c:pt idx="186">
                  <c:v>374000</c:v>
                </c:pt>
                <c:pt idx="187">
                  <c:v>376000</c:v>
                </c:pt>
                <c:pt idx="188">
                  <c:v>378000</c:v>
                </c:pt>
                <c:pt idx="189">
                  <c:v>380000</c:v>
                </c:pt>
                <c:pt idx="190">
                  <c:v>382000</c:v>
                </c:pt>
                <c:pt idx="191">
                  <c:v>384000</c:v>
                </c:pt>
                <c:pt idx="192">
                  <c:v>386000</c:v>
                </c:pt>
                <c:pt idx="193">
                  <c:v>388000</c:v>
                </c:pt>
                <c:pt idx="194">
                  <c:v>390000</c:v>
                </c:pt>
                <c:pt idx="195">
                  <c:v>392000</c:v>
                </c:pt>
                <c:pt idx="196">
                  <c:v>394000</c:v>
                </c:pt>
                <c:pt idx="197">
                  <c:v>396000</c:v>
                </c:pt>
                <c:pt idx="198">
                  <c:v>398000</c:v>
                </c:pt>
                <c:pt idx="199">
                  <c:v>400000</c:v>
                </c:pt>
                <c:pt idx="200">
                  <c:v>402000</c:v>
                </c:pt>
                <c:pt idx="201">
                  <c:v>404000</c:v>
                </c:pt>
                <c:pt idx="202">
                  <c:v>406000</c:v>
                </c:pt>
                <c:pt idx="203">
                  <c:v>408000</c:v>
                </c:pt>
                <c:pt idx="204">
                  <c:v>410000</c:v>
                </c:pt>
                <c:pt idx="205">
                  <c:v>412000</c:v>
                </c:pt>
                <c:pt idx="206">
                  <c:v>414000</c:v>
                </c:pt>
                <c:pt idx="207">
                  <c:v>416000</c:v>
                </c:pt>
                <c:pt idx="208">
                  <c:v>418000</c:v>
                </c:pt>
                <c:pt idx="209">
                  <c:v>420000</c:v>
                </c:pt>
                <c:pt idx="210">
                  <c:v>422000</c:v>
                </c:pt>
                <c:pt idx="211">
                  <c:v>424000</c:v>
                </c:pt>
                <c:pt idx="212">
                  <c:v>426000</c:v>
                </c:pt>
                <c:pt idx="213">
                  <c:v>428000</c:v>
                </c:pt>
                <c:pt idx="214">
                  <c:v>430000</c:v>
                </c:pt>
                <c:pt idx="215">
                  <c:v>432000</c:v>
                </c:pt>
                <c:pt idx="216">
                  <c:v>434000</c:v>
                </c:pt>
                <c:pt idx="217">
                  <c:v>436000</c:v>
                </c:pt>
                <c:pt idx="218">
                  <c:v>438000</c:v>
                </c:pt>
                <c:pt idx="219">
                  <c:v>440000</c:v>
                </c:pt>
                <c:pt idx="220">
                  <c:v>442000</c:v>
                </c:pt>
                <c:pt idx="221">
                  <c:v>444000</c:v>
                </c:pt>
                <c:pt idx="222">
                  <c:v>446000</c:v>
                </c:pt>
                <c:pt idx="223">
                  <c:v>448000</c:v>
                </c:pt>
                <c:pt idx="224">
                  <c:v>450000</c:v>
                </c:pt>
                <c:pt idx="225">
                  <c:v>452000</c:v>
                </c:pt>
                <c:pt idx="226">
                  <c:v>454000</c:v>
                </c:pt>
                <c:pt idx="227">
                  <c:v>456000</c:v>
                </c:pt>
                <c:pt idx="228">
                  <c:v>458000</c:v>
                </c:pt>
                <c:pt idx="229">
                  <c:v>460000</c:v>
                </c:pt>
                <c:pt idx="230">
                  <c:v>462000</c:v>
                </c:pt>
                <c:pt idx="231">
                  <c:v>464000</c:v>
                </c:pt>
                <c:pt idx="232">
                  <c:v>466000</c:v>
                </c:pt>
                <c:pt idx="233">
                  <c:v>468000</c:v>
                </c:pt>
                <c:pt idx="234">
                  <c:v>470000</c:v>
                </c:pt>
                <c:pt idx="235">
                  <c:v>472000</c:v>
                </c:pt>
                <c:pt idx="236">
                  <c:v>474000</c:v>
                </c:pt>
                <c:pt idx="237">
                  <c:v>476000</c:v>
                </c:pt>
                <c:pt idx="238">
                  <c:v>478000</c:v>
                </c:pt>
                <c:pt idx="239">
                  <c:v>480000</c:v>
                </c:pt>
                <c:pt idx="240">
                  <c:v>482000</c:v>
                </c:pt>
                <c:pt idx="241">
                  <c:v>484000</c:v>
                </c:pt>
                <c:pt idx="242">
                  <c:v>486000</c:v>
                </c:pt>
                <c:pt idx="243">
                  <c:v>488000</c:v>
                </c:pt>
                <c:pt idx="244">
                  <c:v>490000</c:v>
                </c:pt>
                <c:pt idx="245">
                  <c:v>492000</c:v>
                </c:pt>
                <c:pt idx="246">
                  <c:v>494000</c:v>
                </c:pt>
                <c:pt idx="247">
                  <c:v>496000</c:v>
                </c:pt>
                <c:pt idx="248">
                  <c:v>498000</c:v>
                </c:pt>
                <c:pt idx="249">
                  <c:v>500000</c:v>
                </c:pt>
                <c:pt idx="250">
                  <c:v>502000</c:v>
                </c:pt>
                <c:pt idx="251">
                  <c:v>504000</c:v>
                </c:pt>
                <c:pt idx="252">
                  <c:v>506000</c:v>
                </c:pt>
                <c:pt idx="253">
                  <c:v>508000</c:v>
                </c:pt>
                <c:pt idx="254">
                  <c:v>510000</c:v>
                </c:pt>
                <c:pt idx="255">
                  <c:v>512000</c:v>
                </c:pt>
                <c:pt idx="256">
                  <c:v>514000</c:v>
                </c:pt>
                <c:pt idx="257">
                  <c:v>516000</c:v>
                </c:pt>
                <c:pt idx="258">
                  <c:v>518000</c:v>
                </c:pt>
                <c:pt idx="259">
                  <c:v>520000</c:v>
                </c:pt>
                <c:pt idx="260">
                  <c:v>522000</c:v>
                </c:pt>
                <c:pt idx="261">
                  <c:v>524000</c:v>
                </c:pt>
                <c:pt idx="262">
                  <c:v>526000</c:v>
                </c:pt>
                <c:pt idx="263">
                  <c:v>528000</c:v>
                </c:pt>
                <c:pt idx="264">
                  <c:v>530000</c:v>
                </c:pt>
                <c:pt idx="265">
                  <c:v>532000</c:v>
                </c:pt>
                <c:pt idx="266">
                  <c:v>534000</c:v>
                </c:pt>
                <c:pt idx="267">
                  <c:v>536000</c:v>
                </c:pt>
                <c:pt idx="268">
                  <c:v>538000</c:v>
                </c:pt>
                <c:pt idx="269">
                  <c:v>540000</c:v>
                </c:pt>
                <c:pt idx="270">
                  <c:v>542000</c:v>
                </c:pt>
                <c:pt idx="271">
                  <c:v>544000</c:v>
                </c:pt>
                <c:pt idx="272">
                  <c:v>546000</c:v>
                </c:pt>
                <c:pt idx="273">
                  <c:v>548000</c:v>
                </c:pt>
                <c:pt idx="274">
                  <c:v>550000</c:v>
                </c:pt>
                <c:pt idx="275">
                  <c:v>552000</c:v>
                </c:pt>
                <c:pt idx="276">
                  <c:v>554000</c:v>
                </c:pt>
                <c:pt idx="277">
                  <c:v>556000</c:v>
                </c:pt>
                <c:pt idx="278">
                  <c:v>558000</c:v>
                </c:pt>
                <c:pt idx="279">
                  <c:v>560000</c:v>
                </c:pt>
                <c:pt idx="280">
                  <c:v>562000</c:v>
                </c:pt>
                <c:pt idx="281">
                  <c:v>564000</c:v>
                </c:pt>
                <c:pt idx="282">
                  <c:v>566000</c:v>
                </c:pt>
                <c:pt idx="283">
                  <c:v>568000</c:v>
                </c:pt>
                <c:pt idx="284">
                  <c:v>570000</c:v>
                </c:pt>
                <c:pt idx="285">
                  <c:v>572000</c:v>
                </c:pt>
                <c:pt idx="286">
                  <c:v>574000</c:v>
                </c:pt>
                <c:pt idx="287">
                  <c:v>576000</c:v>
                </c:pt>
                <c:pt idx="288">
                  <c:v>578000</c:v>
                </c:pt>
                <c:pt idx="289">
                  <c:v>580000</c:v>
                </c:pt>
                <c:pt idx="290">
                  <c:v>582000</c:v>
                </c:pt>
                <c:pt idx="291">
                  <c:v>584000</c:v>
                </c:pt>
                <c:pt idx="292">
                  <c:v>586000</c:v>
                </c:pt>
                <c:pt idx="293">
                  <c:v>588000</c:v>
                </c:pt>
                <c:pt idx="294">
                  <c:v>590000</c:v>
                </c:pt>
                <c:pt idx="295">
                  <c:v>592000</c:v>
                </c:pt>
                <c:pt idx="296">
                  <c:v>594000</c:v>
                </c:pt>
                <c:pt idx="297">
                  <c:v>596000</c:v>
                </c:pt>
                <c:pt idx="298">
                  <c:v>598000</c:v>
                </c:pt>
                <c:pt idx="299">
                  <c:v>600000</c:v>
                </c:pt>
                <c:pt idx="300">
                  <c:v>602000</c:v>
                </c:pt>
                <c:pt idx="301">
                  <c:v>604000</c:v>
                </c:pt>
                <c:pt idx="302">
                  <c:v>606000</c:v>
                </c:pt>
                <c:pt idx="303">
                  <c:v>608000</c:v>
                </c:pt>
                <c:pt idx="304">
                  <c:v>610000</c:v>
                </c:pt>
                <c:pt idx="305">
                  <c:v>612000</c:v>
                </c:pt>
                <c:pt idx="306">
                  <c:v>614000</c:v>
                </c:pt>
                <c:pt idx="307">
                  <c:v>616000</c:v>
                </c:pt>
                <c:pt idx="308">
                  <c:v>618000</c:v>
                </c:pt>
                <c:pt idx="309">
                  <c:v>620000</c:v>
                </c:pt>
                <c:pt idx="310">
                  <c:v>622000</c:v>
                </c:pt>
                <c:pt idx="311">
                  <c:v>624000</c:v>
                </c:pt>
                <c:pt idx="312">
                  <c:v>626000</c:v>
                </c:pt>
                <c:pt idx="313">
                  <c:v>628000</c:v>
                </c:pt>
                <c:pt idx="314">
                  <c:v>630000</c:v>
                </c:pt>
                <c:pt idx="315">
                  <c:v>632000</c:v>
                </c:pt>
                <c:pt idx="316">
                  <c:v>634000</c:v>
                </c:pt>
                <c:pt idx="317">
                  <c:v>636000</c:v>
                </c:pt>
                <c:pt idx="318">
                  <c:v>638000</c:v>
                </c:pt>
                <c:pt idx="319">
                  <c:v>640000</c:v>
                </c:pt>
                <c:pt idx="320">
                  <c:v>642000</c:v>
                </c:pt>
                <c:pt idx="321">
                  <c:v>644000</c:v>
                </c:pt>
                <c:pt idx="322">
                  <c:v>646000</c:v>
                </c:pt>
                <c:pt idx="323">
                  <c:v>648000</c:v>
                </c:pt>
                <c:pt idx="324">
                  <c:v>650000</c:v>
                </c:pt>
                <c:pt idx="325">
                  <c:v>652000</c:v>
                </c:pt>
                <c:pt idx="326">
                  <c:v>654000</c:v>
                </c:pt>
                <c:pt idx="327">
                  <c:v>656000</c:v>
                </c:pt>
                <c:pt idx="328">
                  <c:v>658000</c:v>
                </c:pt>
                <c:pt idx="329">
                  <c:v>660000</c:v>
                </c:pt>
                <c:pt idx="330">
                  <c:v>662000</c:v>
                </c:pt>
                <c:pt idx="331">
                  <c:v>664000</c:v>
                </c:pt>
                <c:pt idx="332">
                  <c:v>666000</c:v>
                </c:pt>
                <c:pt idx="333">
                  <c:v>668000</c:v>
                </c:pt>
                <c:pt idx="334">
                  <c:v>670000</c:v>
                </c:pt>
                <c:pt idx="335">
                  <c:v>672000</c:v>
                </c:pt>
                <c:pt idx="336">
                  <c:v>674000</c:v>
                </c:pt>
                <c:pt idx="337">
                  <c:v>676000</c:v>
                </c:pt>
                <c:pt idx="338">
                  <c:v>678000</c:v>
                </c:pt>
                <c:pt idx="339">
                  <c:v>680000</c:v>
                </c:pt>
                <c:pt idx="340">
                  <c:v>682000</c:v>
                </c:pt>
                <c:pt idx="341">
                  <c:v>684000</c:v>
                </c:pt>
                <c:pt idx="342">
                  <c:v>686000</c:v>
                </c:pt>
                <c:pt idx="343">
                  <c:v>688000</c:v>
                </c:pt>
                <c:pt idx="344">
                  <c:v>690000</c:v>
                </c:pt>
                <c:pt idx="345">
                  <c:v>692000</c:v>
                </c:pt>
                <c:pt idx="346">
                  <c:v>694000</c:v>
                </c:pt>
                <c:pt idx="347">
                  <c:v>696000</c:v>
                </c:pt>
                <c:pt idx="348">
                  <c:v>698000</c:v>
                </c:pt>
                <c:pt idx="349">
                  <c:v>700000</c:v>
                </c:pt>
                <c:pt idx="350">
                  <c:v>702000</c:v>
                </c:pt>
                <c:pt idx="351">
                  <c:v>704000</c:v>
                </c:pt>
                <c:pt idx="352">
                  <c:v>706000</c:v>
                </c:pt>
                <c:pt idx="353">
                  <c:v>708000</c:v>
                </c:pt>
                <c:pt idx="354">
                  <c:v>710000</c:v>
                </c:pt>
                <c:pt idx="355">
                  <c:v>712000</c:v>
                </c:pt>
                <c:pt idx="356">
                  <c:v>714000</c:v>
                </c:pt>
                <c:pt idx="357">
                  <c:v>716000</c:v>
                </c:pt>
                <c:pt idx="358">
                  <c:v>718000</c:v>
                </c:pt>
                <c:pt idx="359">
                  <c:v>720000</c:v>
                </c:pt>
                <c:pt idx="360">
                  <c:v>722000</c:v>
                </c:pt>
                <c:pt idx="361">
                  <c:v>724000</c:v>
                </c:pt>
                <c:pt idx="362">
                  <c:v>726000</c:v>
                </c:pt>
                <c:pt idx="363">
                  <c:v>728000</c:v>
                </c:pt>
                <c:pt idx="364">
                  <c:v>730000</c:v>
                </c:pt>
                <c:pt idx="365">
                  <c:v>732000</c:v>
                </c:pt>
                <c:pt idx="366">
                  <c:v>734000</c:v>
                </c:pt>
                <c:pt idx="367">
                  <c:v>736000</c:v>
                </c:pt>
                <c:pt idx="368">
                  <c:v>738000</c:v>
                </c:pt>
                <c:pt idx="369">
                  <c:v>740000</c:v>
                </c:pt>
                <c:pt idx="370">
                  <c:v>742000</c:v>
                </c:pt>
                <c:pt idx="371">
                  <c:v>744000</c:v>
                </c:pt>
                <c:pt idx="372">
                  <c:v>746000</c:v>
                </c:pt>
                <c:pt idx="373">
                  <c:v>748000</c:v>
                </c:pt>
                <c:pt idx="374">
                  <c:v>750000</c:v>
                </c:pt>
                <c:pt idx="375">
                  <c:v>752000</c:v>
                </c:pt>
                <c:pt idx="376">
                  <c:v>754000</c:v>
                </c:pt>
                <c:pt idx="377">
                  <c:v>756000</c:v>
                </c:pt>
                <c:pt idx="378">
                  <c:v>758000</c:v>
                </c:pt>
                <c:pt idx="379">
                  <c:v>760000</c:v>
                </c:pt>
                <c:pt idx="380">
                  <c:v>762000</c:v>
                </c:pt>
                <c:pt idx="381">
                  <c:v>764000</c:v>
                </c:pt>
                <c:pt idx="382">
                  <c:v>766000</c:v>
                </c:pt>
                <c:pt idx="383">
                  <c:v>768000</c:v>
                </c:pt>
                <c:pt idx="384">
                  <c:v>770000</c:v>
                </c:pt>
                <c:pt idx="385">
                  <c:v>772000</c:v>
                </c:pt>
                <c:pt idx="386">
                  <c:v>774000</c:v>
                </c:pt>
                <c:pt idx="387">
                  <c:v>776000</c:v>
                </c:pt>
                <c:pt idx="388">
                  <c:v>778000</c:v>
                </c:pt>
                <c:pt idx="389">
                  <c:v>780000</c:v>
                </c:pt>
                <c:pt idx="390">
                  <c:v>782000</c:v>
                </c:pt>
                <c:pt idx="391">
                  <c:v>784000</c:v>
                </c:pt>
                <c:pt idx="392">
                  <c:v>786000</c:v>
                </c:pt>
                <c:pt idx="393">
                  <c:v>788000</c:v>
                </c:pt>
                <c:pt idx="394">
                  <c:v>790000</c:v>
                </c:pt>
                <c:pt idx="395">
                  <c:v>792000</c:v>
                </c:pt>
                <c:pt idx="396">
                  <c:v>794000</c:v>
                </c:pt>
                <c:pt idx="397">
                  <c:v>796000</c:v>
                </c:pt>
                <c:pt idx="398">
                  <c:v>798000</c:v>
                </c:pt>
                <c:pt idx="399">
                  <c:v>800000</c:v>
                </c:pt>
                <c:pt idx="400">
                  <c:v>802000</c:v>
                </c:pt>
                <c:pt idx="401">
                  <c:v>804000</c:v>
                </c:pt>
                <c:pt idx="402">
                  <c:v>806000</c:v>
                </c:pt>
                <c:pt idx="403">
                  <c:v>808000</c:v>
                </c:pt>
                <c:pt idx="404">
                  <c:v>810000</c:v>
                </c:pt>
                <c:pt idx="405">
                  <c:v>812000</c:v>
                </c:pt>
                <c:pt idx="406">
                  <c:v>814000</c:v>
                </c:pt>
                <c:pt idx="407">
                  <c:v>816000</c:v>
                </c:pt>
                <c:pt idx="408">
                  <c:v>818000</c:v>
                </c:pt>
                <c:pt idx="409">
                  <c:v>820000</c:v>
                </c:pt>
                <c:pt idx="410">
                  <c:v>822000</c:v>
                </c:pt>
                <c:pt idx="411">
                  <c:v>824000</c:v>
                </c:pt>
                <c:pt idx="412">
                  <c:v>826000</c:v>
                </c:pt>
                <c:pt idx="413">
                  <c:v>828000</c:v>
                </c:pt>
                <c:pt idx="414">
                  <c:v>830000</c:v>
                </c:pt>
                <c:pt idx="415">
                  <c:v>832000</c:v>
                </c:pt>
                <c:pt idx="416">
                  <c:v>834000</c:v>
                </c:pt>
                <c:pt idx="417">
                  <c:v>836000</c:v>
                </c:pt>
                <c:pt idx="418">
                  <c:v>838000</c:v>
                </c:pt>
                <c:pt idx="419">
                  <c:v>840000</c:v>
                </c:pt>
                <c:pt idx="420">
                  <c:v>842000</c:v>
                </c:pt>
                <c:pt idx="421">
                  <c:v>844000</c:v>
                </c:pt>
                <c:pt idx="422">
                  <c:v>846000</c:v>
                </c:pt>
                <c:pt idx="423">
                  <c:v>848000</c:v>
                </c:pt>
                <c:pt idx="424">
                  <c:v>850000</c:v>
                </c:pt>
                <c:pt idx="425">
                  <c:v>852000</c:v>
                </c:pt>
                <c:pt idx="426">
                  <c:v>854000</c:v>
                </c:pt>
                <c:pt idx="427">
                  <c:v>856000</c:v>
                </c:pt>
                <c:pt idx="428">
                  <c:v>858000</c:v>
                </c:pt>
                <c:pt idx="429">
                  <c:v>860000</c:v>
                </c:pt>
                <c:pt idx="430">
                  <c:v>862000</c:v>
                </c:pt>
                <c:pt idx="431">
                  <c:v>864000</c:v>
                </c:pt>
                <c:pt idx="432">
                  <c:v>866000</c:v>
                </c:pt>
                <c:pt idx="433">
                  <c:v>868000</c:v>
                </c:pt>
                <c:pt idx="434">
                  <c:v>870000</c:v>
                </c:pt>
                <c:pt idx="435">
                  <c:v>872000</c:v>
                </c:pt>
                <c:pt idx="436">
                  <c:v>874000</c:v>
                </c:pt>
                <c:pt idx="437">
                  <c:v>876000</c:v>
                </c:pt>
                <c:pt idx="438">
                  <c:v>878000</c:v>
                </c:pt>
                <c:pt idx="439">
                  <c:v>880000</c:v>
                </c:pt>
                <c:pt idx="440">
                  <c:v>882000</c:v>
                </c:pt>
                <c:pt idx="441">
                  <c:v>884000</c:v>
                </c:pt>
                <c:pt idx="442">
                  <c:v>886000</c:v>
                </c:pt>
                <c:pt idx="443">
                  <c:v>888000</c:v>
                </c:pt>
                <c:pt idx="444">
                  <c:v>890000</c:v>
                </c:pt>
                <c:pt idx="445">
                  <c:v>892000</c:v>
                </c:pt>
                <c:pt idx="446">
                  <c:v>894000</c:v>
                </c:pt>
                <c:pt idx="447">
                  <c:v>896000</c:v>
                </c:pt>
                <c:pt idx="448">
                  <c:v>898000</c:v>
                </c:pt>
                <c:pt idx="449">
                  <c:v>900000</c:v>
                </c:pt>
                <c:pt idx="450">
                  <c:v>902000</c:v>
                </c:pt>
                <c:pt idx="451">
                  <c:v>904000</c:v>
                </c:pt>
                <c:pt idx="452">
                  <c:v>906000</c:v>
                </c:pt>
                <c:pt idx="453">
                  <c:v>908000</c:v>
                </c:pt>
                <c:pt idx="454">
                  <c:v>910000</c:v>
                </c:pt>
                <c:pt idx="455">
                  <c:v>912000</c:v>
                </c:pt>
                <c:pt idx="456">
                  <c:v>914000</c:v>
                </c:pt>
                <c:pt idx="457">
                  <c:v>916000</c:v>
                </c:pt>
                <c:pt idx="458">
                  <c:v>918000</c:v>
                </c:pt>
                <c:pt idx="459">
                  <c:v>920000</c:v>
                </c:pt>
                <c:pt idx="460">
                  <c:v>922000</c:v>
                </c:pt>
                <c:pt idx="461">
                  <c:v>924000</c:v>
                </c:pt>
                <c:pt idx="462">
                  <c:v>926000</c:v>
                </c:pt>
                <c:pt idx="463">
                  <c:v>928000</c:v>
                </c:pt>
                <c:pt idx="464">
                  <c:v>930000</c:v>
                </c:pt>
                <c:pt idx="465">
                  <c:v>932000</c:v>
                </c:pt>
                <c:pt idx="466">
                  <c:v>934000</c:v>
                </c:pt>
                <c:pt idx="467">
                  <c:v>936000</c:v>
                </c:pt>
                <c:pt idx="468">
                  <c:v>938000</c:v>
                </c:pt>
                <c:pt idx="469">
                  <c:v>940000</c:v>
                </c:pt>
                <c:pt idx="470">
                  <c:v>942000</c:v>
                </c:pt>
                <c:pt idx="471">
                  <c:v>944000</c:v>
                </c:pt>
                <c:pt idx="472">
                  <c:v>946000</c:v>
                </c:pt>
                <c:pt idx="473">
                  <c:v>948000</c:v>
                </c:pt>
                <c:pt idx="474">
                  <c:v>950000</c:v>
                </c:pt>
                <c:pt idx="475">
                  <c:v>952000</c:v>
                </c:pt>
                <c:pt idx="476">
                  <c:v>954000</c:v>
                </c:pt>
                <c:pt idx="477">
                  <c:v>956000</c:v>
                </c:pt>
                <c:pt idx="478">
                  <c:v>958000</c:v>
                </c:pt>
                <c:pt idx="479">
                  <c:v>960000</c:v>
                </c:pt>
                <c:pt idx="480">
                  <c:v>962000</c:v>
                </c:pt>
                <c:pt idx="481">
                  <c:v>964000</c:v>
                </c:pt>
                <c:pt idx="482">
                  <c:v>966000</c:v>
                </c:pt>
                <c:pt idx="483">
                  <c:v>968000</c:v>
                </c:pt>
                <c:pt idx="484">
                  <c:v>970000</c:v>
                </c:pt>
                <c:pt idx="485">
                  <c:v>972000</c:v>
                </c:pt>
                <c:pt idx="486">
                  <c:v>974000</c:v>
                </c:pt>
                <c:pt idx="487">
                  <c:v>976000</c:v>
                </c:pt>
                <c:pt idx="488">
                  <c:v>978000</c:v>
                </c:pt>
                <c:pt idx="489">
                  <c:v>980000</c:v>
                </c:pt>
                <c:pt idx="490">
                  <c:v>982000</c:v>
                </c:pt>
                <c:pt idx="491">
                  <c:v>984000</c:v>
                </c:pt>
                <c:pt idx="492">
                  <c:v>986000</c:v>
                </c:pt>
                <c:pt idx="493">
                  <c:v>988000</c:v>
                </c:pt>
                <c:pt idx="494">
                  <c:v>990000</c:v>
                </c:pt>
                <c:pt idx="495">
                  <c:v>992000</c:v>
                </c:pt>
                <c:pt idx="496">
                  <c:v>994000</c:v>
                </c:pt>
                <c:pt idx="497">
                  <c:v>996000</c:v>
                </c:pt>
                <c:pt idx="498">
                  <c:v>998000</c:v>
                </c:pt>
                <c:pt idx="499">
                  <c:v>1000000</c:v>
                </c:pt>
              </c:numCache>
            </c:numRef>
          </c:xVal>
          <c:yVal>
            <c:numRef>
              <c:f>cost_scaling_DAC!$G$77:$G$576</c:f>
              <c:numCache>
                <c:formatCode>0</c:formatCode>
                <c:ptCount val="500"/>
                <c:pt idx="0">
                  <c:v>5711.4825671498247</c:v>
                </c:pt>
                <c:pt idx="1">
                  <c:v>4654.3234522575258</c:v>
                </c:pt>
                <c:pt idx="2">
                  <c:v>4177.3431836380141</c:v>
                </c:pt>
                <c:pt idx="3">
                  <c:v>3889.3671065807239</c:v>
                </c:pt>
                <c:pt idx="4">
                  <c:v>3690.8736429092041</c:v>
                </c:pt>
                <c:pt idx="5">
                  <c:v>3543.134370656694</c:v>
                </c:pt>
                <c:pt idx="6">
                  <c:v>3427.4921716163285</c:v>
                </c:pt>
                <c:pt idx="7">
                  <c:v>3333.6909160755968</c:v>
                </c:pt>
                <c:pt idx="8">
                  <c:v>3255.55808274638</c:v>
                </c:pt>
                <c:pt idx="9">
                  <c:v>3189.124093476898</c:v>
                </c:pt>
                <c:pt idx="10">
                  <c:v>3131.7031190562161</c:v>
                </c:pt>
                <c:pt idx="11">
                  <c:v>3081.4034121223203</c:v>
                </c:pt>
                <c:pt idx="12">
                  <c:v>3036.8483538065948</c:v>
                </c:pt>
                <c:pt idx="13">
                  <c:v>2997.008744128771</c:v>
                </c:pt>
                <c:pt idx="14">
                  <c:v>2961.0974088581911</c:v>
                </c:pt>
                <c:pt idx="15">
                  <c:v>2928.500466386985</c:v>
                </c:pt>
                <c:pt idx="16">
                  <c:v>2898.7310676392617</c:v>
                </c:pt>
                <c:pt idx="17">
                  <c:v>2871.3974048076302</c:v>
                </c:pt>
                <c:pt idx="18">
                  <c:v>2846.1800589946283</c:v>
                </c:pt>
                <c:pt idx="19">
                  <c:v>2822.8156242564169</c:v>
                </c:pt>
                <c:pt idx="20">
                  <c:v>2801.0846494438192</c:v>
                </c:pt>
                <c:pt idx="21">
                  <c:v>2780.8026126321765</c:v>
                </c:pt>
                <c:pt idx="22">
                  <c:v>2761.8130653056919</c:v>
                </c:pt>
                <c:pt idx="23">
                  <c:v>2743.982355042514</c:v>
                </c:pt>
                <c:pt idx="24">
                  <c:v>2727.1955140009018</c:v>
                </c:pt>
                <c:pt idx="25">
                  <c:v>2711.3530202828824</c:v>
                </c:pt>
                <c:pt idx="26">
                  <c:v>2696.3682210775637</c:v>
                </c:pt>
                <c:pt idx="27">
                  <c:v>2682.1652633232911</c:v>
                </c:pt>
                <c:pt idx="28">
                  <c:v>2668.6774177129255</c:v>
                </c:pt>
                <c:pt idx="29">
                  <c:v>2655.8457105352627</c:v>
                </c:pt>
                <c:pt idx="30">
                  <c:v>2643.61779861582</c:v>
                </c:pt>
                <c:pt idx="31">
                  <c:v>2631.9470378485075</c:v>
                </c:pt>
                <c:pt idx="32">
                  <c:v>2620.791707099399</c:v>
                </c:pt>
                <c:pt idx="33">
                  <c:v>2610.1143577200664</c:v>
                </c:pt>
                <c:pt idx="34">
                  <c:v>2599.8812653033401</c:v>
                </c:pt>
                <c:pt idx="35">
                  <c:v>2590.0619651945976</c:v>
                </c:pt>
                <c:pt idx="36">
                  <c:v>2580.6288570275024</c:v>
                </c:pt>
                <c:pt idx="37">
                  <c:v>2571.5568664663365</c:v>
                </c:pt>
                <c:pt idx="38">
                  <c:v>2562.8231546138027</c:v>
                </c:pt>
                <c:pt idx="39">
                  <c:v>2554.4068673349029</c:v>
                </c:pt>
                <c:pt idx="40">
                  <c:v>2546.2889181670103</c:v>
                </c:pt>
                <c:pt idx="41">
                  <c:v>2538.4517996178552</c:v>
                </c:pt>
                <c:pt idx="42">
                  <c:v>2530.8794185607385</c:v>
                </c:pt>
                <c:pt idx="43">
                  <c:v>2523.5569521682091</c:v>
                </c:pt>
                <c:pt idx="44">
                  <c:v>2516.4707214189229</c:v>
                </c:pt>
                <c:pt idx="45">
                  <c:v>2509.6080796961255</c:v>
                </c:pt>
                <c:pt idx="46">
                  <c:v>2502.9573143922589</c:v>
                </c:pt>
                <c:pt idx="47">
                  <c:v>2496.5075597601435</c:v>
                </c:pt>
                <c:pt idx="48">
                  <c:v>2490.2487195204794</c:v>
                </c:pt>
                <c:pt idx="49">
                  <c:v>2484.1713979589099</c:v>
                </c:pt>
                <c:pt idx="50">
                  <c:v>2478.2668384321705</c:v>
                </c:pt>
                <c:pt idx="51">
                  <c:v>2472.5268683585409</c:v>
                </c:pt>
                <c:pt idx="52">
                  <c:v>2466.9438498987079</c:v>
                </c:pt>
                <c:pt idx="53">
                  <c:v>2461.5106356432511</c:v>
                </c:pt>
                <c:pt idx="54">
                  <c:v>2456.2205287162028</c:v>
                </c:pt>
                <c:pt idx="55">
                  <c:v>2451.0672467831023</c:v>
                </c:pt>
                <c:pt idx="56">
                  <c:v>2446.0448895192503</c:v>
                </c:pt>
                <c:pt idx="57">
                  <c:v>2441.1479091512392</c:v>
                </c:pt>
                <c:pt idx="58">
                  <c:v>2436.3710837339486</c:v>
                </c:pt>
                <c:pt idx="59">
                  <c:v>2431.7094928674078</c:v>
                </c:pt>
                <c:pt idx="60">
                  <c:v>2427.1584955941694</c:v>
                </c:pt>
                <c:pt idx="61">
                  <c:v>2422.7137102492061</c:v>
                </c:pt>
                <c:pt idx="62">
                  <c:v>2418.3709960614151</c:v>
                </c:pt>
                <c:pt idx="63">
                  <c:v>2414.1264363293371</c:v>
                </c:pt>
                <c:pt idx="64">
                  <c:v>2409.9763230141216</c:v>
                </c:pt>
                <c:pt idx="65">
                  <c:v>2405.9171426105709</c:v>
                </c:pt>
                <c:pt idx="66">
                  <c:v>2401.9455631726437</c:v>
                </c:pt>
                <c:pt idx="67">
                  <c:v>2398.0584223834358</c:v>
                </c:pt>
                <c:pt idx="68">
                  <c:v>2394.2527165715269</c:v>
                </c:pt>
                <c:pt idx="69">
                  <c:v>2390.5255905861272</c:v>
                </c:pt>
                <c:pt idx="70">
                  <c:v>2386.8743284526658</c:v>
                </c:pt>
                <c:pt idx="71">
                  <c:v>2383.2963447385896</c:v>
                </c:pt>
                <c:pt idx="72">
                  <c:v>2379.7891765663776</c:v>
                </c:pt>
                <c:pt idx="73">
                  <c:v>2376.3504762171015</c:v>
                </c:pt>
                <c:pt idx="74">
                  <c:v>2372.9780042735647</c:v>
                </c:pt>
                <c:pt idx="75">
                  <c:v>2369.6696232570084</c:v>
                </c:pt>
                <c:pt idx="76">
                  <c:v>2366.4232917159134</c:v>
                </c:pt>
                <c:pt idx="77">
                  <c:v>2363.2370587293376</c:v>
                </c:pt>
                <c:pt idx="78">
                  <c:v>2360.1090587908334</c:v>
                </c:pt>
                <c:pt idx="79">
                  <c:v>2357.0375070421351</c:v>
                </c:pt>
                <c:pt idx="80">
                  <c:v>2354.0206948286645</c:v>
                </c:pt>
                <c:pt idx="81">
                  <c:v>2351.05698555145</c:v>
                </c:pt>
                <c:pt idx="82">
                  <c:v>2348.1448107923329</c:v>
                </c:pt>
                <c:pt idx="83">
                  <c:v>2345.2826666914216</c:v>
                </c:pt>
                <c:pt idx="84">
                  <c:v>2342.4691105575589</c:v>
                </c:pt>
                <c:pt idx="85">
                  <c:v>2339.7027576942896</c:v>
                </c:pt>
                <c:pt idx="86">
                  <c:v>2336.9822784252842</c:v>
                </c:pt>
                <c:pt idx="87">
                  <c:v>2334.306395304558</c:v>
                </c:pt>
                <c:pt idx="88">
                  <c:v>2331.6738804980423</c:v>
                </c:pt>
                <c:pt idx="89">
                  <c:v>2329.0835533241957</c:v>
                </c:pt>
                <c:pt idx="90">
                  <c:v>2326.5342779423395</c:v>
                </c:pt>
                <c:pt idx="91">
                  <c:v>2324.0249611783329</c:v>
                </c:pt>
                <c:pt idx="92">
                  <c:v>2321.5545504780275</c:v>
                </c:pt>
                <c:pt idx="93">
                  <c:v>2319.1220319797235</c:v>
                </c:pt>
                <c:pt idx="94">
                  <c:v>2316.726428697491</c:v>
                </c:pt>
                <c:pt idx="95">
                  <c:v>2314.3667988079242</c:v>
                </c:pt>
                <c:pt idx="96">
                  <c:v>2312.0422340333976</c:v>
                </c:pt>
                <c:pt idx="97">
                  <c:v>2309.7518581154827</c:v>
                </c:pt>
                <c:pt idx="98">
                  <c:v>2307.4948253726052</c:v>
                </c:pt>
                <c:pt idx="99">
                  <c:v>2305.2703193365232</c:v>
                </c:pt>
                <c:pt idx="100">
                  <c:v>2303.0775514625584</c:v>
                </c:pt>
                <c:pt idx="101">
                  <c:v>2300.9157599089103</c:v>
                </c:pt>
                <c:pt idx="102">
                  <c:v>2298.784208380715</c:v>
                </c:pt>
                <c:pt idx="103">
                  <c:v>2296.6821850348338</c:v>
                </c:pt>
                <c:pt idx="104">
                  <c:v>2294.6090014416041</c:v>
                </c:pt>
                <c:pt idx="105">
                  <c:v>2292.5639916001114</c:v>
                </c:pt>
                <c:pt idx="106">
                  <c:v>2290.5465110037194</c:v>
                </c:pt>
                <c:pt idx="107">
                  <c:v>2288.5559357528668</c:v>
                </c:pt>
                <c:pt idx="108">
                  <c:v>2286.5916617123198</c:v>
                </c:pt>
                <c:pt idx="109">
                  <c:v>2284.6531037102677</c:v>
                </c:pt>
                <c:pt idx="110">
                  <c:v>2282.7396947768298</c:v>
                </c:pt>
                <c:pt idx="111">
                  <c:v>2280.8508854196848</c:v>
                </c:pt>
                <c:pt idx="112">
                  <c:v>2278.9861429347179</c:v>
                </c:pt>
                <c:pt idx="113">
                  <c:v>2277.1449507496873</c:v>
                </c:pt>
                <c:pt idx="114">
                  <c:v>2275.3268077990492</c:v>
                </c:pt>
                <c:pt idx="115">
                  <c:v>2273.5312279282257</c:v>
                </c:pt>
                <c:pt idx="116">
                  <c:v>2271.7577393256615</c:v>
                </c:pt>
                <c:pt idx="117">
                  <c:v>2270.005883981175</c:v>
                </c:pt>
                <c:pt idx="118">
                  <c:v>2268.2752171691477</c:v>
                </c:pt>
                <c:pt idx="119">
                  <c:v>2266.5653069552413</c:v>
                </c:pt>
                <c:pt idx="120">
                  <c:v>2264.8757337253637</c:v>
                </c:pt>
                <c:pt idx="121">
                  <c:v>2263.2060897357146</c:v>
                </c:pt>
                <c:pt idx="122">
                  <c:v>2261.5559786828117</c:v>
                </c:pt>
                <c:pt idx="123">
                  <c:v>2259.9250152924283</c:v>
                </c:pt>
                <c:pt idx="124">
                  <c:v>2258.3128249265087</c:v>
                </c:pt>
                <c:pt idx="125">
                  <c:v>2256.7190432070884</c:v>
                </c:pt>
                <c:pt idx="126">
                  <c:v>2255.1433156563953</c:v>
                </c:pt>
                <c:pt idx="127">
                  <c:v>2253.5852973522965</c:v>
                </c:pt>
                <c:pt idx="128">
                  <c:v>2252.0446525983148</c:v>
                </c:pt>
                <c:pt idx="129">
                  <c:v>2250.5210546075173</c:v>
                </c:pt>
                <c:pt idx="130">
                  <c:v>2249.0141851995572</c:v>
                </c:pt>
                <c:pt idx="131">
                  <c:v>2247.5237345102541</c:v>
                </c:pt>
                <c:pt idx="132">
                  <c:v>2246.0494007130874</c:v>
                </c:pt>
                <c:pt idx="133">
                  <c:v>2244.5908897520362</c:v>
                </c:pt>
                <c:pt idx="134">
                  <c:v>2243.1479150852124</c:v>
                </c:pt>
                <c:pt idx="135">
                  <c:v>2241.7201974387958</c:v>
                </c:pt>
                <c:pt idx="136">
                  <c:v>2240.3074645707511</c:v>
                </c:pt>
                <c:pt idx="137">
                  <c:v>2238.9094510439081</c:v>
                </c:pt>
                <c:pt idx="138">
                  <c:v>2237.5258980079366</c:v>
                </c:pt>
                <c:pt idx="139">
                  <c:v>2236.1565529898271</c:v>
                </c:pt>
                <c:pt idx="140">
                  <c:v>2234.8011696924791</c:v>
                </c:pt>
                <c:pt idx="141">
                  <c:v>2233.4595078010234</c:v>
                </c:pt>
                <c:pt idx="142">
                  <c:v>2232.1313327965431</c:v>
                </c:pt>
                <c:pt idx="143">
                  <c:v>2230.8164157768488</c:v>
                </c:pt>
                <c:pt idx="144">
                  <c:v>2229.5145332839934</c:v>
                </c:pt>
                <c:pt idx="145">
                  <c:v>2228.2254671382439</c:v>
                </c:pt>
                <c:pt idx="146">
                  <c:v>2226.9490042782049</c:v>
                </c:pt>
                <c:pt idx="147">
                  <c:v>2225.6849366068436</c:v>
                </c:pt>
                <c:pt idx="148">
                  <c:v>2224.4330608431428</c:v>
                </c:pt>
                <c:pt idx="149">
                  <c:v>2223.1931783791629</c:v>
                </c:pt>
                <c:pt idx="150">
                  <c:v>2221.9650951422595</c:v>
                </c:pt>
                <c:pt idx="151">
                  <c:v>2220.7486214622436</c:v>
                </c:pt>
                <c:pt idx="152">
                  <c:v>2219.5435719432871</c:v>
                </c:pt>
                <c:pt idx="153">
                  <c:v>2218.3497653403601</c:v>
                </c:pt>
                <c:pt idx="154">
                  <c:v>2217.1670244400175</c:v>
                </c:pt>
                <c:pt idx="155">
                  <c:v>2215.9951759453552</c:v>
                </c:pt>
                <c:pt idx="156">
                  <c:v>2214.834050364962</c:v>
                </c:pt>
                <c:pt idx="157">
                  <c:v>2213.683481905709</c:v>
                </c:pt>
                <c:pt idx="158">
                  <c:v>2212.543308369211</c:v>
                </c:pt>
                <c:pt idx="159">
                  <c:v>2211.4133710518249</c:v>
                </c:pt>
                <c:pt idx="160">
                  <c:v>2210.2935146480281</c:v>
                </c:pt>
                <c:pt idx="161">
                  <c:v>2209.1835871570565</c:v>
                </c:pt>
                <c:pt idx="162">
                  <c:v>2208.0834397926656</c:v>
                </c:pt>
                <c:pt idx="163">
                  <c:v>2206.9929268958854</c:v>
                </c:pt>
                <c:pt idx="164">
                  <c:v>2205.9119058506722</c:v>
                </c:pt>
                <c:pt idx="165">
                  <c:v>2204.8402370023186</c:v>
                </c:pt>
                <c:pt idx="166">
                  <c:v>2203.7777835785369</c:v>
                </c:pt>
                <c:pt idx="167">
                  <c:v>2202.7244116131019</c:v>
                </c:pt>
                <c:pt idx="168">
                  <c:v>2201.6799898719555</c:v>
                </c:pt>
                <c:pt idx="169">
                  <c:v>2200.6443897816839</c:v>
                </c:pt>
                <c:pt idx="170">
                  <c:v>2199.6174853602747</c:v>
                </c:pt>
                <c:pt idx="171">
                  <c:v>2198.5991531500717</c:v>
                </c:pt>
                <c:pt idx="172">
                  <c:v>2197.589272152843</c:v>
                </c:pt>
                <c:pt idx="173">
                  <c:v>2196.5877237668769</c:v>
                </c:pt>
                <c:pt idx="174">
                  <c:v>2195.5943917260488</c:v>
                </c:pt>
                <c:pt idx="175">
                  <c:v>2194.6091620407692</c:v>
                </c:pt>
                <c:pt idx="176">
                  <c:v>2193.6319229407522</c:v>
                </c:pt>
                <c:pt idx="177">
                  <c:v>2192.6625648195391</c:v>
                </c:pt>
                <c:pt idx="178">
                  <c:v>2191.7009801807062</c:v>
                </c:pt>
                <c:pt idx="179">
                  <c:v>2190.7470635857103</c:v>
                </c:pt>
                <c:pt idx="180">
                  <c:v>2189.8007116033018</c:v>
                </c:pt>
                <c:pt idx="181">
                  <c:v>2188.8618227604493</c:v>
                </c:pt>
                <c:pt idx="182">
                  <c:v>2187.9302974947345</c:v>
                </c:pt>
                <c:pt idx="183">
                  <c:v>2187.0060381081453</c:v>
                </c:pt>
                <c:pt idx="184">
                  <c:v>2186.0889487222471</c:v>
                </c:pt>
                <c:pt idx="185">
                  <c:v>2185.1789352346577</c:v>
                </c:pt>
                <c:pt idx="186">
                  <c:v>2184.2759052767869</c:v>
                </c:pt>
                <c:pt idx="187">
                  <c:v>2183.3797681728165</c:v>
                </c:pt>
                <c:pt idx="188">
                  <c:v>2182.4904348998489</c:v>
                </c:pt>
                <c:pt idx="189">
                  <c:v>2181.6078180492054</c:v>
                </c:pt>
                <c:pt idx="190">
                  <c:v>2180.7318317888321</c:v>
                </c:pt>
                <c:pt idx="191">
                  <c:v>2179.8623918267695</c:v>
                </c:pt>
                <c:pt idx="192">
                  <c:v>2178.9994153756506</c:v>
                </c:pt>
                <c:pt idx="193">
                  <c:v>2178.1428211182056</c:v>
                </c:pt>
                <c:pt idx="194">
                  <c:v>2177.2925291737211</c:v>
                </c:pt>
                <c:pt idx="195">
                  <c:v>2176.4484610654431</c:v>
                </c:pt>
                <c:pt idx="196">
                  <c:v>2175.6105396888665</c:v>
                </c:pt>
                <c:pt idx="197">
                  <c:v>2174.7786892809172</c:v>
                </c:pt>
                <c:pt idx="198">
                  <c:v>2173.9528353899632</c:v>
                </c:pt>
                <c:pt idx="199">
                  <c:v>2173.132904846645</c:v>
                </c:pt>
                <c:pt idx="200">
                  <c:v>2172.3188257355073</c:v>
                </c:pt>
                <c:pt idx="201">
                  <c:v>2171.5105273673807</c:v>
                </c:pt>
                <c:pt idx="202">
                  <c:v>2170.7079402525214</c:v>
                </c:pt>
                <c:pt idx="203">
                  <c:v>2169.9109960744549</c:v>
                </c:pt>
                <c:pt idx="204">
                  <c:v>2169.1196276645219</c:v>
                </c:pt>
                <c:pt idx="205">
                  <c:v>2168.3337689770965</c:v>
                </c:pt>
                <c:pt idx="206">
                  <c:v>2167.5533550654591</c:v>
                </c:pt>
                <c:pt idx="207">
                  <c:v>2166.778322058296</c:v>
                </c:pt>
                <c:pt idx="208">
                  <c:v>2166.0086071368169</c:v>
                </c:pt>
                <c:pt idx="209">
                  <c:v>2165.2441485124655</c:v>
                </c:pt>
                <c:pt idx="210">
                  <c:v>2164.4848854052025</c:v>
                </c:pt>
                <c:pt idx="211">
                  <c:v>2163.730758022351</c:v>
                </c:pt>
                <c:pt idx="212">
                  <c:v>2162.9817075379815</c:v>
                </c:pt>
                <c:pt idx="213">
                  <c:v>2162.2376760728202</c:v>
                </c:pt>
                <c:pt idx="214">
                  <c:v>2161.4986066746719</c:v>
                </c:pt>
                <c:pt idx="215">
                  <c:v>2160.764443299332</c:v>
                </c:pt>
                <c:pt idx="216">
                  <c:v>2160.0351307919732</c:v>
                </c:pt>
                <c:pt idx="217">
                  <c:v>2159.3106148690126</c:v>
                </c:pt>
                <c:pt idx="218">
                  <c:v>2158.5908421004174</c:v>
                </c:pt>
                <c:pt idx="219">
                  <c:v>2157.8757598924494</c:v>
                </c:pt>
                <c:pt idx="220">
                  <c:v>2157.1653164708418</c:v>
                </c:pt>
                <c:pt idx="221">
                  <c:v>2156.4594608643838</c:v>
                </c:pt>
                <c:pt idx="222">
                  <c:v>2155.7581428889075</c:v>
                </c:pt>
                <c:pt idx="223">
                  <c:v>2155.0613131316659</c:v>
                </c:pt>
                <c:pt idx="224">
                  <c:v>2154.3689229360843</c:v>
                </c:pt>
                <c:pt idx="225">
                  <c:v>2153.6809243868906</c:v>
                </c:pt>
                <c:pt idx="226">
                  <c:v>2152.9972702955847</c:v>
                </c:pt>
                <c:pt idx="227">
                  <c:v>2152.3179141862724</c:v>
                </c:pt>
                <c:pt idx="228">
                  <c:v>2151.64281028183</c:v>
                </c:pt>
                <c:pt idx="229">
                  <c:v>2150.9719134903917</c:v>
                </c:pt>
                <c:pt idx="230">
                  <c:v>2150.3051793921622</c:v>
                </c:pt>
                <c:pt idx="231">
                  <c:v>2149.6425642265394</c:v>
                </c:pt>
                <c:pt idx="232">
                  <c:v>2148.9840248795299</c:v>
                </c:pt>
                <c:pt idx="233">
                  <c:v>2148.3295188714692</c:v>
                </c:pt>
                <c:pt idx="234">
                  <c:v>2147.6790043450187</c:v>
                </c:pt>
                <c:pt idx="235">
                  <c:v>2147.0324400534428</c:v>
                </c:pt>
                <c:pt idx="236">
                  <c:v>2146.3897853491512</c:v>
                </c:pt>
                <c:pt idx="237">
                  <c:v>2145.7510001725132</c:v>
                </c:pt>
                <c:pt idx="238">
                  <c:v>2145.1160450409138</c:v>
                </c:pt>
                <c:pt idx="239">
                  <c:v>2144.4848810380718</c:v>
                </c:pt>
                <c:pt idx="240">
                  <c:v>2143.8574698035886</c:v>
                </c:pt>
                <c:pt idx="241">
                  <c:v>2143.2337735227366</c:v>
                </c:pt>
                <c:pt idx="242">
                  <c:v>2142.6137549164796</c:v>
                </c:pt>
                <c:pt idx="243">
                  <c:v>2141.9973772317098</c:v>
                </c:pt>
                <c:pt idx="244">
                  <c:v>2141.3846042317068</c:v>
                </c:pt>
                <c:pt idx="245">
                  <c:v>2140.7754001868047</c:v>
                </c:pt>
                <c:pt idx="246">
                  <c:v>2140.169729865268</c:v>
                </c:pt>
                <c:pt idx="247">
                  <c:v>2139.5675585243657</c:v>
                </c:pt>
                <c:pt idx="248">
                  <c:v>2138.9688519016413</c:v>
                </c:pt>
                <c:pt idx="249">
                  <c:v>2138.3735762063716</c:v>
                </c:pt>
                <c:pt idx="250">
                  <c:v>2137.7816981112187</c:v>
                </c:pt>
                <c:pt idx="251">
                  <c:v>2137.1931847440455</c:v>
                </c:pt>
                <c:pt idx="252">
                  <c:v>2136.608003679929</c:v>
                </c:pt>
                <c:pt idx="253">
                  <c:v>2136.0261229333282</c:v>
                </c:pt>
                <c:pt idx="254">
                  <c:v>2135.4475109504237</c:v>
                </c:pt>
                <c:pt idx="255">
                  <c:v>2134.8721366016284</c:v>
                </c:pt>
                <c:pt idx="256">
                  <c:v>2134.2999691742425</c:v>
                </c:pt>
                <c:pt idx="257">
                  <c:v>2133.7309783652768</c:v>
                </c:pt>
                <c:pt idx="258">
                  <c:v>2133.1651342744199</c:v>
                </c:pt>
                <c:pt idx="259">
                  <c:v>2132.6024073971539</c:v>
                </c:pt>
                <c:pt idx="260">
                  <c:v>2132.0427686180151</c:v>
                </c:pt>
                <c:pt idx="261">
                  <c:v>2131.4861892039921</c:v>
                </c:pt>
                <c:pt idx="262">
                  <c:v>2130.932640798067</c:v>
                </c:pt>
                <c:pt idx="263">
                  <c:v>2130.3820954128796</c:v>
                </c:pt>
                <c:pt idx="264">
                  <c:v>2129.8345254245314</c:v>
                </c:pt>
                <c:pt idx="265">
                  <c:v>2129.2899035665109</c:v>
                </c:pt>
                <c:pt idx="266">
                  <c:v>2128.7482029237472</c:v>
                </c:pt>
                <c:pt idx="267">
                  <c:v>2128.209396926778</c:v>
                </c:pt>
                <c:pt idx="268">
                  <c:v>2127.6734593460433</c:v>
                </c:pt>
                <c:pt idx="269">
                  <c:v>2127.1403642862883</c:v>
                </c:pt>
                <c:pt idx="270">
                  <c:v>2126.6100861810819</c:v>
                </c:pt>
                <c:pt idx="271">
                  <c:v>2126.0825997874426</c:v>
                </c:pt>
                <c:pt idx="272">
                  <c:v>2125.5578801805755</c:v>
                </c:pt>
                <c:pt idx="273">
                  <c:v>2125.0359027487102</c:v>
                </c:pt>
                <c:pt idx="274">
                  <c:v>2124.5166431880407</c:v>
                </c:pt>
                <c:pt idx="275">
                  <c:v>2124.0000774977707</c:v>
                </c:pt>
                <c:pt idx="276">
                  <c:v>2123.4861819752477</c:v>
                </c:pt>
                <c:pt idx="277">
                  <c:v>2122.9749332112006</c:v>
                </c:pt>
                <c:pt idx="278">
                  <c:v>2122.4663080850651</c:v>
                </c:pt>
                <c:pt idx="279">
                  <c:v>2121.960283760402</c:v>
                </c:pt>
                <c:pt idx="280">
                  <c:v>2121.4568376804036</c:v>
                </c:pt>
                <c:pt idx="281">
                  <c:v>2120.9559475634869</c:v>
                </c:pt>
                <c:pt idx="282">
                  <c:v>2120.4575913989734</c:v>
                </c:pt>
                <c:pt idx="283">
                  <c:v>2119.9617474428505</c:v>
                </c:pt>
                <c:pt idx="284">
                  <c:v>2119.4683942136094</c:v>
                </c:pt>
                <c:pt idx="285">
                  <c:v>2118.9775104881742</c:v>
                </c:pt>
                <c:pt idx="286">
                  <c:v>2118.4890752978945</c:v>
                </c:pt>
                <c:pt idx="287">
                  <c:v>2118.0030679246174</c:v>
                </c:pt>
                <c:pt idx="288">
                  <c:v>2117.5194678968473</c:v>
                </c:pt>
                <c:pt idx="289">
                  <c:v>2117.0382549859551</c:v>
                </c:pt>
                <c:pt idx="290">
                  <c:v>2116.5594092024735</c:v>
                </c:pt>
                <c:pt idx="291">
                  <c:v>2116.0829107924615</c:v>
                </c:pt>
                <c:pt idx="292">
                  <c:v>2115.6087402339276</c:v>
                </c:pt>
                <c:pt idx="293">
                  <c:v>2115.1368782333243</c:v>
                </c:pt>
                <c:pt idx="294">
                  <c:v>2114.6673057221137</c:v>
                </c:pt>
                <c:pt idx="295">
                  <c:v>2114.2000038533806</c:v>
                </c:pt>
                <c:pt idx="296">
                  <c:v>2113.734953998523</c:v>
                </c:pt>
                <c:pt idx="297">
                  <c:v>2113.2721377439975</c:v>
                </c:pt>
                <c:pt idx="298">
                  <c:v>2112.8115368881181</c:v>
                </c:pt>
                <c:pt idx="299">
                  <c:v>2112.3531334379263</c:v>
                </c:pt>
                <c:pt idx="300">
                  <c:v>2111.8969096061037</c:v>
                </c:pt>
                <c:pt idx="301">
                  <c:v>2111.4428478079481</c:v>
                </c:pt>
                <c:pt idx="302">
                  <c:v>2110.990930658405</c:v>
                </c:pt>
                <c:pt idx="303">
                  <c:v>2110.5411409691469</c:v>
                </c:pt>
                <c:pt idx="304">
                  <c:v>2110.0934617457092</c:v>
                </c:pt>
                <c:pt idx="305">
                  <c:v>2109.6478761846752</c:v>
                </c:pt>
                <c:pt idx="306">
                  <c:v>2109.2043676709086</c:v>
                </c:pt>
                <c:pt idx="307">
                  <c:v>2108.7629197748447</c:v>
                </c:pt>
                <c:pt idx="308">
                  <c:v>2108.3235162498136</c:v>
                </c:pt>
                <c:pt idx="309">
                  <c:v>2107.8861410294262</c:v>
                </c:pt>
                <c:pt idx="310">
                  <c:v>2107.4507782249916</c:v>
                </c:pt>
                <c:pt idx="311">
                  <c:v>2107.0174121229961</c:v>
                </c:pt>
                <c:pt idx="312">
                  <c:v>2106.5860271826073</c:v>
                </c:pt>
                <c:pt idx="313">
                  <c:v>2106.1566080332377</c:v>
                </c:pt>
                <c:pt idx="314">
                  <c:v>2105.7291394721424</c:v>
                </c:pt>
                <c:pt idx="315">
                  <c:v>2105.3036064620546</c:v>
                </c:pt>
                <c:pt idx="316">
                  <c:v>2104.879994128873</c:v>
                </c:pt>
                <c:pt idx="317">
                  <c:v>2104.4582877593798</c:v>
                </c:pt>
                <c:pt idx="318">
                  <c:v>2104.038472798999</c:v>
                </c:pt>
                <c:pt idx="319">
                  <c:v>2103.6205348495964</c:v>
                </c:pt>
                <c:pt idx="320">
                  <c:v>2103.2044596673118</c:v>
                </c:pt>
                <c:pt idx="321">
                  <c:v>2102.7902331604337</c:v>
                </c:pt>
                <c:pt idx="322">
                  <c:v>2102.3778413873056</c:v>
                </c:pt>
                <c:pt idx="323">
                  <c:v>2101.9672705542653</c:v>
                </c:pt>
                <c:pt idx="324">
                  <c:v>2101.5585070136303</c:v>
                </c:pt>
                <c:pt idx="325">
                  <c:v>2101.1515372616986</c:v>
                </c:pt>
                <c:pt idx="326">
                  <c:v>2100.7463479368007</c:v>
                </c:pt>
                <c:pt idx="327">
                  <c:v>2100.3429258173705</c:v>
                </c:pt>
                <c:pt idx="328">
                  <c:v>2099.9412578200577</c:v>
                </c:pt>
                <c:pt idx="329">
                  <c:v>2099.5413309978671</c:v>
                </c:pt>
                <c:pt idx="330">
                  <c:v>2099.1431325383242</c:v>
                </c:pt>
                <c:pt idx="331">
                  <c:v>2098.746649761682</c:v>
                </c:pt>
                <c:pt idx="332">
                  <c:v>2098.3518701191433</c:v>
                </c:pt>
                <c:pt idx="333">
                  <c:v>2097.9587811911247</c:v>
                </c:pt>
                <c:pt idx="334">
                  <c:v>2097.5673706855455</c:v>
                </c:pt>
                <c:pt idx="335">
                  <c:v>2097.1776264361301</c:v>
                </c:pt>
                <c:pt idx="336">
                  <c:v>2096.7895364007645</c:v>
                </c:pt>
                <c:pt idx="337">
                  <c:v>2096.4030886598562</c:v>
                </c:pt>
                <c:pt idx="338">
                  <c:v>2096.0182714147286</c:v>
                </c:pt>
                <c:pt idx="339">
                  <c:v>2095.6350729860478</c:v>
                </c:pt>
                <c:pt idx="340">
                  <c:v>2095.2534818122595</c:v>
                </c:pt>
                <c:pt idx="341">
                  <c:v>2094.8734864480657</c:v>
                </c:pt>
                <c:pt idx="342">
                  <c:v>2094.4950755629166</c:v>
                </c:pt>
                <c:pt idx="343">
                  <c:v>2094.1182379395309</c:v>
                </c:pt>
                <c:pt idx="344">
                  <c:v>2093.7429624724359</c:v>
                </c:pt>
                <c:pt idx="345">
                  <c:v>2093.3692381665296</c:v>
                </c:pt>
                <c:pt idx="346">
                  <c:v>2092.9970541356765</c:v>
                </c:pt>
                <c:pt idx="347">
                  <c:v>2092.6263996013058</c:v>
                </c:pt>
                <c:pt idx="348">
                  <c:v>2092.257263891051</c:v>
                </c:pt>
                <c:pt idx="349">
                  <c:v>2091.8896364373995</c:v>
                </c:pt>
                <c:pt idx="350">
                  <c:v>2091.5235067763656</c:v>
                </c:pt>
                <c:pt idx="351">
                  <c:v>2091.1588645461811</c:v>
                </c:pt>
                <c:pt idx="352">
                  <c:v>2090.7956994860165</c:v>
                </c:pt>
                <c:pt idx="353">
                  <c:v>2090.4340014347081</c:v>
                </c:pt>
                <c:pt idx="354">
                  <c:v>2090.0737603295142</c:v>
                </c:pt>
                <c:pt idx="355">
                  <c:v>2089.714966204886</c:v>
                </c:pt>
                <c:pt idx="356">
                  <c:v>2089.3576091912614</c:v>
                </c:pt>
                <c:pt idx="357">
                  <c:v>2089.0016795138667</c:v>
                </c:pt>
                <c:pt idx="358">
                  <c:v>2088.6471674915533</c:v>
                </c:pt>
                <c:pt idx="359">
                  <c:v>2088.2940635356385</c:v>
                </c:pt>
                <c:pt idx="360">
                  <c:v>2087.9423581487672</c:v>
                </c:pt>
                <c:pt idx="361">
                  <c:v>2087.5920419237905</c:v>
                </c:pt>
                <c:pt idx="362">
                  <c:v>2087.2431055426655</c:v>
                </c:pt>
                <c:pt idx="363">
                  <c:v>2086.8955397753671</c:v>
                </c:pt>
                <c:pt idx="364">
                  <c:v>2086.5493354788155</c:v>
                </c:pt>
                <c:pt idx="365">
                  <c:v>2086.2044835958222</c:v>
                </c:pt>
                <c:pt idx="366">
                  <c:v>2085.8609751540516</c:v>
                </c:pt>
                <c:pt idx="367">
                  <c:v>2085.5188012649937</c:v>
                </c:pt>
                <c:pt idx="368">
                  <c:v>2085.1779531229604</c:v>
                </c:pt>
                <c:pt idx="369">
                  <c:v>2084.8384220040871</c:v>
                </c:pt>
                <c:pt idx="370">
                  <c:v>2084.500199265357</c:v>
                </c:pt>
                <c:pt idx="371">
                  <c:v>2084.1632763436291</c:v>
                </c:pt>
                <c:pt idx="372">
                  <c:v>2083.8276447546978</c:v>
                </c:pt>
                <c:pt idx="373">
                  <c:v>2083.4932960923447</c:v>
                </c:pt>
                <c:pt idx="374">
                  <c:v>2083.1602220274244</c:v>
                </c:pt>
                <c:pt idx="375">
                  <c:v>2082.8284143069477</c:v>
                </c:pt>
                <c:pt idx="376">
                  <c:v>2082.4978647531871</c:v>
                </c:pt>
                <c:pt idx="377">
                  <c:v>2082.1685652627921</c:v>
                </c:pt>
                <c:pt idx="378">
                  <c:v>2081.84050780592</c:v>
                </c:pt>
                <c:pt idx="379">
                  <c:v>2081.513684425372</c:v>
                </c:pt>
                <c:pt idx="380">
                  <c:v>2081.1880872357538</c:v>
                </c:pt>
                <c:pt idx="381">
                  <c:v>2080.8637084226325</c:v>
                </c:pt>
                <c:pt idx="382">
                  <c:v>2080.54054024172</c:v>
                </c:pt>
                <c:pt idx="383">
                  <c:v>2080.2185750180588</c:v>
                </c:pt>
                <c:pt idx="384">
                  <c:v>2079.8978051452245</c:v>
                </c:pt>
                <c:pt idx="385">
                  <c:v>2079.578223084538</c:v>
                </c:pt>
                <c:pt idx="386">
                  <c:v>2079.2598213642818</c:v>
                </c:pt>
                <c:pt idx="387">
                  <c:v>2078.9425925789428</c:v>
                </c:pt>
                <c:pt idx="388">
                  <c:v>2078.6265293884503</c:v>
                </c:pt>
                <c:pt idx="389">
                  <c:v>2078.3116245174342</c:v>
                </c:pt>
                <c:pt idx="390">
                  <c:v>2077.997870754486</c:v>
                </c:pt>
                <c:pt idx="391">
                  <c:v>2077.6852609514413</c:v>
                </c:pt>
                <c:pt idx="392">
                  <c:v>2077.3737880226568</c:v>
                </c:pt>
                <c:pt idx="393">
                  <c:v>2077.0634449443141</c:v>
                </c:pt>
                <c:pt idx="394">
                  <c:v>2076.7542247537172</c:v>
                </c:pt>
                <c:pt idx="395">
                  <c:v>2076.4461205486132</c:v>
                </c:pt>
                <c:pt idx="396">
                  <c:v>2076.1391254865134</c:v>
                </c:pt>
                <c:pt idx="397">
                  <c:v>2075.8332327840239</c:v>
                </c:pt>
                <c:pt idx="398">
                  <c:v>2075.5284357161945</c:v>
                </c:pt>
                <c:pt idx="399">
                  <c:v>2075.224727615865</c:v>
                </c:pt>
                <c:pt idx="400">
                  <c:v>2074.9221018730273</c:v>
                </c:pt>
                <c:pt idx="401">
                  <c:v>2074.6205519341934</c:v>
                </c:pt>
                <c:pt idx="402">
                  <c:v>2074.3200713017727</c:v>
                </c:pt>
                <c:pt idx="403">
                  <c:v>2074.020653533456</c:v>
                </c:pt>
                <c:pt idx="404">
                  <c:v>2073.7222922416158</c:v>
                </c:pt>
                <c:pt idx="405">
                  <c:v>2073.4249810927004</c:v>
                </c:pt>
                <c:pt idx="406">
                  <c:v>2073.1287138066496</c:v>
                </c:pt>
                <c:pt idx="407">
                  <c:v>2072.8334841563069</c:v>
                </c:pt>
                <c:pt idx="408">
                  <c:v>2072.5392859668527</c:v>
                </c:pt>
                <c:pt idx="409">
                  <c:v>2072.2461131152327</c:v>
                </c:pt>
                <c:pt idx="410">
                  <c:v>2071.9539595295992</c:v>
                </c:pt>
                <c:pt idx="411">
                  <c:v>2071.6628191887585</c:v>
                </c:pt>
                <c:pt idx="412">
                  <c:v>2071.3726861216292</c:v>
                </c:pt>
                <c:pt idx="413">
                  <c:v>2071.0835544067031</c:v>
                </c:pt>
                <c:pt idx="414">
                  <c:v>2070.795418171514</c:v>
                </c:pt>
                <c:pt idx="415">
                  <c:v>2070.5082715921171</c:v>
                </c:pt>
                <c:pt idx="416">
                  <c:v>2070.222108892568</c:v>
                </c:pt>
                <c:pt idx="417">
                  <c:v>2069.936924344418</c:v>
                </c:pt>
                <c:pt idx="418">
                  <c:v>2069.652712266206</c:v>
                </c:pt>
                <c:pt idx="419">
                  <c:v>2069.3694670229665</c:v>
                </c:pt>
                <c:pt idx="420">
                  <c:v>2069.0871830257347</c:v>
                </c:pt>
                <c:pt idx="421">
                  <c:v>2068.805854731067</c:v>
                </c:pt>
                <c:pt idx="422">
                  <c:v>2068.5254766405574</c:v>
                </c:pt>
                <c:pt idx="423">
                  <c:v>2068.2460433003739</c:v>
                </c:pt>
                <c:pt idx="424">
                  <c:v>2067.9675493007867</c:v>
                </c:pt>
                <c:pt idx="425">
                  <c:v>2067.6899892757092</c:v>
                </c:pt>
                <c:pt idx="426">
                  <c:v>2067.4133579022473</c:v>
                </c:pt>
                <c:pt idx="427">
                  <c:v>2067.1376499002477</c:v>
                </c:pt>
                <c:pt idx="428">
                  <c:v>2066.8628600318611</c:v>
                </c:pt>
                <c:pt idx="429">
                  <c:v>2066.5889831010968</c:v>
                </c:pt>
                <c:pt idx="430">
                  <c:v>2066.316013953402</c:v>
                </c:pt>
                <c:pt idx="431">
                  <c:v>2066.0439474752247</c:v>
                </c:pt>
                <c:pt idx="432">
                  <c:v>2065.7727785936036</c:v>
                </c:pt>
                <c:pt idx="433">
                  <c:v>2065.5025022757477</c:v>
                </c:pt>
                <c:pt idx="434">
                  <c:v>2065.2331135286258</c:v>
                </c:pt>
                <c:pt idx="435">
                  <c:v>2064.9646073985641</c:v>
                </c:pt>
                <c:pt idx="436">
                  <c:v>2064.6969789708455</c:v>
                </c:pt>
                <c:pt idx="437">
                  <c:v>2064.4302233693147</c:v>
                </c:pt>
                <c:pt idx="438">
                  <c:v>2064.1643357559856</c:v>
                </c:pt>
                <c:pt idx="439">
                  <c:v>2063.8993113306633</c:v>
                </c:pt>
                <c:pt idx="440">
                  <c:v>2063.6351453305547</c:v>
                </c:pt>
                <c:pt idx="441">
                  <c:v>2063.3718330299012</c:v>
                </c:pt>
                <c:pt idx="442">
                  <c:v>2063.1093697396004</c:v>
                </c:pt>
                <c:pt idx="443">
                  <c:v>2062.8477508068459</c:v>
                </c:pt>
                <c:pt idx="444">
                  <c:v>2062.5869716147595</c:v>
                </c:pt>
                <c:pt idx="445">
                  <c:v>2062.3270275820396</c:v>
                </c:pt>
                <c:pt idx="446">
                  <c:v>2062.0679141626015</c:v>
                </c:pt>
                <c:pt idx="447">
                  <c:v>2061.8096268452323</c:v>
                </c:pt>
                <c:pt idx="448">
                  <c:v>2061.5521611532477</c:v>
                </c:pt>
                <c:pt idx="449">
                  <c:v>2061.295512644147</c:v>
                </c:pt>
                <c:pt idx="450">
                  <c:v>2061.0396769092808</c:v>
                </c:pt>
                <c:pt idx="451">
                  <c:v>2060.7846495735134</c:v>
                </c:pt>
                <c:pt idx="452">
                  <c:v>2060.5304262949016</c:v>
                </c:pt>
                <c:pt idx="453">
                  <c:v>2060.2770027643628</c:v>
                </c:pt>
                <c:pt idx="454">
                  <c:v>2060.0243747053596</c:v>
                </c:pt>
                <c:pt idx="455">
                  <c:v>2059.7725378735813</c:v>
                </c:pt>
                <c:pt idx="456">
                  <c:v>2059.5214880566305</c:v>
                </c:pt>
                <c:pt idx="457">
                  <c:v>2059.2712210737127</c:v>
                </c:pt>
                <c:pt idx="458">
                  <c:v>2059.0217327753339</c:v>
                </c:pt>
                <c:pt idx="459">
                  <c:v>2058.7730190429975</c:v>
                </c:pt>
                <c:pt idx="460">
                  <c:v>2058.5250757889025</c:v>
                </c:pt>
                <c:pt idx="461">
                  <c:v>2058.2778989556523</c:v>
                </c:pt>
                <c:pt idx="462">
                  <c:v>2058.0314845159628</c:v>
                </c:pt>
                <c:pt idx="463">
                  <c:v>2057.7858284723739</c:v>
                </c:pt>
                <c:pt idx="464">
                  <c:v>2057.5409268569624</c:v>
                </c:pt>
                <c:pt idx="465">
                  <c:v>2057.2967757310662</c:v>
                </c:pt>
                <c:pt idx="466">
                  <c:v>2057.0533711849994</c:v>
                </c:pt>
                <c:pt idx="467">
                  <c:v>2056.810709337783</c:v>
                </c:pt>
                <c:pt idx="468">
                  <c:v>2056.5687863368707</c:v>
                </c:pt>
                <c:pt idx="469">
                  <c:v>2056.3275983578806</c:v>
                </c:pt>
                <c:pt idx="470">
                  <c:v>2056.0871416043306</c:v>
                </c:pt>
                <c:pt idx="471">
                  <c:v>2055.8474123073747</c:v>
                </c:pt>
                <c:pt idx="472">
                  <c:v>2055.6084067255451</c:v>
                </c:pt>
                <c:pt idx="473">
                  <c:v>2055.3701211444945</c:v>
                </c:pt>
                <c:pt idx="474">
                  <c:v>2055.132551876743</c:v>
                </c:pt>
                <c:pt idx="475">
                  <c:v>2054.8956952614308</c:v>
                </c:pt>
                <c:pt idx="476">
                  <c:v>2054.6595476640637</c:v>
                </c:pt>
                <c:pt idx="477">
                  <c:v>2054.4241054762742</c:v>
                </c:pt>
                <c:pt idx="478">
                  <c:v>2054.1893651155788</c:v>
                </c:pt>
                <c:pt idx="479">
                  <c:v>2053.9553230251336</c:v>
                </c:pt>
                <c:pt idx="480">
                  <c:v>2053.7219756735058</c:v>
                </c:pt>
                <c:pt idx="481">
                  <c:v>2053.4893195544319</c:v>
                </c:pt>
                <c:pt idx="482">
                  <c:v>2053.2573511865912</c:v>
                </c:pt>
                <c:pt idx="483">
                  <c:v>2053.0260671133765</c:v>
                </c:pt>
                <c:pt idx="484">
                  <c:v>2052.7954639026652</c:v>
                </c:pt>
                <c:pt idx="485">
                  <c:v>2052.5655381465999</c:v>
                </c:pt>
                <c:pt idx="486">
                  <c:v>2052.3362864613646</c:v>
                </c:pt>
                <c:pt idx="487">
                  <c:v>2052.1077054869634</c:v>
                </c:pt>
                <c:pt idx="488">
                  <c:v>2051.8797918870132</c:v>
                </c:pt>
                <c:pt idx="489">
                  <c:v>2051.6525423485186</c:v>
                </c:pt>
                <c:pt idx="490">
                  <c:v>2051.4259535816686</c:v>
                </c:pt>
                <c:pt idx="491">
                  <c:v>2051.2000223196246</c:v>
                </c:pt>
                <c:pt idx="492">
                  <c:v>2050.9747453183136</c:v>
                </c:pt>
                <c:pt idx="493">
                  <c:v>2050.7501193562239</c:v>
                </c:pt>
                <c:pt idx="494">
                  <c:v>2050.526141234202</c:v>
                </c:pt>
                <c:pt idx="495">
                  <c:v>2050.3028077752556</c:v>
                </c:pt>
                <c:pt idx="496">
                  <c:v>2050.0801158243507</c:v>
                </c:pt>
                <c:pt idx="497">
                  <c:v>2049.8580622482204</c:v>
                </c:pt>
                <c:pt idx="498">
                  <c:v>2049.6366439351705</c:v>
                </c:pt>
                <c:pt idx="499">
                  <c:v>2049.4158577948829</c:v>
                </c:pt>
              </c:numCache>
            </c:numRef>
          </c:yVal>
          <c:smooth val="0"/>
          <c:extLst>
            <c:ext xmlns:c16="http://schemas.microsoft.com/office/drawing/2014/chart" uri="{C3380CC4-5D6E-409C-BE32-E72D297353CC}">
              <c16:uniqueId val="{00000000-BBA3-493E-B75A-349DC9352E9D}"/>
            </c:ext>
          </c:extLst>
        </c:ser>
        <c:ser>
          <c:idx val="1"/>
          <c:order val="1"/>
          <c:tx>
            <c:v>Solid Sorbent model</c:v>
          </c:tx>
          <c:spPr>
            <a:ln w="15875" cap="rnd">
              <a:solidFill>
                <a:schemeClr val="accent1"/>
              </a:solidFill>
              <a:round/>
            </a:ln>
            <a:effectLst/>
          </c:spPr>
          <c:marker>
            <c:symbol val="none"/>
          </c:marker>
          <c:xVal>
            <c:numRef>
              <c:f>cost_scaling_DAC!$F$77:$F$576</c:f>
              <c:numCache>
                <c:formatCode>General</c:formatCode>
                <c:ptCount val="500"/>
                <c:pt idx="0">
                  <c:v>2000</c:v>
                </c:pt>
                <c:pt idx="1">
                  <c:v>4000</c:v>
                </c:pt>
                <c:pt idx="2">
                  <c:v>6000</c:v>
                </c:pt>
                <c:pt idx="3">
                  <c:v>8000</c:v>
                </c:pt>
                <c:pt idx="4">
                  <c:v>10000</c:v>
                </c:pt>
                <c:pt idx="5">
                  <c:v>12000</c:v>
                </c:pt>
                <c:pt idx="6">
                  <c:v>14000</c:v>
                </c:pt>
                <c:pt idx="7">
                  <c:v>16000</c:v>
                </c:pt>
                <c:pt idx="8">
                  <c:v>18000</c:v>
                </c:pt>
                <c:pt idx="9">
                  <c:v>20000</c:v>
                </c:pt>
                <c:pt idx="10">
                  <c:v>22000</c:v>
                </c:pt>
                <c:pt idx="11">
                  <c:v>24000</c:v>
                </c:pt>
                <c:pt idx="12">
                  <c:v>26000</c:v>
                </c:pt>
                <c:pt idx="13">
                  <c:v>28000</c:v>
                </c:pt>
                <c:pt idx="14">
                  <c:v>30000</c:v>
                </c:pt>
                <c:pt idx="15">
                  <c:v>32000</c:v>
                </c:pt>
                <c:pt idx="16">
                  <c:v>34000</c:v>
                </c:pt>
                <c:pt idx="17">
                  <c:v>36000</c:v>
                </c:pt>
                <c:pt idx="18">
                  <c:v>38000</c:v>
                </c:pt>
                <c:pt idx="19">
                  <c:v>40000</c:v>
                </c:pt>
                <c:pt idx="20">
                  <c:v>42000</c:v>
                </c:pt>
                <c:pt idx="21">
                  <c:v>44000</c:v>
                </c:pt>
                <c:pt idx="22">
                  <c:v>46000</c:v>
                </c:pt>
                <c:pt idx="23">
                  <c:v>48000</c:v>
                </c:pt>
                <c:pt idx="24">
                  <c:v>50000</c:v>
                </c:pt>
                <c:pt idx="25">
                  <c:v>52000</c:v>
                </c:pt>
                <c:pt idx="26">
                  <c:v>54000</c:v>
                </c:pt>
                <c:pt idx="27">
                  <c:v>56000</c:v>
                </c:pt>
                <c:pt idx="28">
                  <c:v>58000</c:v>
                </c:pt>
                <c:pt idx="29">
                  <c:v>60000</c:v>
                </c:pt>
                <c:pt idx="30">
                  <c:v>62000</c:v>
                </c:pt>
                <c:pt idx="31">
                  <c:v>64000</c:v>
                </c:pt>
                <c:pt idx="32">
                  <c:v>66000</c:v>
                </c:pt>
                <c:pt idx="33">
                  <c:v>68000</c:v>
                </c:pt>
                <c:pt idx="34">
                  <c:v>70000</c:v>
                </c:pt>
                <c:pt idx="35">
                  <c:v>72000</c:v>
                </c:pt>
                <c:pt idx="36">
                  <c:v>74000</c:v>
                </c:pt>
                <c:pt idx="37">
                  <c:v>76000</c:v>
                </c:pt>
                <c:pt idx="38">
                  <c:v>78000</c:v>
                </c:pt>
                <c:pt idx="39">
                  <c:v>80000</c:v>
                </c:pt>
                <c:pt idx="40">
                  <c:v>82000</c:v>
                </c:pt>
                <c:pt idx="41">
                  <c:v>84000</c:v>
                </c:pt>
                <c:pt idx="42">
                  <c:v>86000</c:v>
                </c:pt>
                <c:pt idx="43">
                  <c:v>88000</c:v>
                </c:pt>
                <c:pt idx="44">
                  <c:v>90000</c:v>
                </c:pt>
                <c:pt idx="45">
                  <c:v>92000</c:v>
                </c:pt>
                <c:pt idx="46">
                  <c:v>94000</c:v>
                </c:pt>
                <c:pt idx="47">
                  <c:v>96000</c:v>
                </c:pt>
                <c:pt idx="48">
                  <c:v>98000</c:v>
                </c:pt>
                <c:pt idx="49">
                  <c:v>100000</c:v>
                </c:pt>
                <c:pt idx="50">
                  <c:v>102000</c:v>
                </c:pt>
                <c:pt idx="51">
                  <c:v>104000</c:v>
                </c:pt>
                <c:pt idx="52">
                  <c:v>106000</c:v>
                </c:pt>
                <c:pt idx="53">
                  <c:v>108000</c:v>
                </c:pt>
                <c:pt idx="54">
                  <c:v>110000</c:v>
                </c:pt>
                <c:pt idx="55">
                  <c:v>112000</c:v>
                </c:pt>
                <c:pt idx="56">
                  <c:v>114000</c:v>
                </c:pt>
                <c:pt idx="57">
                  <c:v>116000</c:v>
                </c:pt>
                <c:pt idx="58">
                  <c:v>118000</c:v>
                </c:pt>
                <c:pt idx="59">
                  <c:v>120000</c:v>
                </c:pt>
                <c:pt idx="60">
                  <c:v>122000</c:v>
                </c:pt>
                <c:pt idx="61">
                  <c:v>124000</c:v>
                </c:pt>
                <c:pt idx="62">
                  <c:v>126000</c:v>
                </c:pt>
                <c:pt idx="63">
                  <c:v>128000</c:v>
                </c:pt>
                <c:pt idx="64">
                  <c:v>130000</c:v>
                </c:pt>
                <c:pt idx="65">
                  <c:v>132000</c:v>
                </c:pt>
                <c:pt idx="66">
                  <c:v>134000</c:v>
                </c:pt>
                <c:pt idx="67">
                  <c:v>136000</c:v>
                </c:pt>
                <c:pt idx="68">
                  <c:v>138000</c:v>
                </c:pt>
                <c:pt idx="69">
                  <c:v>140000</c:v>
                </c:pt>
                <c:pt idx="70">
                  <c:v>142000</c:v>
                </c:pt>
                <c:pt idx="71">
                  <c:v>144000</c:v>
                </c:pt>
                <c:pt idx="72">
                  <c:v>146000</c:v>
                </c:pt>
                <c:pt idx="73">
                  <c:v>148000</c:v>
                </c:pt>
                <c:pt idx="74">
                  <c:v>150000</c:v>
                </c:pt>
                <c:pt idx="75">
                  <c:v>152000</c:v>
                </c:pt>
                <c:pt idx="76">
                  <c:v>154000</c:v>
                </c:pt>
                <c:pt idx="77">
                  <c:v>156000</c:v>
                </c:pt>
                <c:pt idx="78">
                  <c:v>158000</c:v>
                </c:pt>
                <c:pt idx="79">
                  <c:v>160000</c:v>
                </c:pt>
                <c:pt idx="80">
                  <c:v>162000</c:v>
                </c:pt>
                <c:pt idx="81">
                  <c:v>164000</c:v>
                </c:pt>
                <c:pt idx="82">
                  <c:v>166000</c:v>
                </c:pt>
                <c:pt idx="83">
                  <c:v>168000</c:v>
                </c:pt>
                <c:pt idx="84">
                  <c:v>170000</c:v>
                </c:pt>
                <c:pt idx="85">
                  <c:v>172000</c:v>
                </c:pt>
                <c:pt idx="86">
                  <c:v>174000</c:v>
                </c:pt>
                <c:pt idx="87">
                  <c:v>176000</c:v>
                </c:pt>
                <c:pt idx="88">
                  <c:v>178000</c:v>
                </c:pt>
                <c:pt idx="89">
                  <c:v>180000</c:v>
                </c:pt>
                <c:pt idx="90">
                  <c:v>182000</c:v>
                </c:pt>
                <c:pt idx="91">
                  <c:v>184000</c:v>
                </c:pt>
                <c:pt idx="92">
                  <c:v>186000</c:v>
                </c:pt>
                <c:pt idx="93">
                  <c:v>188000</c:v>
                </c:pt>
                <c:pt idx="94">
                  <c:v>190000</c:v>
                </c:pt>
                <c:pt idx="95">
                  <c:v>192000</c:v>
                </c:pt>
                <c:pt idx="96">
                  <c:v>194000</c:v>
                </c:pt>
                <c:pt idx="97">
                  <c:v>196000</c:v>
                </c:pt>
                <c:pt idx="98">
                  <c:v>198000</c:v>
                </c:pt>
                <c:pt idx="99">
                  <c:v>200000</c:v>
                </c:pt>
                <c:pt idx="100">
                  <c:v>202000</c:v>
                </c:pt>
                <c:pt idx="101">
                  <c:v>204000</c:v>
                </c:pt>
                <c:pt idx="102">
                  <c:v>206000</c:v>
                </c:pt>
                <c:pt idx="103">
                  <c:v>208000</c:v>
                </c:pt>
                <c:pt idx="104">
                  <c:v>210000</c:v>
                </c:pt>
                <c:pt idx="105">
                  <c:v>212000</c:v>
                </c:pt>
                <c:pt idx="106">
                  <c:v>214000</c:v>
                </c:pt>
                <c:pt idx="107">
                  <c:v>216000</c:v>
                </c:pt>
                <c:pt idx="108">
                  <c:v>218000</c:v>
                </c:pt>
                <c:pt idx="109">
                  <c:v>220000</c:v>
                </c:pt>
                <c:pt idx="110">
                  <c:v>222000</c:v>
                </c:pt>
                <c:pt idx="111">
                  <c:v>224000</c:v>
                </c:pt>
                <c:pt idx="112">
                  <c:v>226000</c:v>
                </c:pt>
                <c:pt idx="113">
                  <c:v>228000</c:v>
                </c:pt>
                <c:pt idx="114">
                  <c:v>230000</c:v>
                </c:pt>
                <c:pt idx="115">
                  <c:v>232000</c:v>
                </c:pt>
                <c:pt idx="116">
                  <c:v>234000</c:v>
                </c:pt>
                <c:pt idx="117">
                  <c:v>236000</c:v>
                </c:pt>
                <c:pt idx="118">
                  <c:v>238000</c:v>
                </c:pt>
                <c:pt idx="119">
                  <c:v>240000</c:v>
                </c:pt>
                <c:pt idx="120">
                  <c:v>242000</c:v>
                </c:pt>
                <c:pt idx="121">
                  <c:v>244000</c:v>
                </c:pt>
                <c:pt idx="122">
                  <c:v>246000</c:v>
                </c:pt>
                <c:pt idx="123">
                  <c:v>248000</c:v>
                </c:pt>
                <c:pt idx="124">
                  <c:v>250000</c:v>
                </c:pt>
                <c:pt idx="125">
                  <c:v>252000</c:v>
                </c:pt>
                <c:pt idx="126">
                  <c:v>254000</c:v>
                </c:pt>
                <c:pt idx="127">
                  <c:v>256000</c:v>
                </c:pt>
                <c:pt idx="128">
                  <c:v>258000</c:v>
                </c:pt>
                <c:pt idx="129">
                  <c:v>260000</c:v>
                </c:pt>
                <c:pt idx="130">
                  <c:v>262000</c:v>
                </c:pt>
                <c:pt idx="131">
                  <c:v>264000</c:v>
                </c:pt>
                <c:pt idx="132">
                  <c:v>266000</c:v>
                </c:pt>
                <c:pt idx="133">
                  <c:v>268000</c:v>
                </c:pt>
                <c:pt idx="134">
                  <c:v>270000</c:v>
                </c:pt>
                <c:pt idx="135">
                  <c:v>272000</c:v>
                </c:pt>
                <c:pt idx="136">
                  <c:v>274000</c:v>
                </c:pt>
                <c:pt idx="137">
                  <c:v>276000</c:v>
                </c:pt>
                <c:pt idx="138">
                  <c:v>278000</c:v>
                </c:pt>
                <c:pt idx="139">
                  <c:v>280000</c:v>
                </c:pt>
                <c:pt idx="140">
                  <c:v>282000</c:v>
                </c:pt>
                <c:pt idx="141">
                  <c:v>284000</c:v>
                </c:pt>
                <c:pt idx="142">
                  <c:v>286000</c:v>
                </c:pt>
                <c:pt idx="143">
                  <c:v>288000</c:v>
                </c:pt>
                <c:pt idx="144">
                  <c:v>290000</c:v>
                </c:pt>
                <c:pt idx="145">
                  <c:v>292000</c:v>
                </c:pt>
                <c:pt idx="146">
                  <c:v>294000</c:v>
                </c:pt>
                <c:pt idx="147">
                  <c:v>296000</c:v>
                </c:pt>
                <c:pt idx="148">
                  <c:v>298000</c:v>
                </c:pt>
                <c:pt idx="149">
                  <c:v>300000</c:v>
                </c:pt>
                <c:pt idx="150">
                  <c:v>302000</c:v>
                </c:pt>
                <c:pt idx="151">
                  <c:v>304000</c:v>
                </c:pt>
                <c:pt idx="152">
                  <c:v>306000</c:v>
                </c:pt>
                <c:pt idx="153">
                  <c:v>308000</c:v>
                </c:pt>
                <c:pt idx="154">
                  <c:v>310000</c:v>
                </c:pt>
                <c:pt idx="155">
                  <c:v>312000</c:v>
                </c:pt>
                <c:pt idx="156">
                  <c:v>314000</c:v>
                </c:pt>
                <c:pt idx="157">
                  <c:v>316000</c:v>
                </c:pt>
                <c:pt idx="158">
                  <c:v>318000</c:v>
                </c:pt>
                <c:pt idx="159">
                  <c:v>320000</c:v>
                </c:pt>
                <c:pt idx="160">
                  <c:v>322000</c:v>
                </c:pt>
                <c:pt idx="161">
                  <c:v>324000</c:v>
                </c:pt>
                <c:pt idx="162">
                  <c:v>326000</c:v>
                </c:pt>
                <c:pt idx="163">
                  <c:v>328000</c:v>
                </c:pt>
                <c:pt idx="164">
                  <c:v>330000</c:v>
                </c:pt>
                <c:pt idx="165">
                  <c:v>332000</c:v>
                </c:pt>
                <c:pt idx="166">
                  <c:v>334000</c:v>
                </c:pt>
                <c:pt idx="167">
                  <c:v>336000</c:v>
                </c:pt>
                <c:pt idx="168">
                  <c:v>338000</c:v>
                </c:pt>
                <c:pt idx="169">
                  <c:v>340000</c:v>
                </c:pt>
                <c:pt idx="170">
                  <c:v>342000</c:v>
                </c:pt>
                <c:pt idx="171">
                  <c:v>344000</c:v>
                </c:pt>
                <c:pt idx="172">
                  <c:v>346000</c:v>
                </c:pt>
                <c:pt idx="173">
                  <c:v>348000</c:v>
                </c:pt>
                <c:pt idx="174">
                  <c:v>350000</c:v>
                </c:pt>
                <c:pt idx="175">
                  <c:v>352000</c:v>
                </c:pt>
                <c:pt idx="176">
                  <c:v>354000</c:v>
                </c:pt>
                <c:pt idx="177">
                  <c:v>356000</c:v>
                </c:pt>
                <c:pt idx="178">
                  <c:v>358000</c:v>
                </c:pt>
                <c:pt idx="179">
                  <c:v>360000</c:v>
                </c:pt>
                <c:pt idx="180">
                  <c:v>362000</c:v>
                </c:pt>
                <c:pt idx="181">
                  <c:v>364000</c:v>
                </c:pt>
                <c:pt idx="182">
                  <c:v>366000</c:v>
                </c:pt>
                <c:pt idx="183">
                  <c:v>368000</c:v>
                </c:pt>
                <c:pt idx="184">
                  <c:v>370000</c:v>
                </c:pt>
                <c:pt idx="185">
                  <c:v>372000</c:v>
                </c:pt>
                <c:pt idx="186">
                  <c:v>374000</c:v>
                </c:pt>
                <c:pt idx="187">
                  <c:v>376000</c:v>
                </c:pt>
                <c:pt idx="188">
                  <c:v>378000</c:v>
                </c:pt>
                <c:pt idx="189">
                  <c:v>380000</c:v>
                </c:pt>
                <c:pt idx="190">
                  <c:v>382000</c:v>
                </c:pt>
                <c:pt idx="191">
                  <c:v>384000</c:v>
                </c:pt>
                <c:pt idx="192">
                  <c:v>386000</c:v>
                </c:pt>
                <c:pt idx="193">
                  <c:v>388000</c:v>
                </c:pt>
                <c:pt idx="194">
                  <c:v>390000</c:v>
                </c:pt>
                <c:pt idx="195">
                  <c:v>392000</c:v>
                </c:pt>
                <c:pt idx="196">
                  <c:v>394000</c:v>
                </c:pt>
                <c:pt idx="197">
                  <c:v>396000</c:v>
                </c:pt>
                <c:pt idx="198">
                  <c:v>398000</c:v>
                </c:pt>
                <c:pt idx="199">
                  <c:v>400000</c:v>
                </c:pt>
                <c:pt idx="200">
                  <c:v>402000</c:v>
                </c:pt>
                <c:pt idx="201">
                  <c:v>404000</c:v>
                </c:pt>
                <c:pt idx="202">
                  <c:v>406000</c:v>
                </c:pt>
                <c:pt idx="203">
                  <c:v>408000</c:v>
                </c:pt>
                <c:pt idx="204">
                  <c:v>410000</c:v>
                </c:pt>
                <c:pt idx="205">
                  <c:v>412000</c:v>
                </c:pt>
                <c:pt idx="206">
                  <c:v>414000</c:v>
                </c:pt>
                <c:pt idx="207">
                  <c:v>416000</c:v>
                </c:pt>
                <c:pt idx="208">
                  <c:v>418000</c:v>
                </c:pt>
                <c:pt idx="209">
                  <c:v>420000</c:v>
                </c:pt>
                <c:pt idx="210">
                  <c:v>422000</c:v>
                </c:pt>
                <c:pt idx="211">
                  <c:v>424000</c:v>
                </c:pt>
                <c:pt idx="212">
                  <c:v>426000</c:v>
                </c:pt>
                <c:pt idx="213">
                  <c:v>428000</c:v>
                </c:pt>
                <c:pt idx="214">
                  <c:v>430000</c:v>
                </c:pt>
                <c:pt idx="215">
                  <c:v>432000</c:v>
                </c:pt>
                <c:pt idx="216">
                  <c:v>434000</c:v>
                </c:pt>
                <c:pt idx="217">
                  <c:v>436000</c:v>
                </c:pt>
                <c:pt idx="218">
                  <c:v>438000</c:v>
                </c:pt>
                <c:pt idx="219">
                  <c:v>440000</c:v>
                </c:pt>
                <c:pt idx="220">
                  <c:v>442000</c:v>
                </c:pt>
                <c:pt idx="221">
                  <c:v>444000</c:v>
                </c:pt>
                <c:pt idx="222">
                  <c:v>446000</c:v>
                </c:pt>
                <c:pt idx="223">
                  <c:v>448000</c:v>
                </c:pt>
                <c:pt idx="224">
                  <c:v>450000</c:v>
                </c:pt>
                <c:pt idx="225">
                  <c:v>452000</c:v>
                </c:pt>
                <c:pt idx="226">
                  <c:v>454000</c:v>
                </c:pt>
                <c:pt idx="227">
                  <c:v>456000</c:v>
                </c:pt>
                <c:pt idx="228">
                  <c:v>458000</c:v>
                </c:pt>
                <c:pt idx="229">
                  <c:v>460000</c:v>
                </c:pt>
                <c:pt idx="230">
                  <c:v>462000</c:v>
                </c:pt>
                <c:pt idx="231">
                  <c:v>464000</c:v>
                </c:pt>
                <c:pt idx="232">
                  <c:v>466000</c:v>
                </c:pt>
                <c:pt idx="233">
                  <c:v>468000</c:v>
                </c:pt>
                <c:pt idx="234">
                  <c:v>470000</c:v>
                </c:pt>
                <c:pt idx="235">
                  <c:v>472000</c:v>
                </c:pt>
                <c:pt idx="236">
                  <c:v>474000</c:v>
                </c:pt>
                <c:pt idx="237">
                  <c:v>476000</c:v>
                </c:pt>
                <c:pt idx="238">
                  <c:v>478000</c:v>
                </c:pt>
                <c:pt idx="239">
                  <c:v>480000</c:v>
                </c:pt>
                <c:pt idx="240">
                  <c:v>482000</c:v>
                </c:pt>
                <c:pt idx="241">
                  <c:v>484000</c:v>
                </c:pt>
                <c:pt idx="242">
                  <c:v>486000</c:v>
                </c:pt>
                <c:pt idx="243">
                  <c:v>488000</c:v>
                </c:pt>
                <c:pt idx="244">
                  <c:v>490000</c:v>
                </c:pt>
                <c:pt idx="245">
                  <c:v>492000</c:v>
                </c:pt>
                <c:pt idx="246">
                  <c:v>494000</c:v>
                </c:pt>
                <c:pt idx="247">
                  <c:v>496000</c:v>
                </c:pt>
                <c:pt idx="248">
                  <c:v>498000</c:v>
                </c:pt>
                <c:pt idx="249">
                  <c:v>500000</c:v>
                </c:pt>
                <c:pt idx="250">
                  <c:v>502000</c:v>
                </c:pt>
                <c:pt idx="251">
                  <c:v>504000</c:v>
                </c:pt>
                <c:pt idx="252">
                  <c:v>506000</c:v>
                </c:pt>
                <c:pt idx="253">
                  <c:v>508000</c:v>
                </c:pt>
                <c:pt idx="254">
                  <c:v>510000</c:v>
                </c:pt>
                <c:pt idx="255">
                  <c:v>512000</c:v>
                </c:pt>
                <c:pt idx="256">
                  <c:v>514000</c:v>
                </c:pt>
                <c:pt idx="257">
                  <c:v>516000</c:v>
                </c:pt>
                <c:pt idx="258">
                  <c:v>518000</c:v>
                </c:pt>
                <c:pt idx="259">
                  <c:v>520000</c:v>
                </c:pt>
                <c:pt idx="260">
                  <c:v>522000</c:v>
                </c:pt>
                <c:pt idx="261">
                  <c:v>524000</c:v>
                </c:pt>
                <c:pt idx="262">
                  <c:v>526000</c:v>
                </c:pt>
                <c:pt idx="263">
                  <c:v>528000</c:v>
                </c:pt>
                <c:pt idx="264">
                  <c:v>530000</c:v>
                </c:pt>
                <c:pt idx="265">
                  <c:v>532000</c:v>
                </c:pt>
                <c:pt idx="266">
                  <c:v>534000</c:v>
                </c:pt>
                <c:pt idx="267">
                  <c:v>536000</c:v>
                </c:pt>
                <c:pt idx="268">
                  <c:v>538000</c:v>
                </c:pt>
                <c:pt idx="269">
                  <c:v>540000</c:v>
                </c:pt>
                <c:pt idx="270">
                  <c:v>542000</c:v>
                </c:pt>
                <c:pt idx="271">
                  <c:v>544000</c:v>
                </c:pt>
                <c:pt idx="272">
                  <c:v>546000</c:v>
                </c:pt>
                <c:pt idx="273">
                  <c:v>548000</c:v>
                </c:pt>
                <c:pt idx="274">
                  <c:v>550000</c:v>
                </c:pt>
                <c:pt idx="275">
                  <c:v>552000</c:v>
                </c:pt>
                <c:pt idx="276">
                  <c:v>554000</c:v>
                </c:pt>
                <c:pt idx="277">
                  <c:v>556000</c:v>
                </c:pt>
                <c:pt idx="278">
                  <c:v>558000</c:v>
                </c:pt>
                <c:pt idx="279">
                  <c:v>560000</c:v>
                </c:pt>
                <c:pt idx="280">
                  <c:v>562000</c:v>
                </c:pt>
                <c:pt idx="281">
                  <c:v>564000</c:v>
                </c:pt>
                <c:pt idx="282">
                  <c:v>566000</c:v>
                </c:pt>
                <c:pt idx="283">
                  <c:v>568000</c:v>
                </c:pt>
                <c:pt idx="284">
                  <c:v>570000</c:v>
                </c:pt>
                <c:pt idx="285">
                  <c:v>572000</c:v>
                </c:pt>
                <c:pt idx="286">
                  <c:v>574000</c:v>
                </c:pt>
                <c:pt idx="287">
                  <c:v>576000</c:v>
                </c:pt>
                <c:pt idx="288">
                  <c:v>578000</c:v>
                </c:pt>
                <c:pt idx="289">
                  <c:v>580000</c:v>
                </c:pt>
                <c:pt idx="290">
                  <c:v>582000</c:v>
                </c:pt>
                <c:pt idx="291">
                  <c:v>584000</c:v>
                </c:pt>
                <c:pt idx="292">
                  <c:v>586000</c:v>
                </c:pt>
                <c:pt idx="293">
                  <c:v>588000</c:v>
                </c:pt>
                <c:pt idx="294">
                  <c:v>590000</c:v>
                </c:pt>
                <c:pt idx="295">
                  <c:v>592000</c:v>
                </c:pt>
                <c:pt idx="296">
                  <c:v>594000</c:v>
                </c:pt>
                <c:pt idx="297">
                  <c:v>596000</c:v>
                </c:pt>
                <c:pt idx="298">
                  <c:v>598000</c:v>
                </c:pt>
                <c:pt idx="299">
                  <c:v>600000</c:v>
                </c:pt>
                <c:pt idx="300">
                  <c:v>602000</c:v>
                </c:pt>
                <c:pt idx="301">
                  <c:v>604000</c:v>
                </c:pt>
                <c:pt idx="302">
                  <c:v>606000</c:v>
                </c:pt>
                <c:pt idx="303">
                  <c:v>608000</c:v>
                </c:pt>
                <c:pt idx="304">
                  <c:v>610000</c:v>
                </c:pt>
                <c:pt idx="305">
                  <c:v>612000</c:v>
                </c:pt>
                <c:pt idx="306">
                  <c:v>614000</c:v>
                </c:pt>
                <c:pt idx="307">
                  <c:v>616000</c:v>
                </c:pt>
                <c:pt idx="308">
                  <c:v>618000</c:v>
                </c:pt>
                <c:pt idx="309">
                  <c:v>620000</c:v>
                </c:pt>
                <c:pt idx="310">
                  <c:v>622000</c:v>
                </c:pt>
                <c:pt idx="311">
                  <c:v>624000</c:v>
                </c:pt>
                <c:pt idx="312">
                  <c:v>626000</c:v>
                </c:pt>
                <c:pt idx="313">
                  <c:v>628000</c:v>
                </c:pt>
                <c:pt idx="314">
                  <c:v>630000</c:v>
                </c:pt>
                <c:pt idx="315">
                  <c:v>632000</c:v>
                </c:pt>
                <c:pt idx="316">
                  <c:v>634000</c:v>
                </c:pt>
                <c:pt idx="317">
                  <c:v>636000</c:v>
                </c:pt>
                <c:pt idx="318">
                  <c:v>638000</c:v>
                </c:pt>
                <c:pt idx="319">
                  <c:v>640000</c:v>
                </c:pt>
                <c:pt idx="320">
                  <c:v>642000</c:v>
                </c:pt>
                <c:pt idx="321">
                  <c:v>644000</c:v>
                </c:pt>
                <c:pt idx="322">
                  <c:v>646000</c:v>
                </c:pt>
                <c:pt idx="323">
                  <c:v>648000</c:v>
                </c:pt>
                <c:pt idx="324">
                  <c:v>650000</c:v>
                </c:pt>
                <c:pt idx="325">
                  <c:v>652000</c:v>
                </c:pt>
                <c:pt idx="326">
                  <c:v>654000</c:v>
                </c:pt>
                <c:pt idx="327">
                  <c:v>656000</c:v>
                </c:pt>
                <c:pt idx="328">
                  <c:v>658000</c:v>
                </c:pt>
                <c:pt idx="329">
                  <c:v>660000</c:v>
                </c:pt>
                <c:pt idx="330">
                  <c:v>662000</c:v>
                </c:pt>
                <c:pt idx="331">
                  <c:v>664000</c:v>
                </c:pt>
                <c:pt idx="332">
                  <c:v>666000</c:v>
                </c:pt>
                <c:pt idx="333">
                  <c:v>668000</c:v>
                </c:pt>
                <c:pt idx="334">
                  <c:v>670000</c:v>
                </c:pt>
                <c:pt idx="335">
                  <c:v>672000</c:v>
                </c:pt>
                <c:pt idx="336">
                  <c:v>674000</c:v>
                </c:pt>
                <c:pt idx="337">
                  <c:v>676000</c:v>
                </c:pt>
                <c:pt idx="338">
                  <c:v>678000</c:v>
                </c:pt>
                <c:pt idx="339">
                  <c:v>680000</c:v>
                </c:pt>
                <c:pt idx="340">
                  <c:v>682000</c:v>
                </c:pt>
                <c:pt idx="341">
                  <c:v>684000</c:v>
                </c:pt>
                <c:pt idx="342">
                  <c:v>686000</c:v>
                </c:pt>
                <c:pt idx="343">
                  <c:v>688000</c:v>
                </c:pt>
                <c:pt idx="344">
                  <c:v>690000</c:v>
                </c:pt>
                <c:pt idx="345">
                  <c:v>692000</c:v>
                </c:pt>
                <c:pt idx="346">
                  <c:v>694000</c:v>
                </c:pt>
                <c:pt idx="347">
                  <c:v>696000</c:v>
                </c:pt>
                <c:pt idx="348">
                  <c:v>698000</c:v>
                </c:pt>
                <c:pt idx="349">
                  <c:v>700000</c:v>
                </c:pt>
                <c:pt idx="350">
                  <c:v>702000</c:v>
                </c:pt>
                <c:pt idx="351">
                  <c:v>704000</c:v>
                </c:pt>
                <c:pt idx="352">
                  <c:v>706000</c:v>
                </c:pt>
                <c:pt idx="353">
                  <c:v>708000</c:v>
                </c:pt>
                <c:pt idx="354">
                  <c:v>710000</c:v>
                </c:pt>
                <c:pt idx="355">
                  <c:v>712000</c:v>
                </c:pt>
                <c:pt idx="356">
                  <c:v>714000</c:v>
                </c:pt>
                <c:pt idx="357">
                  <c:v>716000</c:v>
                </c:pt>
                <c:pt idx="358">
                  <c:v>718000</c:v>
                </c:pt>
                <c:pt idx="359">
                  <c:v>720000</c:v>
                </c:pt>
                <c:pt idx="360">
                  <c:v>722000</c:v>
                </c:pt>
                <c:pt idx="361">
                  <c:v>724000</c:v>
                </c:pt>
                <c:pt idx="362">
                  <c:v>726000</c:v>
                </c:pt>
                <c:pt idx="363">
                  <c:v>728000</c:v>
                </c:pt>
                <c:pt idx="364">
                  <c:v>730000</c:v>
                </c:pt>
                <c:pt idx="365">
                  <c:v>732000</c:v>
                </c:pt>
                <c:pt idx="366">
                  <c:v>734000</c:v>
                </c:pt>
                <c:pt idx="367">
                  <c:v>736000</c:v>
                </c:pt>
                <c:pt idx="368">
                  <c:v>738000</c:v>
                </c:pt>
                <c:pt idx="369">
                  <c:v>740000</c:v>
                </c:pt>
                <c:pt idx="370">
                  <c:v>742000</c:v>
                </c:pt>
                <c:pt idx="371">
                  <c:v>744000</c:v>
                </c:pt>
                <c:pt idx="372">
                  <c:v>746000</c:v>
                </c:pt>
                <c:pt idx="373">
                  <c:v>748000</c:v>
                </c:pt>
                <c:pt idx="374">
                  <c:v>750000</c:v>
                </c:pt>
                <c:pt idx="375">
                  <c:v>752000</c:v>
                </c:pt>
                <c:pt idx="376">
                  <c:v>754000</c:v>
                </c:pt>
                <c:pt idx="377">
                  <c:v>756000</c:v>
                </c:pt>
                <c:pt idx="378">
                  <c:v>758000</c:v>
                </c:pt>
                <c:pt idx="379">
                  <c:v>760000</c:v>
                </c:pt>
                <c:pt idx="380">
                  <c:v>762000</c:v>
                </c:pt>
                <c:pt idx="381">
                  <c:v>764000</c:v>
                </c:pt>
                <c:pt idx="382">
                  <c:v>766000</c:v>
                </c:pt>
                <c:pt idx="383">
                  <c:v>768000</c:v>
                </c:pt>
                <c:pt idx="384">
                  <c:v>770000</c:v>
                </c:pt>
                <c:pt idx="385">
                  <c:v>772000</c:v>
                </c:pt>
                <c:pt idx="386">
                  <c:v>774000</c:v>
                </c:pt>
                <c:pt idx="387">
                  <c:v>776000</c:v>
                </c:pt>
                <c:pt idx="388">
                  <c:v>778000</c:v>
                </c:pt>
                <c:pt idx="389">
                  <c:v>780000</c:v>
                </c:pt>
                <c:pt idx="390">
                  <c:v>782000</c:v>
                </c:pt>
                <c:pt idx="391">
                  <c:v>784000</c:v>
                </c:pt>
                <c:pt idx="392">
                  <c:v>786000</c:v>
                </c:pt>
                <c:pt idx="393">
                  <c:v>788000</c:v>
                </c:pt>
                <c:pt idx="394">
                  <c:v>790000</c:v>
                </c:pt>
                <c:pt idx="395">
                  <c:v>792000</c:v>
                </c:pt>
                <c:pt idx="396">
                  <c:v>794000</c:v>
                </c:pt>
                <c:pt idx="397">
                  <c:v>796000</c:v>
                </c:pt>
                <c:pt idx="398">
                  <c:v>798000</c:v>
                </c:pt>
                <c:pt idx="399">
                  <c:v>800000</c:v>
                </c:pt>
                <c:pt idx="400">
                  <c:v>802000</c:v>
                </c:pt>
                <c:pt idx="401">
                  <c:v>804000</c:v>
                </c:pt>
                <c:pt idx="402">
                  <c:v>806000</c:v>
                </c:pt>
                <c:pt idx="403">
                  <c:v>808000</c:v>
                </c:pt>
                <c:pt idx="404">
                  <c:v>810000</c:v>
                </c:pt>
                <c:pt idx="405">
                  <c:v>812000</c:v>
                </c:pt>
                <c:pt idx="406">
                  <c:v>814000</c:v>
                </c:pt>
                <c:pt idx="407">
                  <c:v>816000</c:v>
                </c:pt>
                <c:pt idx="408">
                  <c:v>818000</c:v>
                </c:pt>
                <c:pt idx="409">
                  <c:v>820000</c:v>
                </c:pt>
                <c:pt idx="410">
                  <c:v>822000</c:v>
                </c:pt>
                <c:pt idx="411">
                  <c:v>824000</c:v>
                </c:pt>
                <c:pt idx="412">
                  <c:v>826000</c:v>
                </c:pt>
                <c:pt idx="413">
                  <c:v>828000</c:v>
                </c:pt>
                <c:pt idx="414">
                  <c:v>830000</c:v>
                </c:pt>
                <c:pt idx="415">
                  <c:v>832000</c:v>
                </c:pt>
                <c:pt idx="416">
                  <c:v>834000</c:v>
                </c:pt>
                <c:pt idx="417">
                  <c:v>836000</c:v>
                </c:pt>
                <c:pt idx="418">
                  <c:v>838000</c:v>
                </c:pt>
                <c:pt idx="419">
                  <c:v>840000</c:v>
                </c:pt>
                <c:pt idx="420">
                  <c:v>842000</c:v>
                </c:pt>
                <c:pt idx="421">
                  <c:v>844000</c:v>
                </c:pt>
                <c:pt idx="422">
                  <c:v>846000</c:v>
                </c:pt>
                <c:pt idx="423">
                  <c:v>848000</c:v>
                </c:pt>
                <c:pt idx="424">
                  <c:v>850000</c:v>
                </c:pt>
                <c:pt idx="425">
                  <c:v>852000</c:v>
                </c:pt>
                <c:pt idx="426">
                  <c:v>854000</c:v>
                </c:pt>
                <c:pt idx="427">
                  <c:v>856000</c:v>
                </c:pt>
                <c:pt idx="428">
                  <c:v>858000</c:v>
                </c:pt>
                <c:pt idx="429">
                  <c:v>860000</c:v>
                </c:pt>
                <c:pt idx="430">
                  <c:v>862000</c:v>
                </c:pt>
                <c:pt idx="431">
                  <c:v>864000</c:v>
                </c:pt>
                <c:pt idx="432">
                  <c:v>866000</c:v>
                </c:pt>
                <c:pt idx="433">
                  <c:v>868000</c:v>
                </c:pt>
                <c:pt idx="434">
                  <c:v>870000</c:v>
                </c:pt>
                <c:pt idx="435">
                  <c:v>872000</c:v>
                </c:pt>
                <c:pt idx="436">
                  <c:v>874000</c:v>
                </c:pt>
                <c:pt idx="437">
                  <c:v>876000</c:v>
                </c:pt>
                <c:pt idx="438">
                  <c:v>878000</c:v>
                </c:pt>
                <c:pt idx="439">
                  <c:v>880000</c:v>
                </c:pt>
                <c:pt idx="440">
                  <c:v>882000</c:v>
                </c:pt>
                <c:pt idx="441">
                  <c:v>884000</c:v>
                </c:pt>
                <c:pt idx="442">
                  <c:v>886000</c:v>
                </c:pt>
                <c:pt idx="443">
                  <c:v>888000</c:v>
                </c:pt>
                <c:pt idx="444">
                  <c:v>890000</c:v>
                </c:pt>
                <c:pt idx="445">
                  <c:v>892000</c:v>
                </c:pt>
                <c:pt idx="446">
                  <c:v>894000</c:v>
                </c:pt>
                <c:pt idx="447">
                  <c:v>896000</c:v>
                </c:pt>
                <c:pt idx="448">
                  <c:v>898000</c:v>
                </c:pt>
                <c:pt idx="449">
                  <c:v>900000</c:v>
                </c:pt>
                <c:pt idx="450">
                  <c:v>902000</c:v>
                </c:pt>
                <c:pt idx="451">
                  <c:v>904000</c:v>
                </c:pt>
                <c:pt idx="452">
                  <c:v>906000</c:v>
                </c:pt>
                <c:pt idx="453">
                  <c:v>908000</c:v>
                </c:pt>
                <c:pt idx="454">
                  <c:v>910000</c:v>
                </c:pt>
                <c:pt idx="455">
                  <c:v>912000</c:v>
                </c:pt>
                <c:pt idx="456">
                  <c:v>914000</c:v>
                </c:pt>
                <c:pt idx="457">
                  <c:v>916000</c:v>
                </c:pt>
                <c:pt idx="458">
                  <c:v>918000</c:v>
                </c:pt>
                <c:pt idx="459">
                  <c:v>920000</c:v>
                </c:pt>
                <c:pt idx="460">
                  <c:v>922000</c:v>
                </c:pt>
                <c:pt idx="461">
                  <c:v>924000</c:v>
                </c:pt>
                <c:pt idx="462">
                  <c:v>926000</c:v>
                </c:pt>
                <c:pt idx="463">
                  <c:v>928000</c:v>
                </c:pt>
                <c:pt idx="464">
                  <c:v>930000</c:v>
                </c:pt>
                <c:pt idx="465">
                  <c:v>932000</c:v>
                </c:pt>
                <c:pt idx="466">
                  <c:v>934000</c:v>
                </c:pt>
                <c:pt idx="467">
                  <c:v>936000</c:v>
                </c:pt>
                <c:pt idx="468">
                  <c:v>938000</c:v>
                </c:pt>
                <c:pt idx="469">
                  <c:v>940000</c:v>
                </c:pt>
                <c:pt idx="470">
                  <c:v>942000</c:v>
                </c:pt>
                <c:pt idx="471">
                  <c:v>944000</c:v>
                </c:pt>
                <c:pt idx="472">
                  <c:v>946000</c:v>
                </c:pt>
                <c:pt idx="473">
                  <c:v>948000</c:v>
                </c:pt>
                <c:pt idx="474">
                  <c:v>950000</c:v>
                </c:pt>
                <c:pt idx="475">
                  <c:v>952000</c:v>
                </c:pt>
                <c:pt idx="476">
                  <c:v>954000</c:v>
                </c:pt>
                <c:pt idx="477">
                  <c:v>956000</c:v>
                </c:pt>
                <c:pt idx="478">
                  <c:v>958000</c:v>
                </c:pt>
                <c:pt idx="479">
                  <c:v>960000</c:v>
                </c:pt>
                <c:pt idx="480">
                  <c:v>962000</c:v>
                </c:pt>
                <c:pt idx="481">
                  <c:v>964000</c:v>
                </c:pt>
                <c:pt idx="482">
                  <c:v>966000</c:v>
                </c:pt>
                <c:pt idx="483">
                  <c:v>968000</c:v>
                </c:pt>
                <c:pt idx="484">
                  <c:v>970000</c:v>
                </c:pt>
                <c:pt idx="485">
                  <c:v>972000</c:v>
                </c:pt>
                <c:pt idx="486">
                  <c:v>974000</c:v>
                </c:pt>
                <c:pt idx="487">
                  <c:v>976000</c:v>
                </c:pt>
                <c:pt idx="488">
                  <c:v>978000</c:v>
                </c:pt>
                <c:pt idx="489">
                  <c:v>980000</c:v>
                </c:pt>
                <c:pt idx="490">
                  <c:v>982000</c:v>
                </c:pt>
                <c:pt idx="491">
                  <c:v>984000</c:v>
                </c:pt>
                <c:pt idx="492">
                  <c:v>986000</c:v>
                </c:pt>
                <c:pt idx="493">
                  <c:v>988000</c:v>
                </c:pt>
                <c:pt idx="494">
                  <c:v>990000</c:v>
                </c:pt>
                <c:pt idx="495">
                  <c:v>992000</c:v>
                </c:pt>
                <c:pt idx="496">
                  <c:v>994000</c:v>
                </c:pt>
                <c:pt idx="497">
                  <c:v>996000</c:v>
                </c:pt>
                <c:pt idx="498">
                  <c:v>998000</c:v>
                </c:pt>
                <c:pt idx="499">
                  <c:v>1000000</c:v>
                </c:pt>
              </c:numCache>
            </c:numRef>
          </c:xVal>
          <c:yVal>
            <c:numRef>
              <c:f>cost_scaling_DAC!$H$77:$H$576</c:f>
              <c:numCache>
                <c:formatCode>0</c:formatCode>
                <c:ptCount val="500"/>
                <c:pt idx="0">
                  <c:v>5214.4268640044802</c:v>
                </c:pt>
                <c:pt idx="1">
                  <c:v>4654.3234522575258</c:v>
                </c:pt>
                <c:pt idx="2">
                  <c:v>4355.0049264669506</c:v>
                </c:pt>
                <c:pt idx="3">
                  <c:v>4154.3830919891861</c:v>
                </c:pt>
                <c:pt idx="4">
                  <c:v>4005.1555198503679</c:v>
                </c:pt>
                <c:pt idx="5">
                  <c:v>3887.2156216965154</c:v>
                </c:pt>
                <c:pt idx="6">
                  <c:v>3790.2125133469631</c:v>
                </c:pt>
                <c:pt idx="7">
                  <c:v>3708.1434180588394</c:v>
                </c:pt>
                <c:pt idx="8">
                  <c:v>3637.2296331309922</c:v>
                </c:pt>
                <c:pt idx="9">
                  <c:v>3574.9450039582016</c:v>
                </c:pt>
                <c:pt idx="10">
                  <c:v>3519.5210219423275</c:v>
                </c:pt>
                <c:pt idx="11">
                  <c:v>3469.6735238414431</c:v>
                </c:pt>
                <c:pt idx="12">
                  <c:v>3424.4419549298618</c:v>
                </c:pt>
                <c:pt idx="13">
                  <c:v>3383.0899253160092</c:v>
                </c:pt>
                <c:pt idx="14">
                  <c:v>3345.0410706919956</c:v>
                </c:pt>
                <c:pt idx="15">
                  <c:v>3309.8362150104958</c:v>
                </c:pt>
                <c:pt idx="16">
                  <c:v>3277.1038985730984</c:v>
                </c:pt>
                <c:pt idx="17">
                  <c:v>3246.5395764946852</c:v>
                </c:pt>
                <c:pt idx="18">
                  <c:v>3217.8906063728091</c:v>
                </c:pt>
                <c:pt idx="19">
                  <c:v>3190.9452000014148</c:v>
                </c:pt>
                <c:pt idx="20">
                  <c:v>3165.5241503006578</c:v>
                </c:pt>
                <c:pt idx="21">
                  <c:v>3141.474539842251</c:v>
                </c:pt>
                <c:pt idx="22">
                  <c:v>3118.6648894577174</c:v>
                </c:pt>
                <c:pt idx="23">
                  <c:v>3096.9813701232811</c:v>
                </c:pt>
                <c:pt idx="24">
                  <c:v>3076.3248112504525</c:v>
                </c:pt>
                <c:pt idx="25">
                  <c:v>3056.6083133218094</c:v>
                </c:pt>
                <c:pt idx="26">
                  <c:v>3037.7553246211264</c:v>
                </c:pt>
                <c:pt idx="27">
                  <c:v>3019.6980782662936</c:v>
                </c:pt>
                <c:pt idx="28">
                  <c:v>3002.3763117892154</c:v>
                </c:pt>
                <c:pt idx="29">
                  <c:v>2985.7362103512287</c:v>
                </c:pt>
                <c:pt idx="30">
                  <c:v>2969.7295284923753</c:v>
                </c:pt>
                <c:pt idx="31">
                  <c:v>2954.3128555501771</c:v>
                </c:pt>
                <c:pt idx="32">
                  <c:v>2939.4469975539887</c:v>
                </c:pt>
                <c:pt idx="33">
                  <c:v>2925.0964542054858</c:v>
                </c:pt>
                <c:pt idx="34">
                  <c:v>2911.228973989208</c:v>
                </c:pt>
                <c:pt idx="35">
                  <c:v>2897.8151738726629</c:v>
                </c:pt>
                <c:pt idx="36">
                  <c:v>2884.8282127084294</c:v>
                </c:pt>
                <c:pt idx="37">
                  <c:v>2872.2435095270107</c:v>
                </c:pt>
                <c:pt idx="38">
                  <c:v>2860.0384995459872</c:v>
                </c:pt>
                <c:pt idx="39">
                  <c:v>2848.1924220200181</c:v>
                </c:pt>
                <c:pt idx="40">
                  <c:v>2836.6861350938498</c:v>
                </c:pt>
                <c:pt idx="41">
                  <c:v>2825.5019536542627</c:v>
                </c:pt>
                <c:pt idx="42">
                  <c:v>2814.6235068507558</c:v>
                </c:pt>
                <c:pt idx="43">
                  <c:v>2804.0356125023877</c:v>
                </c:pt>
                <c:pt idx="44">
                  <c:v>2793.7241660554255</c:v>
                </c:pt>
                <c:pt idx="45">
                  <c:v>2783.6760421236404</c:v>
                </c:pt>
                <c:pt idx="46">
                  <c:v>2773.8790069458428</c:v>
                </c:pt>
                <c:pt idx="47">
                  <c:v>2764.3216403460606</c:v>
                </c:pt>
                <c:pt idx="48">
                  <c:v>2754.993265990423</c:v>
                </c:pt>
                <c:pt idx="49">
                  <c:v>2745.8838889090966</c:v>
                </c:pt>
                <c:pt idx="50">
                  <c:v>2736.9841393977654</c:v>
                </c:pt>
                <c:pt idx="51">
                  <c:v>2728.2852225361635</c:v>
                </c:pt>
                <c:pt idx="52">
                  <c:v>2719.7788726650692</c:v>
                </c:pt>
                <c:pt idx="53">
                  <c:v>2711.4573122512456</c:v>
                </c:pt>
                <c:pt idx="54">
                  <c:v>2703.3132146447165</c:v>
                </c:pt>
                <c:pt idx="55">
                  <c:v>2695.3396702966425</c:v>
                </c:pt>
                <c:pt idx="56">
                  <c:v>2687.5301560607459</c:v>
                </c:pt>
                <c:pt idx="57">
                  <c:v>2679.8785072481533</c:v>
                </c:pt>
                <c:pt idx="58">
                  <c:v>2672.3788921458954</c:v>
                </c:pt>
                <c:pt idx="59">
                  <c:v>2665.0257887441517</c:v>
                </c:pt>
                <c:pt idx="60">
                  <c:v>2657.8139634474828</c:v>
                </c:pt>
                <c:pt idx="61">
                  <c:v>2650.738451571438</c:v>
                </c:pt>
                <c:pt idx="62">
                  <c:v>2643.7945394486651</c:v>
                </c:pt>
                <c:pt idx="63">
                  <c:v>2636.9777479884651</c:v>
                </c:pt>
                <c:pt idx="64">
                  <c:v>2630.2838175510628</c:v>
                </c:pt>
                <c:pt idx="65">
                  <c:v>2623.7086940130002</c:v>
                </c:pt>
                <c:pt idx="66">
                  <c:v>2617.2485159133748</c:v>
                </c:pt>
                <c:pt idx="67">
                  <c:v>2610.8996025823303</c:v>
                </c:pt>
                <c:pt idx="68">
                  <c:v>2604.6584431635047</c:v>
                </c:pt>
                <c:pt idx="69">
                  <c:v>2598.5216864512422</c:v>
                </c:pt>
                <c:pt idx="70">
                  <c:v>2592.4861314714021</c:v>
                </c:pt>
                <c:pt idx="71">
                  <c:v>2586.5487187417316</c:v>
                </c:pt>
                <c:pt idx="72">
                  <c:v>2580.706522154077</c:v>
                </c:pt>
                <c:pt idx="73">
                  <c:v>2574.9567414263511</c:v>
                </c:pt>
                <c:pt idx="74">
                  <c:v>2569.2966950771524</c:v>
                </c:pt>
                <c:pt idx="75">
                  <c:v>2563.7238138804096</c:v>
                </c:pt>
                <c:pt idx="76">
                  <c:v>2558.2356347614195</c:v>
                </c:pt>
                <c:pt idx="77">
                  <c:v>2552.8297950991987</c:v>
                </c:pt>
                <c:pt idx="78">
                  <c:v>2547.504027403274</c:v>
                </c:pt>
                <c:pt idx="79">
                  <c:v>2542.2561543359188</c:v>
                </c:pt>
                <c:pt idx="80">
                  <c:v>2537.0840840533933</c:v>
                </c:pt>
                <c:pt idx="81">
                  <c:v>2531.9858058420982</c:v>
                </c:pt>
                <c:pt idx="82">
                  <c:v>2526.9593860276182</c:v>
                </c:pt>
                <c:pt idx="83">
                  <c:v>2522.0029641365372</c:v>
                </c:pt>
                <c:pt idx="84">
                  <c:v>2517.1147492925938</c:v>
                </c:pt>
                <c:pt idx="85">
                  <c:v>2512.2930168303037</c:v>
                </c:pt>
                <c:pt idx="86">
                  <c:v>2507.536105110567</c:v>
                </c:pt>
                <c:pt idx="87">
                  <c:v>2502.842412524044</c:v>
                </c:pt>
                <c:pt idx="88">
                  <c:v>2498.2103946692218</c:v>
                </c:pt>
                <c:pt idx="89">
                  <c:v>2493.6385616931711</c:v>
                </c:pt>
                <c:pt idx="90">
                  <c:v>2489.1254757838997</c:v>
                </c:pt>
                <c:pt idx="91">
                  <c:v>2484.66974880412</c:v>
                </c:pt>
                <c:pt idx="92">
                  <c:v>2480.2700400569961</c:v>
                </c:pt>
                <c:pt idx="93">
                  <c:v>2475.9250541751885</c:v>
                </c:pt>
                <c:pt idx="94">
                  <c:v>2471.63353912516</c:v>
                </c:pt>
                <c:pt idx="95">
                  <c:v>2467.3942843192995</c:v>
                </c:pt>
                <c:pt idx="96">
                  <c:v>2463.2061188289977</c:v>
                </c:pt>
                <c:pt idx="97">
                  <c:v>2459.0679096922831</c:v>
                </c:pt>
                <c:pt idx="98">
                  <c:v>2454.978560310115</c:v>
                </c:pt>
                <c:pt idx="99">
                  <c:v>2450.9370089258432</c:v>
                </c:pt>
                <c:pt idx="100">
                  <c:v>2446.9422271827311</c:v>
                </c:pt>
                <c:pt idx="101">
                  <c:v>2442.9932187548184</c:v>
                </c:pt>
                <c:pt idx="102">
                  <c:v>2439.0890180467004</c:v>
                </c:pt>
                <c:pt idx="103">
                  <c:v>2435.2286889581346</c:v>
                </c:pt>
                <c:pt idx="104">
                  <c:v>2431.4113237096562</c:v>
                </c:pt>
                <c:pt idx="105">
                  <c:v>2427.6360417256187</c:v>
                </c:pt>
                <c:pt idx="106">
                  <c:v>2423.9019885713674</c:v>
                </c:pt>
                <c:pt idx="107">
                  <c:v>2420.208334941427</c:v>
                </c:pt>
                <c:pt idx="108">
                  <c:v>2416.5542756958052</c:v>
                </c:pt>
                <c:pt idx="109">
                  <c:v>2412.9390289417197</c:v>
                </c:pt>
                <c:pt idx="110">
                  <c:v>2409.3618351582013</c:v>
                </c:pt>
                <c:pt idx="111">
                  <c:v>2405.8219563612138</c:v>
                </c:pt>
                <c:pt idx="112">
                  <c:v>2402.3186753070727</c:v>
                </c:pt>
                <c:pt idx="113">
                  <c:v>2398.8512947320737</c:v>
                </c:pt>
                <c:pt idx="114">
                  <c:v>2395.419136626399</c:v>
                </c:pt>
                <c:pt idx="115">
                  <c:v>2392.0215415404577</c:v>
                </c:pt>
                <c:pt idx="116">
                  <c:v>2388.6578679219569</c:v>
                </c:pt>
                <c:pt idx="117">
                  <c:v>2385.3274914820895</c:v>
                </c:pt>
                <c:pt idx="118">
                  <c:v>2382.029804589316</c:v>
                </c:pt>
                <c:pt idx="119">
                  <c:v>2378.7642156893348</c:v>
                </c:pt>
                <c:pt idx="120">
                  <c:v>2375.5301487498859</c:v>
                </c:pt>
                <c:pt idx="121">
                  <c:v>2372.3270427291418</c:v>
                </c:pt>
                <c:pt idx="122">
                  <c:v>2369.1543510664906</c:v>
                </c:pt>
                <c:pt idx="123">
                  <c:v>2366.0115411945958</c:v>
                </c:pt>
                <c:pt idx="124">
                  <c:v>2362.898094071687</c:v>
                </c:pt>
                <c:pt idx="125">
                  <c:v>2359.8135037330794</c:v>
                </c:pt>
                <c:pt idx="126">
                  <c:v>2356.7572768609907</c:v>
                </c:pt>
                <c:pt idx="127">
                  <c:v>2353.7289323717714</c:v>
                </c:pt>
                <c:pt idx="128">
                  <c:v>2350.7280010197101</c:v>
                </c:pt>
                <c:pt idx="129">
                  <c:v>2347.7540250166307</c:v>
                </c:pt>
                <c:pt idx="130">
                  <c:v>2344.8065576665326</c:v>
                </c:pt>
                <c:pt idx="131">
                  <c:v>2341.8851630145678</c:v>
                </c:pt>
                <c:pt idx="132">
                  <c:v>2338.9894155096904</c:v>
                </c:pt>
                <c:pt idx="133">
                  <c:v>2336.1188996803544</c:v>
                </c:pt>
                <c:pt idx="134">
                  <c:v>2333.273209822642</c:v>
                </c:pt>
                <c:pt idx="135">
                  <c:v>2330.4519497002871</c:v>
                </c:pt>
                <c:pt idx="136">
                  <c:v>2327.6547322560223</c:v>
                </c:pt>
                <c:pt idx="137">
                  <c:v>2324.8811793337791</c:v>
                </c:pt>
                <c:pt idx="138">
                  <c:v>2322.1309214112234</c:v>
                </c:pt>
                <c:pt idx="139">
                  <c:v>2319.4035973421987</c:v>
                </c:pt>
                <c:pt idx="140">
                  <c:v>2316.6988541086225</c:v>
                </c:pt>
                <c:pt idx="141">
                  <c:v>2314.0163465814353</c:v>
                </c:pt>
                <c:pt idx="142">
                  <c:v>2311.3557372902055</c:v>
                </c:pt>
                <c:pt idx="143">
                  <c:v>2308.7166962010251</c:v>
                </c:pt>
                <c:pt idx="144">
                  <c:v>2306.0989005023339</c:v>
                </c:pt>
                <c:pt idx="145">
                  <c:v>2303.5020343983397</c:v>
                </c:pt>
                <c:pt idx="146">
                  <c:v>2300.9257889097239</c:v>
                </c:pt>
                <c:pt idx="147">
                  <c:v>2298.3698616813099</c:v>
                </c:pt>
                <c:pt idx="148">
                  <c:v>2295.8339567964267</c:v>
                </c:pt>
                <c:pt idx="149">
                  <c:v>2293.317784597672</c:v>
                </c:pt>
                <c:pt idx="150">
                  <c:v>2290.821061513831</c:v>
                </c:pt>
                <c:pt idx="151">
                  <c:v>2288.3435098926807</c:v>
                </c:pt>
                <c:pt idx="152">
                  <c:v>2285.8848578394663</c:v>
                </c:pt>
                <c:pt idx="153">
                  <c:v>2283.444839060794</c:v>
                </c:pt>
                <c:pt idx="154">
                  <c:v>2281.0231927137534</c:v>
                </c:pt>
                <c:pt idx="155">
                  <c:v>2278.6196632600358</c:v>
                </c:pt>
                <c:pt idx="156">
                  <c:v>2276.2340003248682</c:v>
                </c:pt>
                <c:pt idx="157">
                  <c:v>2273.8659585605742</c:v>
                </c:pt>
                <c:pt idx="158">
                  <c:v>2271.5152975145706</c:v>
                </c:pt>
                <c:pt idx="159">
                  <c:v>2269.1817815016398</c:v>
                </c:pt>
                <c:pt idx="160">
                  <c:v>2266.8651794803095</c:v>
                </c:pt>
                <c:pt idx="161">
                  <c:v>2264.5652649331828</c:v>
                </c:pt>
                <c:pt idx="162">
                  <c:v>2262.2818157510678</c:v>
                </c:pt>
                <c:pt idx="163">
                  <c:v>2260.0146141207665</c:v>
                </c:pt>
                <c:pt idx="164">
                  <c:v>2257.7634464163871</c:v>
                </c:pt>
                <c:pt idx="165">
                  <c:v>2255.5281030940387</c:v>
                </c:pt>
                <c:pt idx="166">
                  <c:v>2253.3083785897979</c:v>
                </c:pt>
                <c:pt idx="167">
                  <c:v>2251.1040712208169</c:v>
                </c:pt>
                <c:pt idx="168">
                  <c:v>2248.9149830894585</c:v>
                </c:pt>
                <c:pt idx="169">
                  <c:v>2246.7409199903536</c:v>
                </c:pt>
                <c:pt idx="170">
                  <c:v>2244.5816913202721</c:v>
                </c:pt>
                <c:pt idx="171">
                  <c:v>2242.4371099907025</c:v>
                </c:pt>
                <c:pt idx="172">
                  <c:v>2240.3069923430548</c:v>
                </c:pt>
                <c:pt idx="173">
                  <c:v>2238.191158066375</c:v>
                </c:pt>
                <c:pt idx="174">
                  <c:v>2236.0894301175072</c:v>
                </c:pt>
                <c:pt idx="175">
                  <c:v>2234.0016346435905</c:v>
                </c:pt>
                <c:pt idx="176">
                  <c:v>2231.9276009068344</c:v>
                </c:pt>
                <c:pt idx="177">
                  <c:v>2229.8671612114686</c:v>
                </c:pt>
                <c:pt idx="178">
                  <c:v>2227.8201508328189</c:v>
                </c:pt>
                <c:pt idx="179">
                  <c:v>2225.7864079484148</c:v>
                </c:pt>
                <c:pt idx="180">
                  <c:v>2223.765773571065</c:v>
                </c:pt>
                <c:pt idx="181">
                  <c:v>2221.7580914838431</c:v>
                </c:pt>
                <c:pt idx="182">
                  <c:v>2219.7632081769075</c:v>
                </c:pt>
                <c:pt idx="183">
                  <c:v>2217.7809727861004</c:v>
                </c:pt>
                <c:pt idx="184">
                  <c:v>2215.811237033261</c:v>
                </c:pt>
                <c:pt idx="185">
                  <c:v>2213.8538551682082</c:v>
                </c:pt>
                <c:pt idx="186">
                  <c:v>2211.9086839123161</c:v>
                </c:pt>
                <c:pt idx="187">
                  <c:v>2209.9755824036552</c:v>
                </c:pt>
                <c:pt idx="188">
                  <c:v>2208.0544121436287</c:v>
                </c:pt>
                <c:pt idx="189">
                  <c:v>2206.1450369450645</c:v>
                </c:pt>
                <c:pt idx="190">
                  <c:v>2204.2473228817134</c:v>
                </c:pt>
                <c:pt idx="191">
                  <c:v>2202.3611382391077</c:v>
                </c:pt>
                <c:pt idx="192">
                  <c:v>2200.4863534667411</c:v>
                </c:pt>
                <c:pt idx="193">
                  <c:v>2198.6228411315178</c:v>
                </c:pt>
                <c:pt idx="194">
                  <c:v>2196.770475872444</c:v>
                </c:pt>
                <c:pt idx="195">
                  <c:v>2194.9291343565096</c:v>
                </c:pt>
                <c:pt idx="196">
                  <c:v>2193.0986952357352</c:v>
                </c:pt>
                <c:pt idx="197">
                  <c:v>2191.2790391053354</c:v>
                </c:pt>
                <c:pt idx="198">
                  <c:v>2189.470048462973</c:v>
                </c:pt>
                <c:pt idx="199">
                  <c:v>2187.6716076690691</c:v>
                </c:pt>
                <c:pt idx="200">
                  <c:v>2185.8836029081317</c:v>
                </c:pt>
                <c:pt idx="201">
                  <c:v>2184.1059221510759</c:v>
                </c:pt>
                <c:pt idx="202">
                  <c:v>2182.3384551185086</c:v>
                </c:pt>
                <c:pt idx="203">
                  <c:v>2180.5810932449358</c:v>
                </c:pt>
                <c:pt idx="204">
                  <c:v>2178.8337296438831</c:v>
                </c:pt>
                <c:pt idx="205">
                  <c:v>2177.0962590738873</c:v>
                </c:pt>
                <c:pt idx="206">
                  <c:v>2175.3685779053344</c:v>
                </c:pt>
                <c:pt idx="207">
                  <c:v>2173.6505840881341</c:v>
                </c:pt>
                <c:pt idx="208">
                  <c:v>2171.9421771201801</c:v>
                </c:pt>
                <c:pt idx="209">
                  <c:v>2170.2432580166005</c:v>
                </c:pt>
                <c:pt idx="210">
                  <c:v>2168.5537292797526</c:v>
                </c:pt>
                <c:pt idx="211">
                  <c:v>2166.8734948699566</c:v>
                </c:pt>
                <c:pt idx="212">
                  <c:v>2165.2024601769353</c:v>
                </c:pt>
                <c:pt idx="213">
                  <c:v>2163.54053199195</c:v>
                </c:pt>
                <c:pt idx="214">
                  <c:v>2161.887618480599</c:v>
                </c:pt>
                <c:pt idx="215">
                  <c:v>2160.2436291562763</c:v>
                </c:pt>
                <c:pt idx="216">
                  <c:v>2158.6084748542571</c:v>
                </c:pt>
                <c:pt idx="217">
                  <c:v>2156.9820677064004</c:v>
                </c:pt>
                <c:pt idx="218">
                  <c:v>2155.3643211164494</c:v>
                </c:pt>
                <c:pt idx="219">
                  <c:v>2153.755149735915</c:v>
                </c:pt>
                <c:pt idx="220">
                  <c:v>2152.1544694405147</c:v>
                </c:pt>
                <c:pt idx="221">
                  <c:v>2150.5621973071766</c:v>
                </c:pt>
                <c:pt idx="222">
                  <c:v>2148.9782515915595</c:v>
                </c:pt>
                <c:pt idx="223">
                  <c:v>2147.4025517061041</c:v>
                </c:pt>
                <c:pt idx="224">
                  <c:v>2145.8350181985866</c:v>
                </c:pt>
                <c:pt idx="225">
                  <c:v>2144.2755727311574</c:v>
                </c:pt>
                <c:pt idx="226">
                  <c:v>2142.7241380598666</c:v>
                </c:pt>
                <c:pt idx="227">
                  <c:v>2141.1806380146459</c:v>
                </c:pt>
                <c:pt idx="228">
                  <c:v>2139.6449974797474</c:v>
                </c:pt>
                <c:pt idx="229">
                  <c:v>2138.1171423746223</c:v>
                </c:pt>
                <c:pt idx="230">
                  <c:v>2136.5969996352251</c:v>
                </c:pt>
                <c:pt idx="231">
                  <c:v>2135.0844971957376</c:v>
                </c:pt>
                <c:pt idx="232">
                  <c:v>2133.5795639706948</c:v>
                </c:pt>
                <c:pt idx="233">
                  <c:v>2132.0821298375145</c:v>
                </c:pt>
                <c:pt idx="234">
                  <c:v>2130.5921256193983</c:v>
                </c:pt>
                <c:pt idx="235">
                  <c:v>2129.1094830686197</c:v>
                </c:pt>
                <c:pt idx="236">
                  <c:v>2127.6341348501696</c:v>
                </c:pt>
                <c:pt idx="237">
                  <c:v>2126.1660145257601</c:v>
                </c:pt>
                <c:pt idx="238">
                  <c:v>2124.705056538176</c:v>
                </c:pt>
                <c:pt idx="239">
                  <c:v>2123.2511961959581</c:v>
                </c:pt>
                <c:pt idx="240">
                  <c:v>2121.8043696584205</c:v>
                </c:pt>
                <c:pt idx="241">
                  <c:v>2120.3645139209884</c:v>
                </c:pt>
                <c:pt idx="242">
                  <c:v>2118.931566800843</c:v>
                </c:pt>
                <c:pt idx="243">
                  <c:v>2117.5054669228748</c:v>
                </c:pt>
                <c:pt idx="244">
                  <c:v>2116.0861537059341</c:v>
                </c:pt>
                <c:pt idx="245">
                  <c:v>2114.6735673493672</c:v>
                </c:pt>
                <c:pt idx="246">
                  <c:v>2113.2676488198363</c:v>
                </c:pt>
                <c:pt idx="247">
                  <c:v>2111.8683398384155</c:v>
                </c:pt>
                <c:pt idx="248">
                  <c:v>2110.4755828679549</c:v>
                </c:pt>
                <c:pt idx="249">
                  <c:v>2109.0893211007001</c:v>
                </c:pt>
                <c:pt idx="250">
                  <c:v>2107.7094984461773</c:v>
                </c:pt>
                <c:pt idx="251">
                  <c:v>2106.336059519318</c:v>
                </c:pt>
                <c:pt idx="252">
                  <c:v>2104.9689496288329</c:v>
                </c:pt>
                <c:pt idx="253">
                  <c:v>2103.608114765816</c:v>
                </c:pt>
                <c:pt idx="254">
                  <c:v>2102.2535015925864</c:v>
                </c:pt>
                <c:pt idx="255">
                  <c:v>2100.9050574317521</c:v>
                </c:pt>
                <c:pt idx="256">
                  <c:v>2099.5627302554922</c:v>
                </c:pt>
                <c:pt idx="257">
                  <c:v>2098.2264686750605</c:v>
                </c:pt>
                <c:pt idx="258">
                  <c:v>2096.8962219304894</c:v>
                </c:pt>
                <c:pt idx="259">
                  <c:v>2095.5719398805086</c:v>
                </c:pt>
                <c:pt idx="260">
                  <c:v>2094.2535729926553</c:v>
                </c:pt>
                <c:pt idx="261">
                  <c:v>2092.9410723335836</c:v>
                </c:pt>
                <c:pt idx="262">
                  <c:v>2091.6343895595642</c:v>
                </c:pt>
                <c:pt idx="263">
                  <c:v>2090.3334769071707</c:v>
                </c:pt>
                <c:pt idx="264">
                  <c:v>2089.0382871841452</c:v>
                </c:pt>
                <c:pt idx="265">
                  <c:v>2087.7487737604451</c:v>
                </c:pt>
                <c:pt idx="266">
                  <c:v>2086.4648905594577</c:v>
                </c:pt>
                <c:pt idx="267">
                  <c:v>2085.1865920493951</c:v>
                </c:pt>
                <c:pt idx="268">
                  <c:v>2083.9138332348393</c:v>
                </c:pt>
                <c:pt idx="269">
                  <c:v>2082.646569648462</c:v>
                </c:pt>
                <c:pt idx="270">
                  <c:v>2081.3847573428984</c:v>
                </c:pt>
                <c:pt idx="271">
                  <c:v>2080.1283528827726</c:v>
                </c:pt>
                <c:pt idx="272">
                  <c:v>2078.8773133368777</c:v>
                </c:pt>
                <c:pt idx="273">
                  <c:v>2077.6315962705021</c:v>
                </c:pt>
                <c:pt idx="274">
                  <c:v>2076.391159737901</c:v>
                </c:pt>
                <c:pt idx="275">
                  <c:v>2075.1559622749069</c:v>
                </c:pt>
                <c:pt idx="276">
                  <c:v>2073.9259628916802</c:v>
                </c:pt>
                <c:pt idx="277">
                  <c:v>2072.7011210655937</c:v>
                </c:pt>
                <c:pt idx="278">
                  <c:v>2071.4813967342502</c:v>
                </c:pt>
                <c:pt idx="279">
                  <c:v>2070.2667502886266</c:v>
                </c:pt>
                <c:pt idx="280">
                  <c:v>2069.0571425663447</c:v>
                </c:pt>
                <c:pt idx="281">
                  <c:v>2067.8525348450707</c:v>
                </c:pt>
                <c:pt idx="282">
                  <c:v>2066.6528888360262</c:v>
                </c:pt>
                <c:pt idx="283">
                  <c:v>2065.4581666776248</c:v>
                </c:pt>
                <c:pt idx="284">
                  <c:v>2064.2683309292202</c:v>
                </c:pt>
                <c:pt idx="285">
                  <c:v>2063.0833445649696</c:v>
                </c:pt>
                <c:pt idx="286">
                  <c:v>2061.9031709678052</c:v>
                </c:pt>
                <c:pt idx="287">
                  <c:v>2060.7277739235183</c:v>
                </c:pt>
                <c:pt idx="288">
                  <c:v>2059.5571176149438</c:v>
                </c:pt>
                <c:pt idx="289">
                  <c:v>2058.3911666162521</c:v>
                </c:pt>
                <c:pt idx="290">
                  <c:v>2057.2298858873405</c:v>
                </c:pt>
                <c:pt idx="291">
                  <c:v>2056.0732407683267</c:v>
                </c:pt>
                <c:pt idx="292">
                  <c:v>2054.9211969741355</c:v>
                </c:pt>
                <c:pt idx="293">
                  <c:v>2053.7737205891854</c:v>
                </c:pt>
                <c:pt idx="294">
                  <c:v>2052.6307780621601</c:v>
                </c:pt>
                <c:pt idx="295">
                  <c:v>2051.4923362008853</c:v>
                </c:pt>
                <c:pt idx="296">
                  <c:v>2050.3583621672801</c:v>
                </c:pt>
                <c:pt idx="297">
                  <c:v>2049.2288234724042</c:v>
                </c:pt>
                <c:pt idx="298">
                  <c:v>2048.1036879715894</c:v>
                </c:pt>
                <c:pt idx="299">
                  <c:v>2046.9829238596544</c:v>
                </c:pt>
                <c:pt idx="300">
                  <c:v>2045.8664996662001</c:v>
                </c:pt>
                <c:pt idx="301">
                  <c:v>2044.7543842509901</c:v>
                </c:pt>
                <c:pt idx="302">
                  <c:v>2043.6465467994053</c:v>
                </c:pt>
                <c:pt idx="303">
                  <c:v>2042.5429568179775</c:v>
                </c:pt>
                <c:pt idx="304">
                  <c:v>2041.4435841300012</c:v>
                </c:pt>
                <c:pt idx="305">
                  <c:v>2040.3483988712142</c:v>
                </c:pt>
                <c:pt idx="306">
                  <c:v>2039.257371485556</c:v>
                </c:pt>
                <c:pt idx="307">
                  <c:v>2038.1704727209947</c:v>
                </c:pt>
                <c:pt idx="308">
                  <c:v>2037.0876736254263</c:v>
                </c:pt>
                <c:pt idx="309">
                  <c:v>2036.0089455426373</c:v>
                </c:pt>
                <c:pt idx="310">
                  <c:v>2034.9342601083404</c:v>
                </c:pt>
                <c:pt idx="311">
                  <c:v>2033.863589246271</c:v>
                </c:pt>
                <c:pt idx="312">
                  <c:v>2032.7969051643549</c:v>
                </c:pt>
                <c:pt idx="313">
                  <c:v>2031.7341803509273</c:v>
                </c:pt>
                <c:pt idx="314">
                  <c:v>2030.675387571029</c:v>
                </c:pt>
                <c:pt idx="315">
                  <c:v>2029.6204998627491</c:v>
                </c:pt>
                <c:pt idx="316">
                  <c:v>2028.5694905336375</c:v>
                </c:pt>
                <c:pt idx="317">
                  <c:v>2027.5223331571713</c:v>
                </c:pt>
                <c:pt idx="318">
                  <c:v>2026.479001569277</c:v>
                </c:pt>
                <c:pt idx="319">
                  <c:v>2025.4394698649128</c:v>
                </c:pt>
                <c:pt idx="320">
                  <c:v>2024.4037123947039</c:v>
                </c:pt>
                <c:pt idx="321">
                  <c:v>2023.3717037616318</c:v>
                </c:pt>
                <c:pt idx="322">
                  <c:v>2022.3434188177775</c:v>
                </c:pt>
                <c:pt idx="323">
                  <c:v>2021.3188326611144</c:v>
                </c:pt>
                <c:pt idx="324">
                  <c:v>2020.2979206323539</c:v>
                </c:pt>
                <c:pt idx="325">
                  <c:v>2019.280658311844</c:v>
                </c:pt>
                <c:pt idx="326">
                  <c:v>2018.2670215165112</c:v>
                </c:pt>
                <c:pt idx="327">
                  <c:v>2017.2569862968526</c:v>
                </c:pt>
                <c:pt idx="328">
                  <c:v>2016.2505289339788</c:v>
                </c:pt>
                <c:pt idx="329">
                  <c:v>2015.2476259366977</c:v>
                </c:pt>
                <c:pt idx="330">
                  <c:v>2014.2482540386475</c:v>
                </c:pt>
                <c:pt idx="331">
                  <c:v>2013.2523901954746</c:v>
                </c:pt>
                <c:pt idx="332">
                  <c:v>2012.2600115820517</c:v>
                </c:pt>
                <c:pt idx="333">
                  <c:v>2011.2710955897421</c:v>
                </c:pt>
                <c:pt idx="334">
                  <c:v>2010.2856198237077</c:v>
                </c:pt>
                <c:pt idx="335">
                  <c:v>2009.3035621002509</c:v>
                </c:pt>
                <c:pt idx="336">
                  <c:v>2008.3249004442089</c:v>
                </c:pt>
                <c:pt idx="337">
                  <c:v>2007.3496130863766</c:v>
                </c:pt>
                <c:pt idx="338">
                  <c:v>2006.377678460977</c:v>
                </c:pt>
                <c:pt idx="339">
                  <c:v>2005.4090752031627</c:v>
                </c:pt>
                <c:pt idx="340">
                  <c:v>2004.4437821465644</c:v>
                </c:pt>
                <c:pt idx="341">
                  <c:v>2003.4817783208682</c:v>
                </c:pt>
                <c:pt idx="342">
                  <c:v>2002.5230429494325</c:v>
                </c:pt>
                <c:pt idx="343">
                  <c:v>2001.5675554469431</c:v>
                </c:pt>
                <c:pt idx="344">
                  <c:v>2000.6152954170982</c:v>
                </c:pt>
                <c:pt idx="345">
                  <c:v>1999.6662426503333</c:v>
                </c:pt>
                <c:pt idx="346">
                  <c:v>1998.7203771215773</c:v>
                </c:pt>
                <c:pt idx="347">
                  <c:v>1997.7776789880411</c:v>
                </c:pt>
                <c:pt idx="348">
                  <c:v>1996.8381285870416</c:v>
                </c:pt>
                <c:pt idx="349">
                  <c:v>1995.9017064338552</c:v>
                </c:pt>
                <c:pt idx="350">
                  <c:v>1994.9683932196056</c:v>
                </c:pt>
                <c:pt idx="351">
                  <c:v>1994.0381698091801</c:v>
                </c:pt>
                <c:pt idx="352">
                  <c:v>1993.1110172391759</c:v>
                </c:pt>
                <c:pt idx="353">
                  <c:v>1992.1869167158825</c:v>
                </c:pt>
                <c:pt idx="354">
                  <c:v>1991.2658496132844</c:v>
                </c:pt>
                <c:pt idx="355">
                  <c:v>1990.3477974710997</c:v>
                </c:pt>
                <c:pt idx="356">
                  <c:v>1989.4327419928441</c:v>
                </c:pt>
                <c:pt idx="357">
                  <c:v>1988.5206650439231</c:v>
                </c:pt>
                <c:pt idx="358">
                  <c:v>1987.6115486497547</c:v>
                </c:pt>
                <c:pt idx="359">
                  <c:v>1986.7053749939109</c:v>
                </c:pt>
                <c:pt idx="360">
                  <c:v>1985.8021264162976</c:v>
                </c:pt>
                <c:pt idx="361">
                  <c:v>1984.9017854113513</c:v>
                </c:pt>
                <c:pt idx="362">
                  <c:v>1984.0043346262632</c:v>
                </c:pt>
                <c:pt idx="363">
                  <c:v>1983.109756859232</c:v>
                </c:pt>
                <c:pt idx="364">
                  <c:v>1982.2180350577387</c:v>
                </c:pt>
                <c:pt idx="365">
                  <c:v>1981.3291523168457</c:v>
                </c:pt>
                <c:pt idx="366">
                  <c:v>1980.4430918775213</c:v>
                </c:pt>
                <c:pt idx="367">
                  <c:v>1979.5598371249848</c:v>
                </c:pt>
                <c:pt idx="368">
                  <c:v>1978.6793715870808</c:v>
                </c:pt>
                <c:pt idx="369">
                  <c:v>1977.8016789326682</c:v>
                </c:pt>
                <c:pt idx="370">
                  <c:v>1976.9267429700371</c:v>
                </c:pt>
                <c:pt idx="371">
                  <c:v>1976.0545476453485</c:v>
                </c:pt>
                <c:pt idx="372">
                  <c:v>1975.1850770410904</c:v>
                </c:pt>
                <c:pt idx="373">
                  <c:v>1974.318315374559</c:v>
                </c:pt>
                <c:pt idx="374">
                  <c:v>1973.4542469963624</c:v>
                </c:pt>
                <c:pt idx="375">
                  <c:v>1972.592856388939</c:v>
                </c:pt>
                <c:pt idx="376">
                  <c:v>1971.7341281651034</c:v>
                </c:pt>
                <c:pt idx="377">
                  <c:v>1970.8780470666056</c:v>
                </c:pt>
                <c:pt idx="378">
                  <c:v>1970.024597962715</c:v>
                </c:pt>
                <c:pt idx="379">
                  <c:v>1969.1737658488207</c:v>
                </c:pt>
                <c:pt idx="380">
                  <c:v>1968.3255358450513</c:v>
                </c:pt>
                <c:pt idx="381">
                  <c:v>1967.4798931949138</c:v>
                </c:pt>
                <c:pt idx="382">
                  <c:v>1966.6368232639525</c:v>
                </c:pt>
                <c:pt idx="383">
                  <c:v>1965.7963115384202</c:v>
                </c:pt>
                <c:pt idx="384">
                  <c:v>1964.9583436239764</c:v>
                </c:pt>
                <c:pt idx="385">
                  <c:v>1964.1229052443944</c:v>
                </c:pt>
                <c:pt idx="386">
                  <c:v>1963.289982240289</c:v>
                </c:pt>
                <c:pt idx="387">
                  <c:v>1962.4595605678637</c:v>
                </c:pt>
                <c:pt idx="388">
                  <c:v>1961.6316262976688</c:v>
                </c:pt>
                <c:pt idx="389">
                  <c:v>1960.8061656133825</c:v>
                </c:pt>
                <c:pt idx="390">
                  <c:v>1959.9831648106019</c:v>
                </c:pt>
                <c:pt idx="391">
                  <c:v>1959.1626102956566</c:v>
                </c:pt>
                <c:pt idx="392">
                  <c:v>1958.3444885844292</c:v>
                </c:pt>
                <c:pt idx="393">
                  <c:v>1957.5287863011999</c:v>
                </c:pt>
                <c:pt idx="394">
                  <c:v>1956.7154901775029</c:v>
                </c:pt>
                <c:pt idx="395">
                  <c:v>1955.9045870509951</c:v>
                </c:pt>
                <c:pt idx="396">
                  <c:v>1955.0960638643423</c:v>
                </c:pt>
                <c:pt idx="397">
                  <c:v>1954.2899076641231</c:v>
                </c:pt>
                <c:pt idx="398">
                  <c:v>1953.4861055997355</c:v>
                </c:pt>
                <c:pt idx="399">
                  <c:v>1952.6846449223351</c:v>
                </c:pt>
                <c:pt idx="400">
                  <c:v>1951.8855129837691</c:v>
                </c:pt>
                <c:pt idx="401">
                  <c:v>1951.0886972355381</c:v>
                </c:pt>
                <c:pt idx="402">
                  <c:v>1950.2941852277606</c:v>
                </c:pt>
                <c:pt idx="403">
                  <c:v>1949.5019646081603</c:v>
                </c:pt>
                <c:pt idx="404">
                  <c:v>1948.7120231210572</c:v>
                </c:pt>
                <c:pt idx="405">
                  <c:v>1947.924348606379</c:v>
                </c:pt>
                <c:pt idx="406">
                  <c:v>1947.1389289986798</c:v>
                </c:pt>
                <c:pt idx="407">
                  <c:v>1946.355752326175</c:v>
                </c:pt>
                <c:pt idx="408">
                  <c:v>1945.5748067097861</c:v>
                </c:pt>
                <c:pt idx="409">
                  <c:v>1944.7960803621975</c:v>
                </c:pt>
                <c:pt idx="410">
                  <c:v>1944.0195615869275</c:v>
                </c:pt>
                <c:pt idx="411">
                  <c:v>1943.2452387774083</c:v>
                </c:pt>
                <c:pt idx="412">
                  <c:v>1942.4731004160776</c:v>
                </c:pt>
                <c:pt idx="413">
                  <c:v>1941.7031350734851</c:v>
                </c:pt>
                <c:pt idx="414">
                  <c:v>1940.9353314074053</c:v>
                </c:pt>
                <c:pt idx="415">
                  <c:v>1940.1696781619637</c:v>
                </c:pt>
                <c:pt idx="416">
                  <c:v>1939.4061641667759</c:v>
                </c:pt>
                <c:pt idx="417">
                  <c:v>1938.6447783360907</c:v>
                </c:pt>
                <c:pt idx="418">
                  <c:v>1937.8855096679542</c:v>
                </c:pt>
                <c:pt idx="419">
                  <c:v>1937.1283472433731</c:v>
                </c:pt>
                <c:pt idx="420">
                  <c:v>1936.3732802254949</c:v>
                </c:pt>
                <c:pt idx="421">
                  <c:v>1935.6202978587978</c:v>
                </c:pt>
                <c:pt idx="422">
                  <c:v>1934.8693894682883</c:v>
                </c:pt>
                <c:pt idx="423">
                  <c:v>1934.1205444587094</c:v>
                </c:pt>
                <c:pt idx="424">
                  <c:v>1933.3737523137584</c:v>
                </c:pt>
                <c:pt idx="425">
                  <c:v>1932.6290025953165</c:v>
                </c:pt>
                <c:pt idx="426">
                  <c:v>1931.8862849426821</c:v>
                </c:pt>
                <c:pt idx="427">
                  <c:v>1931.1455890718203</c:v>
                </c:pt>
                <c:pt idx="428">
                  <c:v>1930.4069047746154</c:v>
                </c:pt>
                <c:pt idx="429">
                  <c:v>1929.6702219181375</c:v>
                </c:pt>
                <c:pt idx="430">
                  <c:v>1928.9355304439125</c:v>
                </c:pt>
                <c:pt idx="431">
                  <c:v>1928.2028203672062</c:v>
                </c:pt>
                <c:pt idx="432">
                  <c:v>1927.4720817763143</c:v>
                </c:pt>
                <c:pt idx="433">
                  <c:v>1926.7433048318587</c:v>
                </c:pt>
                <c:pt idx="434">
                  <c:v>1926.0164797660977</c:v>
                </c:pt>
                <c:pt idx="435">
                  <c:v>1925.2915968822385</c:v>
                </c:pt>
                <c:pt idx="436">
                  <c:v>1924.5686465537626</c:v>
                </c:pt>
                <c:pt idx="437">
                  <c:v>1923.8476192237556</c:v>
                </c:pt>
                <c:pt idx="438">
                  <c:v>1923.1285054042471</c:v>
                </c:pt>
                <c:pt idx="439">
                  <c:v>1922.4112956755575</c:v>
                </c:pt>
                <c:pt idx="440">
                  <c:v>1921.6959806856523</c:v>
                </c:pt>
                <c:pt idx="441">
                  <c:v>1920.9825511495055</c:v>
                </c:pt>
                <c:pt idx="442">
                  <c:v>1920.2709978484663</c:v>
                </c:pt>
                <c:pt idx="443">
                  <c:v>1919.5613116296395</c:v>
                </c:pt>
                <c:pt idx="444">
                  <c:v>1918.8534834052673</c:v>
                </c:pt>
                <c:pt idx="445">
                  <c:v>1918.1475041521214</c:v>
                </c:pt>
                <c:pt idx="446">
                  <c:v>1917.4433649109012</c:v>
                </c:pt>
                <c:pt idx="447">
                  <c:v>1916.7410567856396</c:v>
                </c:pt>
                <c:pt idx="448">
                  <c:v>1916.0405709431129</c:v>
                </c:pt>
                <c:pt idx="449">
                  <c:v>1915.341898612264</c:v>
                </c:pt>
                <c:pt idx="450">
                  <c:v>1914.6450310836231</c:v>
                </c:pt>
                <c:pt idx="451">
                  <c:v>1913.9499597087433</c:v>
                </c:pt>
                <c:pt idx="452">
                  <c:v>1913.256675899637</c:v>
                </c:pt>
                <c:pt idx="453">
                  <c:v>1912.5651711282226</c:v>
                </c:pt>
                <c:pt idx="454">
                  <c:v>1911.8754369257738</c:v>
                </c:pt>
                <c:pt idx="455">
                  <c:v>1911.1874648823791</c:v>
                </c:pt>
                <c:pt idx="456">
                  <c:v>1910.5012466464043</c:v>
                </c:pt>
                <c:pt idx="457">
                  <c:v>1909.8167739239627</c:v>
                </c:pt>
                <c:pt idx="458">
                  <c:v>1909.1340384783898</c:v>
                </c:pt>
                <c:pt idx="459">
                  <c:v>1908.4530321297257</c:v>
                </c:pt>
                <c:pt idx="460">
                  <c:v>1907.7737467542026</c:v>
                </c:pt>
                <c:pt idx="461">
                  <c:v>1907.0961742837376</c:v>
                </c:pt>
                <c:pt idx="462">
                  <c:v>1906.4203067054311</c:v>
                </c:pt>
                <c:pt idx="463">
                  <c:v>1905.746136061071</c:v>
                </c:pt>
                <c:pt idx="464">
                  <c:v>1905.0736544466442</c:v>
                </c:pt>
                <c:pt idx="465">
                  <c:v>1904.40285401185</c:v>
                </c:pt>
                <c:pt idx="466">
                  <c:v>1903.733726959621</c:v>
                </c:pt>
                <c:pt idx="467">
                  <c:v>1903.0662655456495</c:v>
                </c:pt>
                <c:pt idx="468">
                  <c:v>1902.4004620779203</c:v>
                </c:pt>
                <c:pt idx="469">
                  <c:v>1901.7363089162427</c:v>
                </c:pt>
                <c:pt idx="470">
                  <c:v>1901.0737984717966</c:v>
                </c:pt>
                <c:pt idx="471">
                  <c:v>1900.4129232066759</c:v>
                </c:pt>
                <c:pt idx="472">
                  <c:v>1899.7536756334412</c:v>
                </c:pt>
                <c:pt idx="473">
                  <c:v>1899.0960483146755</c:v>
                </c:pt>
                <c:pt idx="474">
                  <c:v>1898.440033862546</c:v>
                </c:pt>
                <c:pt idx="475">
                  <c:v>1897.785624938369</c:v>
                </c:pt>
                <c:pt idx="476">
                  <c:v>1897.1328142521809</c:v>
                </c:pt>
                <c:pt idx="477">
                  <c:v>1896.4815945623141</c:v>
                </c:pt>
                <c:pt idx="478">
                  <c:v>1895.831958674976</c:v>
                </c:pt>
                <c:pt idx="479">
                  <c:v>1895.1838994438335</c:v>
                </c:pt>
                <c:pt idx="480">
                  <c:v>1894.5374097696013</c:v>
                </c:pt>
                <c:pt idx="481">
                  <c:v>1893.8924825996364</c:v>
                </c:pt>
                <c:pt idx="482">
                  <c:v>1893.2491109275345</c:v>
                </c:pt>
                <c:pt idx="483">
                  <c:v>1892.6072877927324</c:v>
                </c:pt>
                <c:pt idx="484">
                  <c:v>1891.967006280114</c:v>
                </c:pt>
                <c:pt idx="485">
                  <c:v>1891.3282595196201</c:v>
                </c:pt>
                <c:pt idx="486">
                  <c:v>1890.6910406858638</c:v>
                </c:pt>
                <c:pt idx="487">
                  <c:v>1890.0553429977476</c:v>
                </c:pt>
                <c:pt idx="488">
                  <c:v>1889.4211597180877</c:v>
                </c:pt>
                <c:pt idx="489">
                  <c:v>1888.7884841532391</c:v>
                </c:pt>
                <c:pt idx="490">
                  <c:v>1888.1573096527275</c:v>
                </c:pt>
                <c:pt idx="491">
                  <c:v>1887.5276296088803</c:v>
                </c:pt>
                <c:pt idx="492">
                  <c:v>1886.8994374564697</c:v>
                </c:pt>
                <c:pt idx="493">
                  <c:v>1886.2727266723502</c:v>
                </c:pt>
                <c:pt idx="494">
                  <c:v>1885.6474907751085</c:v>
                </c:pt>
                <c:pt idx="495">
                  <c:v>1885.0237233247078</c:v>
                </c:pt>
                <c:pt idx="496">
                  <c:v>1884.4014179221458</c:v>
                </c:pt>
                <c:pt idx="497">
                  <c:v>1883.7805682091073</c:v>
                </c:pt>
                <c:pt idx="498">
                  <c:v>1883.1611678676275</c:v>
                </c:pt>
                <c:pt idx="499">
                  <c:v>1882.5432106197543</c:v>
                </c:pt>
              </c:numCache>
            </c:numRef>
          </c:yVal>
          <c:smooth val="0"/>
          <c:extLst>
            <c:ext xmlns:c16="http://schemas.microsoft.com/office/drawing/2014/chart" uri="{C3380CC4-5D6E-409C-BE32-E72D297353CC}">
              <c16:uniqueId val="{00000001-BBA3-493E-B75A-349DC9352E9D}"/>
            </c:ext>
          </c:extLst>
        </c:ser>
        <c:ser>
          <c:idx val="2"/>
          <c:order val="2"/>
          <c:tx>
            <c:v>KOH-looping Ca</c:v>
          </c:tx>
          <c:spPr>
            <a:ln w="25400" cap="rnd">
              <a:noFill/>
              <a:round/>
            </a:ln>
            <a:effectLst/>
          </c:spPr>
          <c:marker>
            <c:symbol val="circle"/>
            <c:size val="4"/>
            <c:spPr>
              <a:noFill/>
              <a:ln w="3175">
                <a:solidFill>
                  <a:schemeClr val="accent2">
                    <a:alpha val="50000"/>
                  </a:schemeClr>
                </a:solidFill>
              </a:ln>
              <a:effectLst/>
            </c:spPr>
          </c:marker>
          <c:trendline>
            <c:spPr>
              <a:ln w="19050" cap="rnd">
                <a:solidFill>
                  <a:schemeClr val="accent3"/>
                </a:solidFill>
                <a:prstDash val="sysDot"/>
              </a:ln>
              <a:effectLst/>
            </c:spPr>
            <c:trendlineType val="power"/>
            <c:dispRSqr val="1"/>
            <c:dispEq val="1"/>
            <c:trendlineLbl>
              <c:layout>
                <c:manualLayout>
                  <c:x val="6.5320455897677149E-3"/>
                  <c:y val="4.5698418351973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cost_scaling_DAC!$K$77:$K$576</c:f>
              <c:numCache>
                <c:formatCode>General</c:formatCode>
                <c:ptCount val="500"/>
                <c:pt idx="0">
                  <c:v>2000</c:v>
                </c:pt>
                <c:pt idx="1">
                  <c:v>4000</c:v>
                </c:pt>
                <c:pt idx="2">
                  <c:v>6000</c:v>
                </c:pt>
                <c:pt idx="3">
                  <c:v>8000</c:v>
                </c:pt>
                <c:pt idx="4">
                  <c:v>10000</c:v>
                </c:pt>
                <c:pt idx="5">
                  <c:v>12000</c:v>
                </c:pt>
                <c:pt idx="6">
                  <c:v>14000</c:v>
                </c:pt>
                <c:pt idx="7">
                  <c:v>16000</c:v>
                </c:pt>
                <c:pt idx="8">
                  <c:v>18000</c:v>
                </c:pt>
                <c:pt idx="9">
                  <c:v>20000</c:v>
                </c:pt>
                <c:pt idx="10">
                  <c:v>22000</c:v>
                </c:pt>
                <c:pt idx="11">
                  <c:v>24000</c:v>
                </c:pt>
                <c:pt idx="12">
                  <c:v>26000</c:v>
                </c:pt>
                <c:pt idx="13">
                  <c:v>28000</c:v>
                </c:pt>
                <c:pt idx="14">
                  <c:v>30000</c:v>
                </c:pt>
                <c:pt idx="15">
                  <c:v>32000</c:v>
                </c:pt>
                <c:pt idx="16">
                  <c:v>34000</c:v>
                </c:pt>
                <c:pt idx="17">
                  <c:v>36000</c:v>
                </c:pt>
                <c:pt idx="18">
                  <c:v>38000</c:v>
                </c:pt>
                <c:pt idx="19">
                  <c:v>40000</c:v>
                </c:pt>
                <c:pt idx="20">
                  <c:v>42000</c:v>
                </c:pt>
                <c:pt idx="21">
                  <c:v>44000</c:v>
                </c:pt>
                <c:pt idx="22">
                  <c:v>46000</c:v>
                </c:pt>
                <c:pt idx="23">
                  <c:v>48000</c:v>
                </c:pt>
                <c:pt idx="24">
                  <c:v>50000</c:v>
                </c:pt>
                <c:pt idx="25">
                  <c:v>52000</c:v>
                </c:pt>
                <c:pt idx="26">
                  <c:v>54000</c:v>
                </c:pt>
                <c:pt idx="27">
                  <c:v>56000</c:v>
                </c:pt>
                <c:pt idx="28">
                  <c:v>58000</c:v>
                </c:pt>
                <c:pt idx="29">
                  <c:v>60000</c:v>
                </c:pt>
                <c:pt idx="30">
                  <c:v>62000</c:v>
                </c:pt>
                <c:pt idx="31">
                  <c:v>64000</c:v>
                </c:pt>
                <c:pt idx="32">
                  <c:v>66000</c:v>
                </c:pt>
                <c:pt idx="33">
                  <c:v>68000</c:v>
                </c:pt>
                <c:pt idx="34">
                  <c:v>70000</c:v>
                </c:pt>
                <c:pt idx="35">
                  <c:v>72000</c:v>
                </c:pt>
                <c:pt idx="36">
                  <c:v>74000</c:v>
                </c:pt>
                <c:pt idx="37">
                  <c:v>76000</c:v>
                </c:pt>
                <c:pt idx="38">
                  <c:v>78000</c:v>
                </c:pt>
                <c:pt idx="39">
                  <c:v>80000</c:v>
                </c:pt>
                <c:pt idx="40">
                  <c:v>82000</c:v>
                </c:pt>
                <c:pt idx="41">
                  <c:v>84000</c:v>
                </c:pt>
                <c:pt idx="42">
                  <c:v>86000</c:v>
                </c:pt>
                <c:pt idx="43">
                  <c:v>88000</c:v>
                </c:pt>
                <c:pt idx="44">
                  <c:v>90000</c:v>
                </c:pt>
                <c:pt idx="45">
                  <c:v>92000</c:v>
                </c:pt>
                <c:pt idx="46">
                  <c:v>94000</c:v>
                </c:pt>
                <c:pt idx="47">
                  <c:v>96000</c:v>
                </c:pt>
                <c:pt idx="48">
                  <c:v>98000</c:v>
                </c:pt>
                <c:pt idx="49">
                  <c:v>100000</c:v>
                </c:pt>
                <c:pt idx="50">
                  <c:v>102000</c:v>
                </c:pt>
                <c:pt idx="51">
                  <c:v>104000</c:v>
                </c:pt>
                <c:pt idx="52">
                  <c:v>106000</c:v>
                </c:pt>
                <c:pt idx="53">
                  <c:v>108000</c:v>
                </c:pt>
                <c:pt idx="54">
                  <c:v>110000</c:v>
                </c:pt>
                <c:pt idx="55">
                  <c:v>112000</c:v>
                </c:pt>
                <c:pt idx="56">
                  <c:v>114000</c:v>
                </c:pt>
                <c:pt idx="57">
                  <c:v>116000</c:v>
                </c:pt>
                <c:pt idx="58">
                  <c:v>118000</c:v>
                </c:pt>
                <c:pt idx="59">
                  <c:v>120000</c:v>
                </c:pt>
                <c:pt idx="60">
                  <c:v>122000</c:v>
                </c:pt>
                <c:pt idx="61">
                  <c:v>124000</c:v>
                </c:pt>
                <c:pt idx="62">
                  <c:v>126000</c:v>
                </c:pt>
                <c:pt idx="63">
                  <c:v>128000</c:v>
                </c:pt>
                <c:pt idx="64">
                  <c:v>130000</c:v>
                </c:pt>
                <c:pt idx="65">
                  <c:v>132000</c:v>
                </c:pt>
                <c:pt idx="66">
                  <c:v>134000</c:v>
                </c:pt>
                <c:pt idx="67">
                  <c:v>136000</c:v>
                </c:pt>
                <c:pt idx="68">
                  <c:v>138000</c:v>
                </c:pt>
                <c:pt idx="69">
                  <c:v>140000</c:v>
                </c:pt>
                <c:pt idx="70">
                  <c:v>142000</c:v>
                </c:pt>
                <c:pt idx="71">
                  <c:v>144000</c:v>
                </c:pt>
                <c:pt idx="72">
                  <c:v>146000</c:v>
                </c:pt>
                <c:pt idx="73">
                  <c:v>148000</c:v>
                </c:pt>
                <c:pt idx="74">
                  <c:v>150000</c:v>
                </c:pt>
                <c:pt idx="75">
                  <c:v>152000</c:v>
                </c:pt>
                <c:pt idx="76">
                  <c:v>154000</c:v>
                </c:pt>
                <c:pt idx="77">
                  <c:v>156000</c:v>
                </c:pt>
                <c:pt idx="78">
                  <c:v>158000</c:v>
                </c:pt>
                <c:pt idx="79">
                  <c:v>160000</c:v>
                </c:pt>
                <c:pt idx="80">
                  <c:v>162000</c:v>
                </c:pt>
                <c:pt idx="81">
                  <c:v>164000</c:v>
                </c:pt>
                <c:pt idx="82">
                  <c:v>166000</c:v>
                </c:pt>
                <c:pt idx="83">
                  <c:v>168000</c:v>
                </c:pt>
                <c:pt idx="84">
                  <c:v>170000</c:v>
                </c:pt>
                <c:pt idx="85">
                  <c:v>172000</c:v>
                </c:pt>
                <c:pt idx="86">
                  <c:v>174000</c:v>
                </c:pt>
                <c:pt idx="87">
                  <c:v>176000</c:v>
                </c:pt>
                <c:pt idx="88">
                  <c:v>178000</c:v>
                </c:pt>
                <c:pt idx="89">
                  <c:v>180000</c:v>
                </c:pt>
                <c:pt idx="90">
                  <c:v>182000</c:v>
                </c:pt>
                <c:pt idx="91">
                  <c:v>184000</c:v>
                </c:pt>
                <c:pt idx="92">
                  <c:v>186000</c:v>
                </c:pt>
                <c:pt idx="93">
                  <c:v>188000</c:v>
                </c:pt>
                <c:pt idx="94">
                  <c:v>190000</c:v>
                </c:pt>
                <c:pt idx="95">
                  <c:v>192000</c:v>
                </c:pt>
                <c:pt idx="96">
                  <c:v>194000</c:v>
                </c:pt>
                <c:pt idx="97">
                  <c:v>196000</c:v>
                </c:pt>
                <c:pt idx="98">
                  <c:v>198000</c:v>
                </c:pt>
                <c:pt idx="99">
                  <c:v>200000</c:v>
                </c:pt>
                <c:pt idx="100">
                  <c:v>202000</c:v>
                </c:pt>
                <c:pt idx="101">
                  <c:v>204000</c:v>
                </c:pt>
                <c:pt idx="102">
                  <c:v>206000</c:v>
                </c:pt>
                <c:pt idx="103">
                  <c:v>208000</c:v>
                </c:pt>
                <c:pt idx="104">
                  <c:v>210000</c:v>
                </c:pt>
                <c:pt idx="105">
                  <c:v>212000</c:v>
                </c:pt>
                <c:pt idx="106">
                  <c:v>214000</c:v>
                </c:pt>
                <c:pt idx="107">
                  <c:v>216000</c:v>
                </c:pt>
                <c:pt idx="108">
                  <c:v>218000</c:v>
                </c:pt>
                <c:pt idx="109">
                  <c:v>220000</c:v>
                </c:pt>
                <c:pt idx="110">
                  <c:v>222000</c:v>
                </c:pt>
                <c:pt idx="111">
                  <c:v>224000</c:v>
                </c:pt>
                <c:pt idx="112">
                  <c:v>226000</c:v>
                </c:pt>
                <c:pt idx="113">
                  <c:v>228000</c:v>
                </c:pt>
                <c:pt idx="114">
                  <c:v>230000</c:v>
                </c:pt>
                <c:pt idx="115">
                  <c:v>232000</c:v>
                </c:pt>
                <c:pt idx="116">
                  <c:v>234000</c:v>
                </c:pt>
                <c:pt idx="117">
                  <c:v>236000</c:v>
                </c:pt>
                <c:pt idx="118">
                  <c:v>238000</c:v>
                </c:pt>
                <c:pt idx="119">
                  <c:v>240000</c:v>
                </c:pt>
                <c:pt idx="120">
                  <c:v>242000</c:v>
                </c:pt>
                <c:pt idx="121">
                  <c:v>244000</c:v>
                </c:pt>
                <c:pt idx="122">
                  <c:v>246000</c:v>
                </c:pt>
                <c:pt idx="123">
                  <c:v>248000</c:v>
                </c:pt>
                <c:pt idx="124">
                  <c:v>250000</c:v>
                </c:pt>
                <c:pt idx="125">
                  <c:v>252000</c:v>
                </c:pt>
                <c:pt idx="126">
                  <c:v>254000</c:v>
                </c:pt>
                <c:pt idx="127">
                  <c:v>256000</c:v>
                </c:pt>
                <c:pt idx="128">
                  <c:v>258000</c:v>
                </c:pt>
                <c:pt idx="129">
                  <c:v>260000</c:v>
                </c:pt>
                <c:pt idx="130">
                  <c:v>262000</c:v>
                </c:pt>
                <c:pt idx="131">
                  <c:v>264000</c:v>
                </c:pt>
                <c:pt idx="132">
                  <c:v>266000</c:v>
                </c:pt>
                <c:pt idx="133">
                  <c:v>268000</c:v>
                </c:pt>
                <c:pt idx="134">
                  <c:v>270000</c:v>
                </c:pt>
                <c:pt idx="135">
                  <c:v>272000</c:v>
                </c:pt>
                <c:pt idx="136">
                  <c:v>274000</c:v>
                </c:pt>
                <c:pt idx="137">
                  <c:v>276000</c:v>
                </c:pt>
                <c:pt idx="138">
                  <c:v>278000</c:v>
                </c:pt>
                <c:pt idx="139">
                  <c:v>280000</c:v>
                </c:pt>
                <c:pt idx="140">
                  <c:v>282000</c:v>
                </c:pt>
                <c:pt idx="141">
                  <c:v>284000</c:v>
                </c:pt>
                <c:pt idx="142">
                  <c:v>286000</c:v>
                </c:pt>
                <c:pt idx="143">
                  <c:v>288000</c:v>
                </c:pt>
                <c:pt idx="144">
                  <c:v>290000</c:v>
                </c:pt>
                <c:pt idx="145">
                  <c:v>292000</c:v>
                </c:pt>
                <c:pt idx="146">
                  <c:v>294000</c:v>
                </c:pt>
                <c:pt idx="147">
                  <c:v>296000</c:v>
                </c:pt>
                <c:pt idx="148">
                  <c:v>298000</c:v>
                </c:pt>
                <c:pt idx="149">
                  <c:v>300000</c:v>
                </c:pt>
                <c:pt idx="150">
                  <c:v>302000</c:v>
                </c:pt>
                <c:pt idx="151">
                  <c:v>304000</c:v>
                </c:pt>
                <c:pt idx="152">
                  <c:v>306000</c:v>
                </c:pt>
                <c:pt idx="153">
                  <c:v>308000</c:v>
                </c:pt>
                <c:pt idx="154">
                  <c:v>310000</c:v>
                </c:pt>
                <c:pt idx="155">
                  <c:v>312000</c:v>
                </c:pt>
                <c:pt idx="156">
                  <c:v>314000</c:v>
                </c:pt>
                <c:pt idx="157">
                  <c:v>316000</c:v>
                </c:pt>
                <c:pt idx="158">
                  <c:v>318000</c:v>
                </c:pt>
                <c:pt idx="159">
                  <c:v>320000</c:v>
                </c:pt>
                <c:pt idx="160">
                  <c:v>322000</c:v>
                </c:pt>
                <c:pt idx="161">
                  <c:v>324000</c:v>
                </c:pt>
                <c:pt idx="162">
                  <c:v>326000</c:v>
                </c:pt>
                <c:pt idx="163">
                  <c:v>328000</c:v>
                </c:pt>
                <c:pt idx="164">
                  <c:v>330000</c:v>
                </c:pt>
                <c:pt idx="165">
                  <c:v>332000</c:v>
                </c:pt>
                <c:pt idx="166">
                  <c:v>334000</c:v>
                </c:pt>
                <c:pt idx="167">
                  <c:v>336000</c:v>
                </c:pt>
                <c:pt idx="168">
                  <c:v>338000</c:v>
                </c:pt>
                <c:pt idx="169">
                  <c:v>340000</c:v>
                </c:pt>
                <c:pt idx="170">
                  <c:v>342000</c:v>
                </c:pt>
                <c:pt idx="171">
                  <c:v>344000</c:v>
                </c:pt>
                <c:pt idx="172">
                  <c:v>346000</c:v>
                </c:pt>
                <c:pt idx="173">
                  <c:v>348000</c:v>
                </c:pt>
                <c:pt idx="174">
                  <c:v>350000</c:v>
                </c:pt>
                <c:pt idx="175">
                  <c:v>352000</c:v>
                </c:pt>
                <c:pt idx="176">
                  <c:v>354000</c:v>
                </c:pt>
                <c:pt idx="177">
                  <c:v>356000</c:v>
                </c:pt>
                <c:pt idx="178">
                  <c:v>358000</c:v>
                </c:pt>
                <c:pt idx="179">
                  <c:v>360000</c:v>
                </c:pt>
                <c:pt idx="180">
                  <c:v>362000</c:v>
                </c:pt>
                <c:pt idx="181">
                  <c:v>364000</c:v>
                </c:pt>
                <c:pt idx="182">
                  <c:v>366000</c:v>
                </c:pt>
                <c:pt idx="183">
                  <c:v>368000</c:v>
                </c:pt>
                <c:pt idx="184">
                  <c:v>370000</c:v>
                </c:pt>
                <c:pt idx="185">
                  <c:v>372000</c:v>
                </c:pt>
                <c:pt idx="186">
                  <c:v>374000</c:v>
                </c:pt>
                <c:pt idx="187">
                  <c:v>376000</c:v>
                </c:pt>
                <c:pt idx="188">
                  <c:v>378000</c:v>
                </c:pt>
                <c:pt idx="189">
                  <c:v>380000</c:v>
                </c:pt>
                <c:pt idx="190">
                  <c:v>382000</c:v>
                </c:pt>
                <c:pt idx="191">
                  <c:v>384000</c:v>
                </c:pt>
                <c:pt idx="192">
                  <c:v>386000</c:v>
                </c:pt>
                <c:pt idx="193">
                  <c:v>388000</c:v>
                </c:pt>
                <c:pt idx="194">
                  <c:v>390000</c:v>
                </c:pt>
                <c:pt idx="195">
                  <c:v>392000</c:v>
                </c:pt>
                <c:pt idx="196">
                  <c:v>394000</c:v>
                </c:pt>
                <c:pt idx="197">
                  <c:v>396000</c:v>
                </c:pt>
                <c:pt idx="198">
                  <c:v>398000</c:v>
                </c:pt>
                <c:pt idx="199">
                  <c:v>400000</c:v>
                </c:pt>
                <c:pt idx="200">
                  <c:v>402000</c:v>
                </c:pt>
                <c:pt idx="201">
                  <c:v>404000</c:v>
                </c:pt>
                <c:pt idx="202">
                  <c:v>406000</c:v>
                </c:pt>
                <c:pt idx="203">
                  <c:v>408000</c:v>
                </c:pt>
                <c:pt idx="204">
                  <c:v>410000</c:v>
                </c:pt>
                <c:pt idx="205">
                  <c:v>412000</c:v>
                </c:pt>
                <c:pt idx="206">
                  <c:v>414000</c:v>
                </c:pt>
                <c:pt idx="207">
                  <c:v>416000</c:v>
                </c:pt>
                <c:pt idx="208">
                  <c:v>418000</c:v>
                </c:pt>
                <c:pt idx="209">
                  <c:v>420000</c:v>
                </c:pt>
                <c:pt idx="210">
                  <c:v>422000</c:v>
                </c:pt>
                <c:pt idx="211">
                  <c:v>424000</c:v>
                </c:pt>
                <c:pt idx="212">
                  <c:v>426000</c:v>
                </c:pt>
                <c:pt idx="213">
                  <c:v>428000</c:v>
                </c:pt>
                <c:pt idx="214">
                  <c:v>430000</c:v>
                </c:pt>
                <c:pt idx="215">
                  <c:v>432000</c:v>
                </c:pt>
                <c:pt idx="216">
                  <c:v>434000</c:v>
                </c:pt>
                <c:pt idx="217">
                  <c:v>436000</c:v>
                </c:pt>
                <c:pt idx="218">
                  <c:v>438000</c:v>
                </c:pt>
                <c:pt idx="219">
                  <c:v>440000</c:v>
                </c:pt>
                <c:pt idx="220">
                  <c:v>442000</c:v>
                </c:pt>
                <c:pt idx="221">
                  <c:v>444000</c:v>
                </c:pt>
                <c:pt idx="222">
                  <c:v>446000</c:v>
                </c:pt>
                <c:pt idx="223">
                  <c:v>448000</c:v>
                </c:pt>
                <c:pt idx="224">
                  <c:v>450000</c:v>
                </c:pt>
                <c:pt idx="225">
                  <c:v>452000</c:v>
                </c:pt>
                <c:pt idx="226">
                  <c:v>454000</c:v>
                </c:pt>
                <c:pt idx="227">
                  <c:v>456000</c:v>
                </c:pt>
                <c:pt idx="228">
                  <c:v>458000</c:v>
                </c:pt>
                <c:pt idx="229">
                  <c:v>460000</c:v>
                </c:pt>
                <c:pt idx="230">
                  <c:v>462000</c:v>
                </c:pt>
                <c:pt idx="231">
                  <c:v>464000</c:v>
                </c:pt>
                <c:pt idx="232">
                  <c:v>466000</c:v>
                </c:pt>
                <c:pt idx="233">
                  <c:v>468000</c:v>
                </c:pt>
                <c:pt idx="234">
                  <c:v>470000</c:v>
                </c:pt>
                <c:pt idx="235">
                  <c:v>472000</c:v>
                </c:pt>
                <c:pt idx="236">
                  <c:v>474000</c:v>
                </c:pt>
                <c:pt idx="237">
                  <c:v>476000</c:v>
                </c:pt>
                <c:pt idx="238">
                  <c:v>478000</c:v>
                </c:pt>
                <c:pt idx="239">
                  <c:v>480000</c:v>
                </c:pt>
                <c:pt idx="240">
                  <c:v>482000</c:v>
                </c:pt>
                <c:pt idx="241">
                  <c:v>484000</c:v>
                </c:pt>
                <c:pt idx="242">
                  <c:v>486000</c:v>
                </c:pt>
                <c:pt idx="243">
                  <c:v>488000</c:v>
                </c:pt>
                <c:pt idx="244">
                  <c:v>490000</c:v>
                </c:pt>
                <c:pt idx="245">
                  <c:v>492000</c:v>
                </c:pt>
                <c:pt idx="246">
                  <c:v>494000</c:v>
                </c:pt>
                <c:pt idx="247">
                  <c:v>496000</c:v>
                </c:pt>
                <c:pt idx="248">
                  <c:v>498000</c:v>
                </c:pt>
                <c:pt idx="249">
                  <c:v>500000</c:v>
                </c:pt>
                <c:pt idx="250">
                  <c:v>502000</c:v>
                </c:pt>
                <c:pt idx="251">
                  <c:v>504000</c:v>
                </c:pt>
                <c:pt idx="252">
                  <c:v>506000</c:v>
                </c:pt>
                <c:pt idx="253">
                  <c:v>508000</c:v>
                </c:pt>
                <c:pt idx="254">
                  <c:v>510000</c:v>
                </c:pt>
                <c:pt idx="255">
                  <c:v>512000</c:v>
                </c:pt>
                <c:pt idx="256">
                  <c:v>514000</c:v>
                </c:pt>
                <c:pt idx="257">
                  <c:v>516000</c:v>
                </c:pt>
                <c:pt idx="258">
                  <c:v>518000</c:v>
                </c:pt>
                <c:pt idx="259">
                  <c:v>520000</c:v>
                </c:pt>
                <c:pt idx="260">
                  <c:v>522000</c:v>
                </c:pt>
                <c:pt idx="261">
                  <c:v>524000</c:v>
                </c:pt>
                <c:pt idx="262">
                  <c:v>526000</c:v>
                </c:pt>
                <c:pt idx="263">
                  <c:v>528000</c:v>
                </c:pt>
                <c:pt idx="264">
                  <c:v>530000</c:v>
                </c:pt>
                <c:pt idx="265">
                  <c:v>532000</c:v>
                </c:pt>
                <c:pt idx="266">
                  <c:v>534000</c:v>
                </c:pt>
                <c:pt idx="267">
                  <c:v>536000</c:v>
                </c:pt>
                <c:pt idx="268">
                  <c:v>538000</c:v>
                </c:pt>
                <c:pt idx="269">
                  <c:v>540000</c:v>
                </c:pt>
                <c:pt idx="270">
                  <c:v>542000</c:v>
                </c:pt>
                <c:pt idx="271">
                  <c:v>544000</c:v>
                </c:pt>
                <c:pt idx="272">
                  <c:v>546000</c:v>
                </c:pt>
                <c:pt idx="273">
                  <c:v>548000</c:v>
                </c:pt>
                <c:pt idx="274">
                  <c:v>550000</c:v>
                </c:pt>
                <c:pt idx="275">
                  <c:v>552000</c:v>
                </c:pt>
                <c:pt idx="276">
                  <c:v>554000</c:v>
                </c:pt>
                <c:pt idx="277">
                  <c:v>556000</c:v>
                </c:pt>
                <c:pt idx="278">
                  <c:v>558000</c:v>
                </c:pt>
                <c:pt idx="279">
                  <c:v>560000</c:v>
                </c:pt>
                <c:pt idx="280">
                  <c:v>562000</c:v>
                </c:pt>
                <c:pt idx="281">
                  <c:v>564000</c:v>
                </c:pt>
                <c:pt idx="282">
                  <c:v>566000</c:v>
                </c:pt>
                <c:pt idx="283">
                  <c:v>568000</c:v>
                </c:pt>
                <c:pt idx="284">
                  <c:v>570000</c:v>
                </c:pt>
                <c:pt idx="285">
                  <c:v>572000</c:v>
                </c:pt>
                <c:pt idx="286">
                  <c:v>574000</c:v>
                </c:pt>
                <c:pt idx="287">
                  <c:v>576000</c:v>
                </c:pt>
                <c:pt idx="288">
                  <c:v>578000</c:v>
                </c:pt>
                <c:pt idx="289">
                  <c:v>580000</c:v>
                </c:pt>
                <c:pt idx="290">
                  <c:v>582000</c:v>
                </c:pt>
                <c:pt idx="291">
                  <c:v>584000</c:v>
                </c:pt>
                <c:pt idx="292">
                  <c:v>586000</c:v>
                </c:pt>
                <c:pt idx="293">
                  <c:v>588000</c:v>
                </c:pt>
                <c:pt idx="294">
                  <c:v>590000</c:v>
                </c:pt>
                <c:pt idx="295">
                  <c:v>592000</c:v>
                </c:pt>
                <c:pt idx="296">
                  <c:v>594000</c:v>
                </c:pt>
                <c:pt idx="297">
                  <c:v>596000</c:v>
                </c:pt>
                <c:pt idx="298">
                  <c:v>598000</c:v>
                </c:pt>
                <c:pt idx="299">
                  <c:v>600000</c:v>
                </c:pt>
                <c:pt idx="300">
                  <c:v>602000</c:v>
                </c:pt>
                <c:pt idx="301">
                  <c:v>604000</c:v>
                </c:pt>
                <c:pt idx="302">
                  <c:v>606000</c:v>
                </c:pt>
                <c:pt idx="303">
                  <c:v>608000</c:v>
                </c:pt>
                <c:pt idx="304">
                  <c:v>610000</c:v>
                </c:pt>
                <c:pt idx="305">
                  <c:v>612000</c:v>
                </c:pt>
                <c:pt idx="306">
                  <c:v>614000</c:v>
                </c:pt>
                <c:pt idx="307">
                  <c:v>616000</c:v>
                </c:pt>
                <c:pt idx="308">
                  <c:v>618000</c:v>
                </c:pt>
                <c:pt idx="309">
                  <c:v>620000</c:v>
                </c:pt>
                <c:pt idx="310">
                  <c:v>622000</c:v>
                </c:pt>
                <c:pt idx="311">
                  <c:v>624000</c:v>
                </c:pt>
                <c:pt idx="312">
                  <c:v>626000</c:v>
                </c:pt>
                <c:pt idx="313">
                  <c:v>628000</c:v>
                </c:pt>
                <c:pt idx="314">
                  <c:v>630000</c:v>
                </c:pt>
                <c:pt idx="315">
                  <c:v>632000</c:v>
                </c:pt>
                <c:pt idx="316">
                  <c:v>634000</c:v>
                </c:pt>
                <c:pt idx="317">
                  <c:v>636000</c:v>
                </c:pt>
                <c:pt idx="318">
                  <c:v>638000</c:v>
                </c:pt>
                <c:pt idx="319">
                  <c:v>640000</c:v>
                </c:pt>
                <c:pt idx="320">
                  <c:v>642000</c:v>
                </c:pt>
                <c:pt idx="321">
                  <c:v>644000</c:v>
                </c:pt>
                <c:pt idx="322">
                  <c:v>646000</c:v>
                </c:pt>
                <c:pt idx="323">
                  <c:v>648000</c:v>
                </c:pt>
                <c:pt idx="324">
                  <c:v>650000</c:v>
                </c:pt>
                <c:pt idx="325">
                  <c:v>652000</c:v>
                </c:pt>
                <c:pt idx="326">
                  <c:v>654000</c:v>
                </c:pt>
                <c:pt idx="327">
                  <c:v>656000</c:v>
                </c:pt>
                <c:pt idx="328">
                  <c:v>658000</c:v>
                </c:pt>
                <c:pt idx="329">
                  <c:v>660000</c:v>
                </c:pt>
                <c:pt idx="330">
                  <c:v>662000</c:v>
                </c:pt>
                <c:pt idx="331">
                  <c:v>664000</c:v>
                </c:pt>
                <c:pt idx="332">
                  <c:v>666000</c:v>
                </c:pt>
                <c:pt idx="333">
                  <c:v>668000</c:v>
                </c:pt>
                <c:pt idx="334">
                  <c:v>670000</c:v>
                </c:pt>
                <c:pt idx="335">
                  <c:v>672000</c:v>
                </c:pt>
                <c:pt idx="336">
                  <c:v>674000</c:v>
                </c:pt>
                <c:pt idx="337">
                  <c:v>676000</c:v>
                </c:pt>
                <c:pt idx="338">
                  <c:v>678000</c:v>
                </c:pt>
                <c:pt idx="339">
                  <c:v>680000</c:v>
                </c:pt>
                <c:pt idx="340">
                  <c:v>682000</c:v>
                </c:pt>
                <c:pt idx="341">
                  <c:v>684000</c:v>
                </c:pt>
                <c:pt idx="342">
                  <c:v>686000</c:v>
                </c:pt>
                <c:pt idx="343">
                  <c:v>688000</c:v>
                </c:pt>
                <c:pt idx="344">
                  <c:v>690000</c:v>
                </c:pt>
                <c:pt idx="345">
                  <c:v>692000</c:v>
                </c:pt>
                <c:pt idx="346">
                  <c:v>694000</c:v>
                </c:pt>
                <c:pt idx="347">
                  <c:v>696000</c:v>
                </c:pt>
                <c:pt idx="348">
                  <c:v>698000</c:v>
                </c:pt>
                <c:pt idx="349">
                  <c:v>700000</c:v>
                </c:pt>
                <c:pt idx="350">
                  <c:v>702000</c:v>
                </c:pt>
                <c:pt idx="351">
                  <c:v>704000</c:v>
                </c:pt>
                <c:pt idx="352">
                  <c:v>706000</c:v>
                </c:pt>
                <c:pt idx="353">
                  <c:v>708000</c:v>
                </c:pt>
                <c:pt idx="354">
                  <c:v>710000</c:v>
                </c:pt>
                <c:pt idx="355">
                  <c:v>712000</c:v>
                </c:pt>
                <c:pt idx="356">
                  <c:v>714000</c:v>
                </c:pt>
                <c:pt idx="357">
                  <c:v>716000</c:v>
                </c:pt>
                <c:pt idx="358">
                  <c:v>718000</c:v>
                </c:pt>
                <c:pt idx="359">
                  <c:v>720000</c:v>
                </c:pt>
                <c:pt idx="360">
                  <c:v>722000</c:v>
                </c:pt>
                <c:pt idx="361">
                  <c:v>724000</c:v>
                </c:pt>
                <c:pt idx="362">
                  <c:v>726000</c:v>
                </c:pt>
                <c:pt idx="363">
                  <c:v>728000</c:v>
                </c:pt>
                <c:pt idx="364">
                  <c:v>730000</c:v>
                </c:pt>
                <c:pt idx="365">
                  <c:v>732000</c:v>
                </c:pt>
                <c:pt idx="366">
                  <c:v>734000</c:v>
                </c:pt>
                <c:pt idx="367">
                  <c:v>736000</c:v>
                </c:pt>
                <c:pt idx="368">
                  <c:v>738000</c:v>
                </c:pt>
                <c:pt idx="369">
                  <c:v>740000</c:v>
                </c:pt>
                <c:pt idx="370">
                  <c:v>742000</c:v>
                </c:pt>
                <c:pt idx="371">
                  <c:v>744000</c:v>
                </c:pt>
                <c:pt idx="372">
                  <c:v>746000</c:v>
                </c:pt>
                <c:pt idx="373">
                  <c:v>748000</c:v>
                </c:pt>
                <c:pt idx="374">
                  <c:v>750000</c:v>
                </c:pt>
                <c:pt idx="375">
                  <c:v>752000</c:v>
                </c:pt>
                <c:pt idx="376">
                  <c:v>754000</c:v>
                </c:pt>
                <c:pt idx="377">
                  <c:v>756000</c:v>
                </c:pt>
                <c:pt idx="378">
                  <c:v>758000</c:v>
                </c:pt>
                <c:pt idx="379">
                  <c:v>760000</c:v>
                </c:pt>
                <c:pt idx="380">
                  <c:v>762000</c:v>
                </c:pt>
                <c:pt idx="381">
                  <c:v>764000</c:v>
                </c:pt>
                <c:pt idx="382">
                  <c:v>766000</c:v>
                </c:pt>
                <c:pt idx="383">
                  <c:v>768000</c:v>
                </c:pt>
                <c:pt idx="384">
                  <c:v>770000</c:v>
                </c:pt>
                <c:pt idx="385">
                  <c:v>772000</c:v>
                </c:pt>
                <c:pt idx="386">
                  <c:v>774000</c:v>
                </c:pt>
                <c:pt idx="387">
                  <c:v>776000</c:v>
                </c:pt>
                <c:pt idx="388">
                  <c:v>778000</c:v>
                </c:pt>
                <c:pt idx="389">
                  <c:v>780000</c:v>
                </c:pt>
                <c:pt idx="390">
                  <c:v>782000</c:v>
                </c:pt>
                <c:pt idx="391">
                  <c:v>784000</c:v>
                </c:pt>
                <c:pt idx="392">
                  <c:v>786000</c:v>
                </c:pt>
                <c:pt idx="393">
                  <c:v>788000</c:v>
                </c:pt>
                <c:pt idx="394">
                  <c:v>790000</c:v>
                </c:pt>
                <c:pt idx="395">
                  <c:v>792000</c:v>
                </c:pt>
                <c:pt idx="396">
                  <c:v>794000</c:v>
                </c:pt>
                <c:pt idx="397">
                  <c:v>796000</c:v>
                </c:pt>
                <c:pt idx="398">
                  <c:v>798000</c:v>
                </c:pt>
                <c:pt idx="399">
                  <c:v>800000</c:v>
                </c:pt>
                <c:pt idx="400">
                  <c:v>802000</c:v>
                </c:pt>
                <c:pt idx="401">
                  <c:v>804000</c:v>
                </c:pt>
                <c:pt idx="402">
                  <c:v>806000</c:v>
                </c:pt>
                <c:pt idx="403">
                  <c:v>808000</c:v>
                </c:pt>
                <c:pt idx="404">
                  <c:v>810000</c:v>
                </c:pt>
                <c:pt idx="405">
                  <c:v>812000</c:v>
                </c:pt>
                <c:pt idx="406">
                  <c:v>814000</c:v>
                </c:pt>
                <c:pt idx="407">
                  <c:v>816000</c:v>
                </c:pt>
                <c:pt idx="408">
                  <c:v>818000</c:v>
                </c:pt>
                <c:pt idx="409">
                  <c:v>820000</c:v>
                </c:pt>
                <c:pt idx="410">
                  <c:v>822000</c:v>
                </c:pt>
                <c:pt idx="411">
                  <c:v>824000</c:v>
                </c:pt>
                <c:pt idx="412">
                  <c:v>826000</c:v>
                </c:pt>
                <c:pt idx="413">
                  <c:v>828000</c:v>
                </c:pt>
                <c:pt idx="414">
                  <c:v>830000</c:v>
                </c:pt>
                <c:pt idx="415">
                  <c:v>832000</c:v>
                </c:pt>
                <c:pt idx="416">
                  <c:v>834000</c:v>
                </c:pt>
                <c:pt idx="417">
                  <c:v>836000</c:v>
                </c:pt>
                <c:pt idx="418">
                  <c:v>838000</c:v>
                </c:pt>
                <c:pt idx="419">
                  <c:v>840000</c:v>
                </c:pt>
                <c:pt idx="420">
                  <c:v>842000</c:v>
                </c:pt>
                <c:pt idx="421">
                  <c:v>844000</c:v>
                </c:pt>
                <c:pt idx="422">
                  <c:v>846000</c:v>
                </c:pt>
                <c:pt idx="423">
                  <c:v>848000</c:v>
                </c:pt>
                <c:pt idx="424">
                  <c:v>850000</c:v>
                </c:pt>
                <c:pt idx="425">
                  <c:v>852000</c:v>
                </c:pt>
                <c:pt idx="426">
                  <c:v>854000</c:v>
                </c:pt>
                <c:pt idx="427">
                  <c:v>856000</c:v>
                </c:pt>
                <c:pt idx="428">
                  <c:v>858000</c:v>
                </c:pt>
                <c:pt idx="429">
                  <c:v>860000</c:v>
                </c:pt>
                <c:pt idx="430">
                  <c:v>862000</c:v>
                </c:pt>
                <c:pt idx="431">
                  <c:v>864000</c:v>
                </c:pt>
                <c:pt idx="432">
                  <c:v>866000</c:v>
                </c:pt>
                <c:pt idx="433">
                  <c:v>868000</c:v>
                </c:pt>
                <c:pt idx="434">
                  <c:v>870000</c:v>
                </c:pt>
                <c:pt idx="435">
                  <c:v>872000</c:v>
                </c:pt>
                <c:pt idx="436">
                  <c:v>874000</c:v>
                </c:pt>
                <c:pt idx="437">
                  <c:v>876000</c:v>
                </c:pt>
                <c:pt idx="438">
                  <c:v>878000</c:v>
                </c:pt>
                <c:pt idx="439">
                  <c:v>880000</c:v>
                </c:pt>
                <c:pt idx="440">
                  <c:v>882000</c:v>
                </c:pt>
                <c:pt idx="441">
                  <c:v>884000</c:v>
                </c:pt>
                <c:pt idx="442">
                  <c:v>886000</c:v>
                </c:pt>
                <c:pt idx="443">
                  <c:v>888000</c:v>
                </c:pt>
                <c:pt idx="444">
                  <c:v>890000</c:v>
                </c:pt>
                <c:pt idx="445">
                  <c:v>892000</c:v>
                </c:pt>
                <c:pt idx="446">
                  <c:v>894000</c:v>
                </c:pt>
                <c:pt idx="447">
                  <c:v>896000</c:v>
                </c:pt>
                <c:pt idx="448">
                  <c:v>898000</c:v>
                </c:pt>
                <c:pt idx="449">
                  <c:v>900000</c:v>
                </c:pt>
                <c:pt idx="450">
                  <c:v>902000</c:v>
                </c:pt>
                <c:pt idx="451">
                  <c:v>904000</c:v>
                </c:pt>
                <c:pt idx="452">
                  <c:v>906000</c:v>
                </c:pt>
                <c:pt idx="453">
                  <c:v>908000</c:v>
                </c:pt>
                <c:pt idx="454">
                  <c:v>910000</c:v>
                </c:pt>
                <c:pt idx="455">
                  <c:v>912000</c:v>
                </c:pt>
                <c:pt idx="456">
                  <c:v>914000</c:v>
                </c:pt>
                <c:pt idx="457">
                  <c:v>916000</c:v>
                </c:pt>
                <c:pt idx="458">
                  <c:v>918000</c:v>
                </c:pt>
                <c:pt idx="459">
                  <c:v>920000</c:v>
                </c:pt>
                <c:pt idx="460">
                  <c:v>922000</c:v>
                </c:pt>
                <c:pt idx="461">
                  <c:v>924000</c:v>
                </c:pt>
                <c:pt idx="462">
                  <c:v>926000</c:v>
                </c:pt>
                <c:pt idx="463">
                  <c:v>928000</c:v>
                </c:pt>
                <c:pt idx="464">
                  <c:v>930000</c:v>
                </c:pt>
                <c:pt idx="465">
                  <c:v>932000</c:v>
                </c:pt>
                <c:pt idx="466">
                  <c:v>934000</c:v>
                </c:pt>
                <c:pt idx="467">
                  <c:v>936000</c:v>
                </c:pt>
                <c:pt idx="468">
                  <c:v>938000</c:v>
                </c:pt>
                <c:pt idx="469">
                  <c:v>940000</c:v>
                </c:pt>
                <c:pt idx="470">
                  <c:v>942000</c:v>
                </c:pt>
                <c:pt idx="471">
                  <c:v>944000</c:v>
                </c:pt>
                <c:pt idx="472">
                  <c:v>946000</c:v>
                </c:pt>
                <c:pt idx="473">
                  <c:v>948000</c:v>
                </c:pt>
                <c:pt idx="474">
                  <c:v>950000</c:v>
                </c:pt>
                <c:pt idx="475">
                  <c:v>952000</c:v>
                </c:pt>
                <c:pt idx="476">
                  <c:v>954000</c:v>
                </c:pt>
                <c:pt idx="477">
                  <c:v>956000</c:v>
                </c:pt>
                <c:pt idx="478">
                  <c:v>958000</c:v>
                </c:pt>
                <c:pt idx="479">
                  <c:v>960000</c:v>
                </c:pt>
                <c:pt idx="480">
                  <c:v>962000</c:v>
                </c:pt>
                <c:pt idx="481">
                  <c:v>964000</c:v>
                </c:pt>
                <c:pt idx="482">
                  <c:v>966000</c:v>
                </c:pt>
                <c:pt idx="483">
                  <c:v>968000</c:v>
                </c:pt>
                <c:pt idx="484">
                  <c:v>970000</c:v>
                </c:pt>
                <c:pt idx="485">
                  <c:v>972000</c:v>
                </c:pt>
                <c:pt idx="486">
                  <c:v>974000</c:v>
                </c:pt>
                <c:pt idx="487">
                  <c:v>976000</c:v>
                </c:pt>
                <c:pt idx="488">
                  <c:v>978000</c:v>
                </c:pt>
                <c:pt idx="489">
                  <c:v>980000</c:v>
                </c:pt>
                <c:pt idx="490">
                  <c:v>982000</c:v>
                </c:pt>
                <c:pt idx="491">
                  <c:v>984000</c:v>
                </c:pt>
                <c:pt idx="492">
                  <c:v>986000</c:v>
                </c:pt>
                <c:pt idx="493">
                  <c:v>988000</c:v>
                </c:pt>
                <c:pt idx="494">
                  <c:v>990000</c:v>
                </c:pt>
                <c:pt idx="495">
                  <c:v>992000</c:v>
                </c:pt>
                <c:pt idx="496">
                  <c:v>994000</c:v>
                </c:pt>
                <c:pt idx="497">
                  <c:v>996000</c:v>
                </c:pt>
                <c:pt idx="498">
                  <c:v>998000</c:v>
                </c:pt>
                <c:pt idx="499">
                  <c:v>1000000</c:v>
                </c:pt>
              </c:numCache>
            </c:numRef>
          </c:xVal>
          <c:yVal>
            <c:numRef>
              <c:f>cost_scaling_DAC!$L$77:$L$576</c:f>
              <c:numCache>
                <c:formatCode>0</c:formatCode>
                <c:ptCount val="500"/>
                <c:pt idx="0">
                  <c:v>6330.8809015585794</c:v>
                </c:pt>
                <c:pt idx="1">
                  <c:v>5079.2883500723738</c:v>
                </c:pt>
                <c:pt idx="2">
                  <c:v>4471.8030082794639</c:v>
                </c:pt>
                <c:pt idx="3">
                  <c:v>4087.8996749010444</c:v>
                </c:pt>
                <c:pt idx="4">
                  <c:v>3814.2575102988153</c:v>
                </c:pt>
                <c:pt idx="5">
                  <c:v>3605.0964798652572</c:v>
                </c:pt>
                <c:pt idx="6">
                  <c:v>3437.7279052290351</c:v>
                </c:pt>
                <c:pt idx="7">
                  <c:v>3299.3891568698064</c:v>
                </c:pt>
                <c:pt idx="8">
                  <c:v>3182.2486090825141</c:v>
                </c:pt>
                <c:pt idx="9">
                  <c:v>3081.1842532437563</c:v>
                </c:pt>
                <c:pt idx="10">
                  <c:v>2992.6786526203696</c:v>
                </c:pt>
                <c:pt idx="11">
                  <c:v>2914.2211317611382</c:v>
                </c:pt>
                <c:pt idx="12">
                  <c:v>2843.96251977767</c:v>
                </c:pt>
                <c:pt idx="13">
                  <c:v>2780.5050009682454</c:v>
                </c:pt>
                <c:pt idx="14">
                  <c:v>2722.7685588864465</c:v>
                </c:pt>
                <c:pt idx="15">
                  <c:v>2669.9029729535187</c:v>
                </c:pt>
                <c:pt idx="16">
                  <c:v>2621.2280206215819</c:v>
                </c:pt>
                <c:pt idx="17">
                  <c:v>2576.1917551596675</c:v>
                </c:pt>
                <c:pt idx="18">
                  <c:v>2534.3407166588195</c:v>
                </c:pt>
                <c:pt idx="19">
                  <c:v>2495.2982282170883</c:v>
                </c:pt>
                <c:pt idx="20">
                  <c:v>2458.7482967718415</c:v>
                </c:pt>
                <c:pt idx="21">
                  <c:v>2424.4234787264245</c:v>
                </c:pt>
                <c:pt idx="22">
                  <c:v>2392.095601673791</c:v>
                </c:pt>
                <c:pt idx="23">
                  <c:v>2361.5685774062358</c:v>
                </c:pt>
                <c:pt idx="24">
                  <c:v>2332.6727689751519</c:v>
                </c:pt>
                <c:pt idx="25">
                  <c:v>2305.2605281760539</c:v>
                </c:pt>
                <c:pt idx="26">
                  <c:v>2279.2026253983881</c:v>
                </c:pt>
                <c:pt idx="27">
                  <c:v>2254.385367522088</c:v>
                </c:pt>
                <c:pt idx="28">
                  <c:v>2230.7082518334259</c:v>
                </c:pt>
                <c:pt idx="29">
                  <c:v>2208.0820415259836</c:v>
                </c:pt>
                <c:pt idx="30">
                  <c:v>2186.4271757248498</c:v>
                </c:pt>
                <c:pt idx="31">
                  <c:v>2165.6724471378884</c:v>
                </c:pt>
                <c:pt idx="32">
                  <c:v>2145.7538954574761</c:v>
                </c:pt>
                <c:pt idx="33">
                  <c:v>2126.6138759366595</c:v>
                </c:pt>
                <c:pt idx="34">
                  <c:v>2108.20027114715</c:v>
                </c:pt>
                <c:pt idx="35">
                  <c:v>2090.4658205041474</c:v>
                </c:pt>
                <c:pt idx="36">
                  <c:v>2073.3675472253922</c:v>
                </c:pt>
                <c:pt idx="37">
                  <c:v>2056.8662663498294</c:v>
                </c:pt>
                <c:pt idx="38">
                  <c:v>2040.9261605461006</c:v>
                </c:pt>
                <c:pt idx="39">
                  <c:v>2025.5144128937081</c:v>
                </c:pt>
                <c:pt idx="40">
                  <c:v>2010.6008877697452</c:v>
                </c:pt>
                <c:pt idx="41">
                  <c:v>1996.1578525341463</c:v>
                </c:pt>
                <c:pt idx="42">
                  <c:v>1982.1597339618297</c:v>
                </c:pt>
                <c:pt idx="43">
                  <c:v>1968.5829043859867</c:v>
                </c:pt>
                <c:pt idx="44">
                  <c:v>1955.4054933431457</c:v>
                </c:pt>
                <c:pt idx="45">
                  <c:v>1942.6072211862447</c:v>
                </c:pt>
                <c:pt idx="46">
                  <c:v>1930.1692516869969</c:v>
                </c:pt>
                <c:pt idx="47">
                  <c:v>1918.0740611067893</c:v>
                </c:pt>
                <c:pt idx="48">
                  <c:v>1906.3053215949947</c:v>
                </c:pt>
                <c:pt idx="49">
                  <c:v>1894.8477970895231</c:v>
                </c:pt>
                <c:pt idx="50">
                  <c:v>1883.6872501584094</c:v>
                </c:pt>
                <c:pt idx="51">
                  <c:v>1872.8103584426867</c:v>
                </c:pt>
                <c:pt idx="52">
                  <c:v>1862.2046395472044</c:v>
                </c:pt>
                <c:pt idx="53">
                  <c:v>1851.8583833835446</c:v>
                </c:pt>
                <c:pt idx="54">
                  <c:v>1841.7605911026399</c:v>
                </c:pt>
                <c:pt idx="55">
                  <c:v>1831.9009198682734</c:v>
                </c:pt>
                <c:pt idx="56">
                  <c:v>1822.2696328193929</c:v>
                </c:pt>
                <c:pt idx="57">
                  <c:v>1812.8575536521023</c:v>
                </c:pt>
                <c:pt idx="58">
                  <c:v>1803.6560253232005</c:v>
                </c:pt>
                <c:pt idx="59">
                  <c:v>1794.6568724383701</c:v>
                </c:pt>
                <c:pt idx="60">
                  <c:v>1785.8523669408244</c:v>
                </c:pt>
                <c:pt idx="61">
                  <c:v>1777.2351967619127</c:v>
                </c:pt>
                <c:pt idx="62">
                  <c:v>1768.7984371347236</c:v>
                </c:pt>
                <c:pt idx="63">
                  <c:v>1760.5355243061535</c:v>
                </c:pt>
                <c:pt idx="64">
                  <c:v>1752.440231412847</c:v>
                </c:pt>
                <c:pt idx="65">
                  <c:v>1744.5066463126293</c:v>
                </c:pt>
                <c:pt idx="66">
                  <c:v>1736.729151185895</c:v>
                </c:pt>
                <c:pt idx="67">
                  <c:v>1729.1024037415523</c:v>
                </c:pt>
                <c:pt idx="68">
                  <c:v>1721.6213198797436</c:v>
                </c:pt>
                <c:pt idx="69">
                  <c:v>1714.2810576790907</c:v>
                </c:pt>
                <c:pt idx="70">
                  <c:v>1707.0770025899562</c:v>
                </c:pt>
                <c:pt idx="71">
                  <c:v>1700.0047537272969</c:v>
                </c:pt>
                <c:pt idx="72">
                  <c:v>1693.060111167408</c:v>
                </c:pt>
                <c:pt idx="73">
                  <c:v>1686.2390641624165</c:v>
                </c:pt>
                <c:pt idx="74">
                  <c:v>1679.5377801947652</c:v>
                </c:pt>
                <c:pt idx="75">
                  <c:v>1672.9525948015223</c:v>
                </c:pt>
                <c:pt idx="76">
                  <c:v>1666.4800021050044</c:v>
                </c:pt>
                <c:pt idx="77">
                  <c:v>1660.1166459922283</c:v>
                </c:pt>
                <c:pt idx="78">
                  <c:v>1653.8593118910226</c:v>
                </c:pt>
                <c:pt idx="79">
                  <c:v>1647.7049190954588</c:v>
                </c:pt>
                <c:pt idx="80">
                  <c:v>1641.6505135975412</c:v>
                </c:pt>
                <c:pt idx="81">
                  <c:v>1635.693261385961</c:v>
                </c:pt>
                <c:pt idx="82">
                  <c:v>1629.830442176197</c:v>
                </c:pt>
                <c:pt idx="83">
                  <c:v>1624.0594435393559</c:v>
                </c:pt>
                <c:pt idx="84">
                  <c:v>1618.3777553999926</c:v>
                </c:pt>
                <c:pt idx="85">
                  <c:v>1612.7829648756679</c:v>
                </c:pt>
                <c:pt idx="86">
                  <c:v>1607.2727514333246</c:v>
                </c:pt>
                <c:pt idx="87">
                  <c:v>1601.8448823396216</c:v>
                </c:pt>
                <c:pt idx="88">
                  <c:v>1596.4972083842831</c:v>
                </c:pt>
                <c:pt idx="89">
                  <c:v>1591.2276598572</c:v>
                </c:pt>
                <c:pt idx="90">
                  <c:v>1586.0342427615981</c:v>
                </c:pt>
                <c:pt idx="91">
                  <c:v>1580.9150352469926</c:v>
                </c:pt>
                <c:pt idx="92">
                  <c:v>1575.8681842469346</c:v>
                </c:pt>
                <c:pt idx="93">
                  <c:v>1570.8919023077253</c:v>
                </c:pt>
                <c:pt idx="94">
                  <c:v>1565.9844645953515</c:v>
                </c:pt>
                <c:pt idx="95">
                  <c:v>1561.1442060688626</c:v>
                </c:pt>
                <c:pt idx="96">
                  <c:v>1556.3695188093025</c:v>
                </c:pt>
                <c:pt idx="97">
                  <c:v>1551.6588494941409</c:v>
                </c:pt>
                <c:pt idx="98">
                  <c:v>1547.0106970078598</c:v>
                </c:pt>
                <c:pt idx="99">
                  <c:v>1542.4236101800877</c:v>
                </c:pt>
                <c:pt idx="100">
                  <c:v>1537.8961856432511</c:v>
                </c:pt>
                <c:pt idx="101">
                  <c:v>1533.4270658023181</c:v>
                </c:pt>
                <c:pt idx="102">
                  <c:v>1529.0149369097448</c:v>
                </c:pt>
                <c:pt idx="103">
                  <c:v>1524.6585272391894</c:v>
                </c:pt>
                <c:pt idx="104">
                  <c:v>1520.356605352049</c:v>
                </c:pt>
                <c:pt idx="105">
                  <c:v>1516.1079784512538</c:v>
                </c:pt>
                <c:pt idx="106">
                  <c:v>1511.9114908171543</c:v>
                </c:pt>
                <c:pt idx="107">
                  <c:v>1507.7660223206835</c:v>
                </c:pt>
                <c:pt idx="108">
                  <c:v>1503.6704870092931</c:v>
                </c:pt>
                <c:pt idx="109">
                  <c:v>1499.6238317614734</c:v>
                </c:pt>
                <c:pt idx="110">
                  <c:v>1495.6250350059461</c:v>
                </c:pt>
                <c:pt idx="111">
                  <c:v>1491.6731055018572</c:v>
                </c:pt>
                <c:pt idx="112">
                  <c:v>1487.7670811765574</c:v>
                </c:pt>
                <c:pt idx="113">
                  <c:v>1483.9060280177664</c:v>
                </c:pt>
                <c:pt idx="114">
                  <c:v>1480.089039017121</c:v>
                </c:pt>
                <c:pt idx="115">
                  <c:v>1476.3152331622982</c:v>
                </c:pt>
                <c:pt idx="116">
                  <c:v>1472.5837544750955</c:v>
                </c:pt>
                <c:pt idx="117">
                  <c:v>1468.893771092974</c:v>
                </c:pt>
                <c:pt idx="118">
                  <c:v>1465.2444743917783</c:v>
                </c:pt>
                <c:pt idx="119">
                  <c:v>1461.6350781474391</c:v>
                </c:pt>
                <c:pt idx="120">
                  <c:v>1458.0648177346222</c:v>
                </c:pt>
                <c:pt idx="121">
                  <c:v>1454.532949360412</c:v>
                </c:pt>
                <c:pt idx="122">
                  <c:v>1451.0387493312101</c:v>
                </c:pt>
                <c:pt idx="123">
                  <c:v>1447.5815133511676</c:v>
                </c:pt>
                <c:pt idx="124">
                  <c:v>1444.16055585054</c:v>
                </c:pt>
                <c:pt idx="125">
                  <c:v>1440.7752093424685</c:v>
                </c:pt>
                <c:pt idx="126">
                  <c:v>1437.4248238067628</c:v>
                </c:pt>
                <c:pt idx="127">
                  <c:v>1434.1087660993544</c:v>
                </c:pt>
                <c:pt idx="128">
                  <c:v>1430.8264193861601</c:v>
                </c:pt>
                <c:pt idx="129">
                  <c:v>1427.5771826001555</c:v>
                </c:pt>
                <c:pt idx="130">
                  <c:v>1424.360469920553</c:v>
                </c:pt>
                <c:pt idx="131">
                  <c:v>1421.1757102730098</c:v>
                </c:pt>
                <c:pt idx="132">
                  <c:v>1418.022346849868</c:v>
                </c:pt>
                <c:pt idx="133">
                  <c:v>1414.8998366494841</c:v>
                </c:pt>
                <c:pt idx="134">
                  <c:v>1411.8076500337488</c:v>
                </c:pt>
                <c:pt idx="135">
                  <c:v>1408.7452703029444</c:v>
                </c:pt>
                <c:pt idx="136">
                  <c:v>1405.7121932871523</c:v>
                </c:pt>
                <c:pt idx="137">
                  <c:v>1402.7079269534333</c:v>
                </c:pt>
                <c:pt idx="138">
                  <c:v>1399.7319910280823</c:v>
                </c:pt>
                <c:pt idx="139">
                  <c:v>1396.7839166332494</c:v>
                </c:pt>
                <c:pt idx="140">
                  <c:v>1393.863245937313</c:v>
                </c:pt>
                <c:pt idx="141">
                  <c:v>1390.9695318183612</c:v>
                </c:pt>
                <c:pt idx="142">
                  <c:v>1388.1023375402283</c:v>
                </c:pt>
                <c:pt idx="143">
                  <c:v>1385.2612364405079</c:v>
                </c:pt>
                <c:pt idx="144">
                  <c:v>1382.4458116300439</c:v>
                </c:pt>
                <c:pt idx="145">
                  <c:v>1379.6556557033866</c:v>
                </c:pt>
                <c:pt idx="146">
                  <c:v>1376.8903704597392</c:v>
                </c:pt>
                <c:pt idx="147">
                  <c:v>1374.1495666339654</c:v>
                </c:pt>
                <c:pt idx="148">
                  <c:v>1371.432863637202</c:v>
                </c:pt>
                <c:pt idx="149">
                  <c:v>1368.7398893067</c:v>
                </c:pt>
                <c:pt idx="150">
                  <c:v>1366.0702796644821</c:v>
                </c:pt>
                <c:pt idx="151">
                  <c:v>1363.4236786844681</c:v>
                </c:pt>
                <c:pt idx="152">
                  <c:v>1360.7997380677059</c:v>
                </c:pt>
                <c:pt idx="153">
                  <c:v>1358.198117025383</c:v>
                </c:pt>
                <c:pt idx="154">
                  <c:v>1355.6184820692933</c:v>
                </c:pt>
                <c:pt idx="155">
                  <c:v>1353.0605068094624</c:v>
                </c:pt>
                <c:pt idx="156">
                  <c:v>1350.5238717586396</c:v>
                </c:pt>
                <c:pt idx="157">
                  <c:v>1348.0082641433833</c:v>
                </c:pt>
                <c:pt idx="158">
                  <c:v>1345.5133777214751</c:v>
                </c:pt>
                <c:pt idx="159">
                  <c:v>1343.0389126054165</c:v>
                </c:pt>
                <c:pt idx="160">
                  <c:v>1340.5845750917604</c:v>
                </c:pt>
                <c:pt idx="161">
                  <c:v>1338.15007749606</c:v>
                </c:pt>
                <c:pt idx="162">
                  <c:v>1335.7351379932099</c:v>
                </c:pt>
                <c:pt idx="163">
                  <c:v>1333.3394804629752</c:v>
                </c:pt>
                <c:pt idx="164">
                  <c:v>1330.9628343405036</c:v>
                </c:pt>
                <c:pt idx="165">
                  <c:v>1328.6049344716375</c:v>
                </c:pt>
                <c:pt idx="166">
                  <c:v>1326.2655209728418</c:v>
                </c:pt>
                <c:pt idx="167">
                  <c:v>1323.9443390955712</c:v>
                </c:pt>
                <c:pt idx="168">
                  <c:v>1321.6411390949122</c:v>
                </c:pt>
                <c:pt idx="169">
                  <c:v>1319.3556761023431</c:v>
                </c:pt>
                <c:pt idx="170">
                  <c:v>1317.0877100024529</c:v>
                </c:pt>
                <c:pt idx="171">
                  <c:v>1314.8370053134845</c:v>
                </c:pt>
                <c:pt idx="172">
                  <c:v>1312.6033310715482</c:v>
                </c:pt>
                <c:pt idx="173">
                  <c:v>1310.3864607183864</c:v>
                </c:pt>
                <c:pt idx="174">
                  <c:v>1308.1861719925473</c:v>
                </c:pt>
                <c:pt idx="175">
                  <c:v>1306.0022468238565</c:v>
                </c:pt>
                <c:pt idx="176">
                  <c:v>1303.834471231065</c:v>
                </c:pt>
                <c:pt idx="177">
                  <c:v>1301.6826352225528</c:v>
                </c:pt>
                <c:pt idx="178">
                  <c:v>1299.5465326999927</c:v>
                </c:pt>
                <c:pt idx="179">
                  <c:v>1297.4259613648655</c:v>
                </c:pt>
                <c:pt idx="180">
                  <c:v>1295.3207226277177</c:v>
                </c:pt>
                <c:pt idx="181">
                  <c:v>1293.2306215200827</c:v>
                </c:pt>
                <c:pt idx="182">
                  <c:v>1291.1554666089628</c:v>
                </c:pt>
                <c:pt idx="183">
                  <c:v>1289.0950699137818</c:v>
                </c:pt>
                <c:pt idx="184">
                  <c:v>1287.0492468257346</c:v>
                </c:pt>
                <c:pt idx="185">
                  <c:v>1285.0178160294417</c:v>
                </c:pt>
                <c:pt idx="186">
                  <c:v>1283.0005994268354</c:v>
                </c:pt>
                <c:pt idx="187">
                  <c:v>1280.9974220632012</c:v>
                </c:pt>
                <c:pt idx="188">
                  <c:v>1279.0081120553052</c:v>
                </c:pt>
                <c:pt idx="189">
                  <c:v>1277.0325005215336</c:v>
                </c:pt>
                <c:pt idx="190">
                  <c:v>1275.0704215139795</c:v>
                </c:pt>
                <c:pt idx="191">
                  <c:v>1273.1217119524149</c:v>
                </c:pt>
                <c:pt idx="192">
                  <c:v>1271.1862115600825</c:v>
                </c:pt>
                <c:pt idx="193">
                  <c:v>1269.2637628012508</c:v>
                </c:pt>
                <c:pt idx="194">
                  <c:v>1267.3542108204731</c:v>
                </c:pt>
                <c:pt idx="195">
                  <c:v>1265.4574033834979</c:v>
                </c:pt>
                <c:pt idx="196">
                  <c:v>1263.5731908197752</c:v>
                </c:pt>
                <c:pt idx="197">
                  <c:v>1261.7014259665077</c:v>
                </c:pt>
                <c:pt idx="198">
                  <c:v>1259.8419641142034</c:v>
                </c:pt>
                <c:pt idx="199">
                  <c:v>1257.9946629536721</c:v>
                </c:pt>
                <c:pt idx="200">
                  <c:v>1256.1593825244256</c:v>
                </c:pt>
                <c:pt idx="201">
                  <c:v>1254.3359851644459</c:v>
                </c:pt>
                <c:pt idx="202">
                  <c:v>1252.5243354612608</c:v>
                </c:pt>
                <c:pt idx="203">
                  <c:v>1250.7243002043015</c:v>
                </c:pt>
                <c:pt idx="204">
                  <c:v>1248.9357483384963</c:v>
                </c:pt>
                <c:pt idx="205">
                  <c:v>1247.1585509190634</c:v>
                </c:pt>
                <c:pt idx="206">
                  <c:v>1245.3925810674675</c:v>
                </c:pt>
                <c:pt idx="207">
                  <c:v>1243.6377139285019</c:v>
                </c:pt>
                <c:pt idx="208">
                  <c:v>1241.8938266284626</c:v>
                </c:pt>
                <c:pt idx="209">
                  <c:v>1240.1607982343878</c:v>
                </c:pt>
                <c:pt idx="210">
                  <c:v>1238.4385097143202</c:v>
                </c:pt>
                <c:pt idx="211">
                  <c:v>1236.7268438985679</c:v>
                </c:pt>
                <c:pt idx="212">
                  <c:v>1235.0256854419379</c:v>
                </c:pt>
                <c:pt idx="213">
                  <c:v>1233.3349207869016</c:v>
                </c:pt>
                <c:pt idx="214">
                  <c:v>1231.654438127681</c:v>
                </c:pt>
                <c:pt idx="215">
                  <c:v>1229.9841273752115</c:v>
                </c:pt>
                <c:pt idx="216">
                  <c:v>1228.3238801229691</c:v>
                </c:pt>
                <c:pt idx="217">
                  <c:v>1226.6735896136306</c:v>
                </c:pt>
                <c:pt idx="218">
                  <c:v>1225.0331507065443</c:v>
                </c:pt>
                <c:pt idx="219">
                  <c:v>1223.4024598459878</c:v>
                </c:pt>
                <c:pt idx="220">
                  <c:v>1221.781415030189</c:v>
                </c:pt>
                <c:pt idx="221">
                  <c:v>1220.1699157810915</c:v>
                </c:pt>
                <c:pt idx="222">
                  <c:v>1218.5678631148412</c:v>
                </c:pt>
                <c:pt idx="223">
                  <c:v>1216.9751595129731</c:v>
                </c:pt>
                <c:pt idx="224">
                  <c:v>1215.3917088942796</c:v>
                </c:pt>
                <c:pt idx="225">
                  <c:v>1213.8174165873456</c:v>
                </c:pt>
                <c:pt idx="226">
                  <c:v>1212.2521893037185</c:v>
                </c:pt>
                <c:pt idx="227">
                  <c:v>1210.6959351117157</c:v>
                </c:pt>
                <c:pt idx="228">
                  <c:v>1209.1485634108301</c:v>
                </c:pt>
                <c:pt idx="229">
                  <c:v>1207.6099849067357</c:v>
                </c:pt>
                <c:pt idx="230">
                  <c:v>1206.0801115868651</c:v>
                </c:pt>
                <c:pt idx="231">
                  <c:v>1204.5588566965496</c:v>
                </c:pt>
                <c:pt idx="232">
                  <c:v>1203.0461347156995</c:v>
                </c:pt>
                <c:pt idx="233">
                  <c:v>1201.5418613360212</c:v>
                </c:pt>
                <c:pt idx="234">
                  <c:v>1200.0459534387458</c:v>
                </c:pt>
                <c:pt idx="235">
                  <c:v>1198.5583290728621</c:v>
                </c:pt>
                <c:pt idx="236">
                  <c:v>1197.0789074338363</c:v>
                </c:pt>
                <c:pt idx="237">
                  <c:v>1195.6076088428083</c:v>
                </c:pt>
                <c:pt idx="238">
                  <c:v>1194.1443547262541</c:v>
                </c:pt>
                <c:pt idx="239">
                  <c:v>1192.6890675960929</c:v>
                </c:pt>
                <c:pt idx="240">
                  <c:v>1191.2416710302402</c:v>
                </c:pt>
                <c:pt idx="241">
                  <c:v>1189.8020896535836</c:v>
                </c:pt>
                <c:pt idx="242">
                  <c:v>1188.3702491193771</c:v>
                </c:pt>
                <c:pt idx="243">
                  <c:v>1186.9460760910424</c:v>
                </c:pt>
                <c:pt idx="244">
                  <c:v>1185.5294982243622</c:v>
                </c:pt>
                <c:pt idx="245">
                  <c:v>1184.1204441500613</c:v>
                </c:pt>
                <c:pt idx="246">
                  <c:v>1182.718843456762</c:v>
                </c:pt>
                <c:pt idx="247">
                  <c:v>1181.324626674306</c:v>
                </c:pt>
                <c:pt idx="248">
                  <c:v>1179.9377252574313</c:v>
                </c:pt>
                <c:pt idx="249">
                  <c:v>1178.5580715697974</c:v>
                </c:pt>
                <c:pt idx="250">
                  <c:v>1177.1855988683492</c:v>
                </c:pt>
                <c:pt idx="251">
                  <c:v>1175.8202412880098</c:v>
                </c:pt>
                <c:pt idx="252">
                  <c:v>1174.461933826698</c:v>
                </c:pt>
                <c:pt idx="253">
                  <c:v>1173.1106123306554</c:v>
                </c:pt>
                <c:pt idx="254">
                  <c:v>1171.7662134800853</c:v>
                </c:pt>
                <c:pt idx="255">
                  <c:v>1170.4286747750839</c:v>
                </c:pt>
                <c:pt idx="256">
                  <c:v>1169.0979345218661</c:v>
                </c:pt>
                <c:pt idx="257">
                  <c:v>1167.7739318192773</c:v>
                </c:pt>
                <c:pt idx="258">
                  <c:v>1166.4566065455772</c:v>
                </c:pt>
                <c:pt idx="259">
                  <c:v>1165.1458993454976</c:v>
                </c:pt>
                <c:pt idx="260">
                  <c:v>1163.8417516175641</c:v>
                </c:pt>
                <c:pt idx="261">
                  <c:v>1162.5441055016731</c:v>
                </c:pt>
                <c:pt idx="262">
                  <c:v>1161.2529038669211</c:v>
                </c:pt>
                <c:pt idx="263">
                  <c:v>1159.9680902996818</c:v>
                </c:pt>
                <c:pt idx="264">
                  <c:v>1158.6896090919161</c:v>
                </c:pt>
                <c:pt idx="265">
                  <c:v>1157.417405229724</c:v>
                </c:pt>
                <c:pt idx="266">
                  <c:v>1156.1514243821182</c:v>
                </c:pt>
                <c:pt idx="267">
                  <c:v>1154.8916128900244</c:v>
                </c:pt>
                <c:pt idx="268">
                  <c:v>1153.6379177554968</c:v>
                </c:pt>
                <c:pt idx="269">
                  <c:v>1152.3902866311455</c:v>
                </c:pt>
                <c:pt idx="270">
                  <c:v>1151.1486678097776</c:v>
                </c:pt>
                <c:pt idx="271">
                  <c:v>1149.9130102142303</c:v>
                </c:pt>
                <c:pt idx="272">
                  <c:v>1148.6832633874121</c:v>
                </c:pt>
                <c:pt idx="273">
                  <c:v>1147.4593774825316</c:v>
                </c:pt>
                <c:pt idx="274">
                  <c:v>1146.2413032535183</c:v>
                </c:pt>
                <c:pt idx="275">
                  <c:v>1145.0289920456246</c:v>
                </c:pt>
                <c:pt idx="276">
                  <c:v>1143.8223957862117</c:v>
                </c:pt>
                <c:pt idx="277">
                  <c:v>1142.6214669757098</c:v>
                </c:pt>
                <c:pt idx="278">
                  <c:v>1141.4261586787525</c:v>
                </c:pt>
                <c:pt idx="279">
                  <c:v>1140.2364245154777</c:v>
                </c:pt>
                <c:pt idx="280">
                  <c:v>1139.0522186529945</c:v>
                </c:pt>
                <c:pt idx="281">
                  <c:v>1137.8734957970071</c:v>
                </c:pt>
                <c:pt idx="282">
                  <c:v>1136.7002111836055</c:v>
                </c:pt>
                <c:pt idx="283">
                  <c:v>1135.5323205711984</c:v>
                </c:pt>
                <c:pt idx="284">
                  <c:v>1134.3697802326062</c:v>
                </c:pt>
                <c:pt idx="285">
                  <c:v>1133.2125469472944</c:v>
                </c:pt>
                <c:pt idx="286">
                  <c:v>1132.0605779937548</c:v>
                </c:pt>
                <c:pt idx="287">
                  <c:v>1130.9138311420256</c:v>
                </c:pt>
                <c:pt idx="288">
                  <c:v>1129.7722646463508</c:v>
                </c:pt>
                <c:pt idx="289">
                  <c:v>1128.6358372379725</c:v>
                </c:pt>
                <c:pt idx="290">
                  <c:v>1127.5045081180556</c:v>
                </c:pt>
                <c:pt idx="291">
                  <c:v>1126.378236950741</c:v>
                </c:pt>
                <c:pt idx="292">
                  <c:v>1125.256983856327</c:v>
                </c:pt>
                <c:pt idx="293">
                  <c:v>1124.1407094045708</c:v>
                </c:pt>
                <c:pt idx="294">
                  <c:v>1123.029374608112</c:v>
                </c:pt>
                <c:pt idx="295">
                  <c:v>1121.9229409160168</c:v>
                </c:pt>
                <c:pt idx="296">
                  <c:v>1120.8213702074333</c:v>
                </c:pt>
                <c:pt idx="297">
                  <c:v>1119.7246247853639</c:v>
                </c:pt>
                <c:pt idx="298">
                  <c:v>1118.6326673705457</c:v>
                </c:pt>
                <c:pt idx="299">
                  <c:v>1117.545461095443</c:v>
                </c:pt>
                <c:pt idx="300">
                  <c:v>1116.4629694983391</c:v>
                </c:pt>
                <c:pt idx="301">
                  <c:v>1115.3851565175421</c:v>
                </c:pt>
                <c:pt idx="302">
                  <c:v>1114.3119864856828</c:v>
                </c:pt>
                <c:pt idx="303">
                  <c:v>1113.2434241241183</c:v>
                </c:pt>
                <c:pt idx="304">
                  <c:v>1112.1794345374312</c:v>
                </c:pt>
                <c:pt idx="305">
                  <c:v>1111.1199832080235</c:v>
                </c:pt>
                <c:pt idx="306">
                  <c:v>1110.065035990807</c:v>
                </c:pt>
                <c:pt idx="307">
                  <c:v>1109.0145591079829</c:v>
                </c:pt>
                <c:pt idx="308">
                  <c:v>1107.9685191439105</c:v>
                </c:pt>
                <c:pt idx="309">
                  <c:v>1106.9268830400679</c:v>
                </c:pt>
                <c:pt idx="310">
                  <c:v>1105.8896180900936</c:v>
                </c:pt>
                <c:pt idx="311">
                  <c:v>1104.8566919349184</c:v>
                </c:pt>
                <c:pt idx="312">
                  <c:v>1103.8280725579741</c:v>
                </c:pt>
                <c:pt idx="313">
                  <c:v>1102.8037282804885</c:v>
                </c:pt>
                <c:pt idx="314">
                  <c:v>1101.7836277568556</c:v>
                </c:pt>
                <c:pt idx="315">
                  <c:v>1100.7677399700867</c:v>
                </c:pt>
                <c:pt idx="316">
                  <c:v>1099.7560342273375</c:v>
                </c:pt>
                <c:pt idx="317">
                  <c:v>1098.7484801555077</c:v>
                </c:pt>
                <c:pt idx="318">
                  <c:v>1097.7450476969166</c:v>
                </c:pt>
                <c:pt idx="319">
                  <c:v>1096.745707105048</c:v>
                </c:pt>
                <c:pt idx="320">
                  <c:v>1095.7504289403705</c:v>
                </c:pt>
                <c:pt idx="321">
                  <c:v>1094.7591840662187</c:v>
                </c:pt>
                <c:pt idx="322">
                  <c:v>1093.7719436447512</c:v>
                </c:pt>
                <c:pt idx="323">
                  <c:v>1092.788679132967</c:v>
                </c:pt>
                <c:pt idx="324">
                  <c:v>1091.8093622787942</c:v>
                </c:pt>
                <c:pt idx="325">
                  <c:v>1090.8339651172359</c:v>
                </c:pt>
                <c:pt idx="326">
                  <c:v>1089.8624599665845</c:v>
                </c:pt>
                <c:pt idx="327">
                  <c:v>1088.8948194246932</c:v>
                </c:pt>
                <c:pt idx="328">
                  <c:v>1087.9310163653083</c:v>
                </c:pt>
                <c:pt idx="329">
                  <c:v>1086.9710239344656</c:v>
                </c:pt>
                <c:pt idx="330">
                  <c:v>1086.0148155469362</c:v>
                </c:pt>
                <c:pt idx="331">
                  <c:v>1085.0623648827366</c:v>
                </c:pt>
                <c:pt idx="332">
                  <c:v>1084.11364588369</c:v>
                </c:pt>
                <c:pt idx="333">
                  <c:v>1083.1686327500458</c:v>
                </c:pt>
                <c:pt idx="334">
                  <c:v>1082.2272999371494</c:v>
                </c:pt>
                <c:pt idx="335">
                  <c:v>1081.2896221521669</c:v>
                </c:pt>
                <c:pt idx="336">
                  <c:v>1080.3555743508605</c:v>
                </c:pt>
                <c:pt idx="337">
                  <c:v>1079.4251317344158</c:v>
                </c:pt>
                <c:pt idx="338">
                  <c:v>1078.4982697463163</c:v>
                </c:pt>
                <c:pt idx="339">
                  <c:v>1077.5749640692716</c:v>
                </c:pt>
                <c:pt idx="340">
                  <c:v>1076.6551906221871</c:v>
                </c:pt>
                <c:pt idx="341">
                  <c:v>1075.7389255571859</c:v>
                </c:pt>
                <c:pt idx="342">
                  <c:v>1074.8261452566744</c:v>
                </c:pt>
                <c:pt idx="343">
                  <c:v>1073.9168263304548</c:v>
                </c:pt>
                <c:pt idx="344">
                  <c:v>1073.0109456128814</c:v>
                </c:pt>
                <c:pt idx="345">
                  <c:v>1072.1084801600566</c:v>
                </c:pt>
                <c:pt idx="346">
                  <c:v>1071.2094072470807</c:v>
                </c:pt>
                <c:pt idx="347">
                  <c:v>1070.3137043653305</c:v>
                </c:pt>
                <c:pt idx="348">
                  <c:v>1069.4213492197889</c:v>
                </c:pt>
                <c:pt idx="349">
                  <c:v>1068.5323197264099</c:v>
                </c:pt>
                <c:pt idx="350">
                  <c:v>1067.6465940095272</c:v>
                </c:pt>
                <c:pt idx="351">
                  <c:v>1066.7641503992984</c:v>
                </c:pt>
                <c:pt idx="352">
                  <c:v>1065.8849674291912</c:v>
                </c:pt>
                <c:pt idx="353">
                  <c:v>1065.0090238335022</c:v>
                </c:pt>
                <c:pt idx="354">
                  <c:v>1064.1362985449214</c:v>
                </c:pt>
                <c:pt idx="355">
                  <c:v>1063.2667706921225</c:v>
                </c:pt>
                <c:pt idx="356">
                  <c:v>1062.4004195973982</c:v>
                </c:pt>
                <c:pt idx="357">
                  <c:v>1061.5372247743253</c:v>
                </c:pt>
                <c:pt idx="358">
                  <c:v>1060.6771659254662</c:v>
                </c:pt>
                <c:pt idx="359">
                  <c:v>1059.8202229401036</c:v>
                </c:pt>
                <c:pt idx="360">
                  <c:v>1058.9663758920108</c:v>
                </c:pt>
                <c:pt idx="361">
                  <c:v>1058.1156050372508</c:v>
                </c:pt>
                <c:pt idx="362">
                  <c:v>1057.267890812011</c:v>
                </c:pt>
                <c:pt idx="363">
                  <c:v>1056.4232138304687</c:v>
                </c:pt>
                <c:pt idx="364">
                  <c:v>1055.5815548826863</c:v>
                </c:pt>
                <c:pt idx="365">
                  <c:v>1054.742894932539</c:v>
                </c:pt>
                <c:pt idx="366">
                  <c:v>1053.9072151156715</c:v>
                </c:pt>
                <c:pt idx="367">
                  <c:v>1053.0744967374835</c:v>
                </c:pt>
                <c:pt idx="368">
                  <c:v>1052.2447212711463</c:v>
                </c:pt>
                <c:pt idx="369">
                  <c:v>1051.4178703556463</c:v>
                </c:pt>
                <c:pt idx="370">
                  <c:v>1050.5939257938567</c:v>
                </c:pt>
                <c:pt idx="371">
                  <c:v>1049.7728695506362</c:v>
                </c:pt>
                <c:pt idx="372">
                  <c:v>1048.9546837509583</c:v>
                </c:pt>
                <c:pt idx="373">
                  <c:v>1048.1393506780605</c:v>
                </c:pt>
                <c:pt idx="374">
                  <c:v>1047.3268527716275</c:v>
                </c:pt>
                <c:pt idx="375">
                  <c:v>1046.5171726259932</c:v>
                </c:pt>
                <c:pt idx="376">
                  <c:v>1045.710292988374</c:v>
                </c:pt>
                <c:pt idx="377">
                  <c:v>1044.9061967571211</c:v>
                </c:pt>
                <c:pt idx="378">
                  <c:v>1044.104866980003</c:v>
                </c:pt>
                <c:pt idx="379">
                  <c:v>1043.3062868525067</c:v>
                </c:pt>
                <c:pt idx="380">
                  <c:v>1042.5104397161681</c:v>
                </c:pt>
                <c:pt idx="381">
                  <c:v>1041.7173090569213</c:v>
                </c:pt>
                <c:pt idx="382">
                  <c:v>1040.9268785034712</c:v>
                </c:pt>
                <c:pt idx="383">
                  <c:v>1040.1391318256915</c:v>
                </c:pt>
                <c:pt idx="384">
                  <c:v>1039.3540529330421</c:v>
                </c:pt>
                <c:pt idx="385">
                  <c:v>1038.5716258730097</c:v>
                </c:pt>
                <c:pt idx="386">
                  <c:v>1037.7918348295684</c:v>
                </c:pt>
                <c:pt idx="387">
                  <c:v>1037.0146641216634</c:v>
                </c:pt>
                <c:pt idx="388">
                  <c:v>1036.2400982017141</c:v>
                </c:pt>
                <c:pt idx="389">
                  <c:v>1035.4681216541373</c:v>
                </c:pt>
                <c:pt idx="390">
                  <c:v>1034.6987191938917</c:v>
                </c:pt>
                <c:pt idx="391">
                  <c:v>1033.9318756650409</c:v>
                </c:pt>
                <c:pt idx="392">
                  <c:v>1033.1675760393366</c:v>
                </c:pt>
                <c:pt idx="393">
                  <c:v>1032.4058054148211</c:v>
                </c:pt>
                <c:pt idx="394">
                  <c:v>1031.6465490144469</c:v>
                </c:pt>
                <c:pt idx="395">
                  <c:v>1030.8897921847179</c:v>
                </c:pt>
                <c:pt idx="396">
                  <c:v>1030.1355203943463</c:v>
                </c:pt>
                <c:pt idx="397">
                  <c:v>1029.3837192329279</c:v>
                </c:pt>
                <c:pt idx="398">
                  <c:v>1028.634374409635</c:v>
                </c:pt>
                <c:pt idx="399">
                  <c:v>1027.8874717519286</c:v>
                </c:pt>
                <c:pt idx="400">
                  <c:v>1027.1429972042836</c:v>
                </c:pt>
                <c:pt idx="401">
                  <c:v>1026.400936826936</c:v>
                </c:pt>
                <c:pt idx="402">
                  <c:v>1025.6612767946422</c:v>
                </c:pt>
                <c:pt idx="403">
                  <c:v>1024.9240033954561</c:v>
                </c:pt>
                <c:pt idx="404">
                  <c:v>1024.1891030295239</c:v>
                </c:pt>
                <c:pt idx="405">
                  <c:v>1023.4565622078921</c:v>
                </c:pt>
                <c:pt idx="406">
                  <c:v>1022.7263675513335</c:v>
                </c:pt>
                <c:pt idx="407">
                  <c:v>1021.9985057891857</c:v>
                </c:pt>
                <c:pt idx="408">
                  <c:v>1021.2729637582074</c:v>
                </c:pt>
                <c:pt idx="409">
                  <c:v>1020.5497284014481</c:v>
                </c:pt>
                <c:pt idx="410">
                  <c:v>1019.8287867671321</c:v>
                </c:pt>
                <c:pt idx="411">
                  <c:v>1019.1101260075591</c:v>
                </c:pt>
                <c:pt idx="412">
                  <c:v>1018.3937333780141</c:v>
                </c:pt>
                <c:pt idx="413">
                  <c:v>1017.679596235699</c:v>
                </c:pt>
                <c:pt idx="414">
                  <c:v>1016.9677020386699</c:v>
                </c:pt>
                <c:pt idx="415">
                  <c:v>1016.2580383447925</c:v>
                </c:pt>
                <c:pt idx="416">
                  <c:v>1015.5505928107099</c:v>
                </c:pt>
                <c:pt idx="417">
                  <c:v>1014.8453531908244</c:v>
                </c:pt>
                <c:pt idx="418">
                  <c:v>1014.1423073362889</c:v>
                </c:pt>
                <c:pt idx="419">
                  <c:v>1013.4414431940166</c:v>
                </c:pt>
                <c:pt idx="420">
                  <c:v>1012.7427488056964</c:v>
                </c:pt>
                <c:pt idx="421">
                  <c:v>1012.0462123068272</c:v>
                </c:pt>
                <c:pt idx="422">
                  <c:v>1011.3518219257599</c:v>
                </c:pt>
                <c:pt idx="423">
                  <c:v>1010.6595659827536</c:v>
                </c:pt>
                <c:pt idx="424">
                  <c:v>1009.969432889043</c:v>
                </c:pt>
                <c:pt idx="425">
                  <c:v>1009.2814111459174</c:v>
                </c:pt>
                <c:pt idx="426">
                  <c:v>1008.5954893438094</c:v>
                </c:pt>
                <c:pt idx="427">
                  <c:v>1007.9116561614005</c:v>
                </c:pt>
                <c:pt idx="428">
                  <c:v>1007.2299003647296</c:v>
                </c:pt>
                <c:pt idx="429">
                  <c:v>1006.5502108063205</c:v>
                </c:pt>
                <c:pt idx="430">
                  <c:v>1005.8725764243128</c:v>
                </c:pt>
                <c:pt idx="431">
                  <c:v>1005.1969862416122</c:v>
                </c:pt>
                <c:pt idx="432">
                  <c:v>1004.5234293650407</c:v>
                </c:pt>
                <c:pt idx="433">
                  <c:v>1003.8518949845071</c:v>
                </c:pt>
                <c:pt idx="434">
                  <c:v>1003.1823723721817</c:v>
                </c:pt>
                <c:pt idx="435">
                  <c:v>1002.514850881681</c:v>
                </c:pt>
                <c:pt idx="436">
                  <c:v>1001.8493199472672</c:v>
                </c:pt>
                <c:pt idx="437">
                  <c:v>1001.1857690830517</c:v>
                </c:pt>
                <c:pt idx="438">
                  <c:v>1000.5241878822113</c:v>
                </c:pt>
                <c:pt idx="439">
                  <c:v>999.8645660162141</c:v>
                </c:pt>
                <c:pt idx="440">
                  <c:v>999.20689323405361</c:v>
                </c:pt>
                <c:pt idx="441">
                  <c:v>998.55115936149093</c:v>
                </c:pt>
                <c:pt idx="442">
                  <c:v>997.89735430030942</c:v>
                </c:pt>
                <c:pt idx="443">
                  <c:v>997.24546802757561</c:v>
                </c:pt>
                <c:pt idx="444">
                  <c:v>996.5954905949086</c:v>
                </c:pt>
                <c:pt idx="445">
                  <c:v>995.94741212776182</c:v>
                </c:pt>
                <c:pt idx="446">
                  <c:v>995.30122282470768</c:v>
                </c:pt>
                <c:pt idx="447">
                  <c:v>994.65691295673582</c:v>
                </c:pt>
                <c:pt idx="448">
                  <c:v>994.01447286655684</c:v>
                </c:pt>
                <c:pt idx="449">
                  <c:v>993.37389296791525</c:v>
                </c:pt>
                <c:pt idx="450">
                  <c:v>992.73516374490998</c:v>
                </c:pt>
                <c:pt idx="451">
                  <c:v>992.09827575132329</c:v>
                </c:pt>
                <c:pt idx="452">
                  <c:v>991.46321960995806</c:v>
                </c:pt>
                <c:pt idx="453">
                  <c:v>990.8299860119813</c:v>
                </c:pt>
                <c:pt idx="454">
                  <c:v>990.19856571627668</c:v>
                </c:pt>
                <c:pt idx="455">
                  <c:v>989.56894954880431</c:v>
                </c:pt>
                <c:pt idx="456">
                  <c:v>988.94112840196726</c:v>
                </c:pt>
                <c:pt idx="457">
                  <c:v>988.315093233987</c:v>
                </c:pt>
                <c:pt idx="458">
                  <c:v>987.69083506828395</c:v>
                </c:pt>
                <c:pt idx="459">
                  <c:v>987.06834499286697</c:v>
                </c:pt>
                <c:pt idx="460">
                  <c:v>986.44761415972926</c:v>
                </c:pt>
                <c:pt idx="461">
                  <c:v>985.82863378425066</c:v>
                </c:pt>
                <c:pt idx="462">
                  <c:v>985.21139514460788</c:v>
                </c:pt>
                <c:pt idx="463">
                  <c:v>984.59588958119082</c:v>
                </c:pt>
                <c:pt idx="464">
                  <c:v>983.98210849602503</c:v>
                </c:pt>
                <c:pt idx="465">
                  <c:v>983.37004335220229</c:v>
                </c:pt>
                <c:pt idx="466">
                  <c:v>982.7596856733162</c:v>
                </c:pt>
                <c:pt idx="467">
                  <c:v>982.15102704290507</c:v>
                </c:pt>
                <c:pt idx="468">
                  <c:v>981.54405910390096</c:v>
                </c:pt>
                <c:pt idx="469">
                  <c:v>980.93877355808365</c:v>
                </c:pt>
                <c:pt idx="470">
                  <c:v>980.33516216554312</c:v>
                </c:pt>
                <c:pt idx="471">
                  <c:v>979.73321674414694</c:v>
                </c:pt>
                <c:pt idx="472">
                  <c:v>979.13292916901264</c:v>
                </c:pt>
                <c:pt idx="473">
                  <c:v>978.53429137198782</c:v>
                </c:pt>
                <c:pt idx="474">
                  <c:v>977.93729534113402</c:v>
                </c:pt>
                <c:pt idx="475">
                  <c:v>977.3419331202191</c:v>
                </c:pt>
                <c:pt idx="476">
                  <c:v>976.74819680821281</c:v>
                </c:pt>
                <c:pt idx="477">
                  <c:v>976.15607855878864</c:v>
                </c:pt>
                <c:pt idx="478">
                  <c:v>975.56557057983082</c:v>
                </c:pt>
                <c:pt idx="479">
                  <c:v>974.97666513295007</c:v>
                </c:pt>
                <c:pt idx="480">
                  <c:v>974.38935453299916</c:v>
                </c:pt>
                <c:pt idx="481">
                  <c:v>973.80363114759757</c:v>
                </c:pt>
                <c:pt idx="482">
                  <c:v>973.21948739666027</c:v>
                </c:pt>
                <c:pt idx="483">
                  <c:v>972.63691575193252</c:v>
                </c:pt>
                <c:pt idx="484">
                  <c:v>972.05590873652932</c:v>
                </c:pt>
                <c:pt idx="485">
                  <c:v>971.47645892447736</c:v>
                </c:pt>
                <c:pt idx="486">
                  <c:v>970.89855894026789</c:v>
                </c:pt>
                <c:pt idx="487">
                  <c:v>970.32220145840699</c:v>
                </c:pt>
                <c:pt idx="488">
                  <c:v>969.74737920297855</c:v>
                </c:pt>
                <c:pt idx="489">
                  <c:v>969.17408494720382</c:v>
                </c:pt>
                <c:pt idx="490">
                  <c:v>968.60231151301412</c:v>
                </c:pt>
                <c:pt idx="491">
                  <c:v>968.03205177062125</c:v>
                </c:pt>
                <c:pt idx="492">
                  <c:v>967.46329863809501</c:v>
                </c:pt>
                <c:pt idx="493">
                  <c:v>966.89604508094862</c:v>
                </c:pt>
                <c:pt idx="494">
                  <c:v>966.33028411172097</c:v>
                </c:pt>
                <c:pt idx="495">
                  <c:v>965.76600878957163</c:v>
                </c:pt>
                <c:pt idx="496">
                  <c:v>965.20321221987558</c:v>
                </c:pt>
                <c:pt idx="497">
                  <c:v>964.64188755382088</c:v>
                </c:pt>
                <c:pt idx="498">
                  <c:v>964.08202798801597</c:v>
                </c:pt>
                <c:pt idx="499">
                  <c:v>963.52362676409598</c:v>
                </c:pt>
              </c:numCache>
            </c:numRef>
          </c:yVal>
          <c:smooth val="0"/>
          <c:extLst>
            <c:ext xmlns:c16="http://schemas.microsoft.com/office/drawing/2014/chart" uri="{C3380CC4-5D6E-409C-BE32-E72D297353CC}">
              <c16:uniqueId val="{00000000-E092-4248-B0F0-850051006D1A}"/>
            </c:ext>
          </c:extLst>
        </c:ser>
        <c:ser>
          <c:idx val="3"/>
          <c:order val="3"/>
          <c:tx>
            <c:v>KOH-loopin Ca - model</c:v>
          </c:tx>
          <c:spPr>
            <a:ln w="12700" cap="rnd">
              <a:solidFill>
                <a:schemeClr val="accent2"/>
              </a:solidFill>
              <a:round/>
            </a:ln>
            <a:effectLst/>
          </c:spPr>
          <c:marker>
            <c:symbol val="none"/>
          </c:marker>
          <c:xVal>
            <c:numRef>
              <c:f>cost_scaling_DAC!$K$77:$K$576</c:f>
              <c:numCache>
                <c:formatCode>General</c:formatCode>
                <c:ptCount val="500"/>
                <c:pt idx="0">
                  <c:v>2000</c:v>
                </c:pt>
                <c:pt idx="1">
                  <c:v>4000</c:v>
                </c:pt>
                <c:pt idx="2">
                  <c:v>6000</c:v>
                </c:pt>
                <c:pt idx="3">
                  <c:v>8000</c:v>
                </c:pt>
                <c:pt idx="4">
                  <c:v>10000</c:v>
                </c:pt>
                <c:pt idx="5">
                  <c:v>12000</c:v>
                </c:pt>
                <c:pt idx="6">
                  <c:v>14000</c:v>
                </c:pt>
                <c:pt idx="7">
                  <c:v>16000</c:v>
                </c:pt>
                <c:pt idx="8">
                  <c:v>18000</c:v>
                </c:pt>
                <c:pt idx="9">
                  <c:v>20000</c:v>
                </c:pt>
                <c:pt idx="10">
                  <c:v>22000</c:v>
                </c:pt>
                <c:pt idx="11">
                  <c:v>24000</c:v>
                </c:pt>
                <c:pt idx="12">
                  <c:v>26000</c:v>
                </c:pt>
                <c:pt idx="13">
                  <c:v>28000</c:v>
                </c:pt>
                <c:pt idx="14">
                  <c:v>30000</c:v>
                </c:pt>
                <c:pt idx="15">
                  <c:v>32000</c:v>
                </c:pt>
                <c:pt idx="16">
                  <c:v>34000</c:v>
                </c:pt>
                <c:pt idx="17">
                  <c:v>36000</c:v>
                </c:pt>
                <c:pt idx="18">
                  <c:v>38000</c:v>
                </c:pt>
                <c:pt idx="19">
                  <c:v>40000</c:v>
                </c:pt>
                <c:pt idx="20">
                  <c:v>42000</c:v>
                </c:pt>
                <c:pt idx="21">
                  <c:v>44000</c:v>
                </c:pt>
                <c:pt idx="22">
                  <c:v>46000</c:v>
                </c:pt>
                <c:pt idx="23">
                  <c:v>48000</c:v>
                </c:pt>
                <c:pt idx="24">
                  <c:v>50000</c:v>
                </c:pt>
                <c:pt idx="25">
                  <c:v>52000</c:v>
                </c:pt>
                <c:pt idx="26">
                  <c:v>54000</c:v>
                </c:pt>
                <c:pt idx="27">
                  <c:v>56000</c:v>
                </c:pt>
                <c:pt idx="28">
                  <c:v>58000</c:v>
                </c:pt>
                <c:pt idx="29">
                  <c:v>60000</c:v>
                </c:pt>
                <c:pt idx="30">
                  <c:v>62000</c:v>
                </c:pt>
                <c:pt idx="31">
                  <c:v>64000</c:v>
                </c:pt>
                <c:pt idx="32">
                  <c:v>66000</c:v>
                </c:pt>
                <c:pt idx="33">
                  <c:v>68000</c:v>
                </c:pt>
                <c:pt idx="34">
                  <c:v>70000</c:v>
                </c:pt>
                <c:pt idx="35">
                  <c:v>72000</c:v>
                </c:pt>
                <c:pt idx="36">
                  <c:v>74000</c:v>
                </c:pt>
                <c:pt idx="37">
                  <c:v>76000</c:v>
                </c:pt>
                <c:pt idx="38">
                  <c:v>78000</c:v>
                </c:pt>
                <c:pt idx="39">
                  <c:v>80000</c:v>
                </c:pt>
                <c:pt idx="40">
                  <c:v>82000</c:v>
                </c:pt>
                <c:pt idx="41">
                  <c:v>84000</c:v>
                </c:pt>
                <c:pt idx="42">
                  <c:v>86000</c:v>
                </c:pt>
                <c:pt idx="43">
                  <c:v>88000</c:v>
                </c:pt>
                <c:pt idx="44">
                  <c:v>90000</c:v>
                </c:pt>
                <c:pt idx="45">
                  <c:v>92000</c:v>
                </c:pt>
                <c:pt idx="46">
                  <c:v>94000</c:v>
                </c:pt>
                <c:pt idx="47">
                  <c:v>96000</c:v>
                </c:pt>
                <c:pt idx="48">
                  <c:v>98000</c:v>
                </c:pt>
                <c:pt idx="49">
                  <c:v>100000</c:v>
                </c:pt>
                <c:pt idx="50">
                  <c:v>102000</c:v>
                </c:pt>
                <c:pt idx="51">
                  <c:v>104000</c:v>
                </c:pt>
                <c:pt idx="52">
                  <c:v>106000</c:v>
                </c:pt>
                <c:pt idx="53">
                  <c:v>108000</c:v>
                </c:pt>
                <c:pt idx="54">
                  <c:v>110000</c:v>
                </c:pt>
                <c:pt idx="55">
                  <c:v>112000</c:v>
                </c:pt>
                <c:pt idx="56">
                  <c:v>114000</c:v>
                </c:pt>
                <c:pt idx="57">
                  <c:v>116000</c:v>
                </c:pt>
                <c:pt idx="58">
                  <c:v>118000</c:v>
                </c:pt>
                <c:pt idx="59">
                  <c:v>120000</c:v>
                </c:pt>
                <c:pt idx="60">
                  <c:v>122000</c:v>
                </c:pt>
                <c:pt idx="61">
                  <c:v>124000</c:v>
                </c:pt>
                <c:pt idx="62">
                  <c:v>126000</c:v>
                </c:pt>
                <c:pt idx="63">
                  <c:v>128000</c:v>
                </c:pt>
                <c:pt idx="64">
                  <c:v>130000</c:v>
                </c:pt>
                <c:pt idx="65">
                  <c:v>132000</c:v>
                </c:pt>
                <c:pt idx="66">
                  <c:v>134000</c:v>
                </c:pt>
                <c:pt idx="67">
                  <c:v>136000</c:v>
                </c:pt>
                <c:pt idx="68">
                  <c:v>138000</c:v>
                </c:pt>
                <c:pt idx="69">
                  <c:v>140000</c:v>
                </c:pt>
                <c:pt idx="70">
                  <c:v>142000</c:v>
                </c:pt>
                <c:pt idx="71">
                  <c:v>144000</c:v>
                </c:pt>
                <c:pt idx="72">
                  <c:v>146000</c:v>
                </c:pt>
                <c:pt idx="73">
                  <c:v>148000</c:v>
                </c:pt>
                <c:pt idx="74">
                  <c:v>150000</c:v>
                </c:pt>
                <c:pt idx="75">
                  <c:v>152000</c:v>
                </c:pt>
                <c:pt idx="76">
                  <c:v>154000</c:v>
                </c:pt>
                <c:pt idx="77">
                  <c:v>156000</c:v>
                </c:pt>
                <c:pt idx="78">
                  <c:v>158000</c:v>
                </c:pt>
                <c:pt idx="79">
                  <c:v>160000</c:v>
                </c:pt>
                <c:pt idx="80">
                  <c:v>162000</c:v>
                </c:pt>
                <c:pt idx="81">
                  <c:v>164000</c:v>
                </c:pt>
                <c:pt idx="82">
                  <c:v>166000</c:v>
                </c:pt>
                <c:pt idx="83">
                  <c:v>168000</c:v>
                </c:pt>
                <c:pt idx="84">
                  <c:v>170000</c:v>
                </c:pt>
                <c:pt idx="85">
                  <c:v>172000</c:v>
                </c:pt>
                <c:pt idx="86">
                  <c:v>174000</c:v>
                </c:pt>
                <c:pt idx="87">
                  <c:v>176000</c:v>
                </c:pt>
                <c:pt idx="88">
                  <c:v>178000</c:v>
                </c:pt>
                <c:pt idx="89">
                  <c:v>180000</c:v>
                </c:pt>
                <c:pt idx="90">
                  <c:v>182000</c:v>
                </c:pt>
                <c:pt idx="91">
                  <c:v>184000</c:v>
                </c:pt>
                <c:pt idx="92">
                  <c:v>186000</c:v>
                </c:pt>
                <c:pt idx="93">
                  <c:v>188000</c:v>
                </c:pt>
                <c:pt idx="94">
                  <c:v>190000</c:v>
                </c:pt>
                <c:pt idx="95">
                  <c:v>192000</c:v>
                </c:pt>
                <c:pt idx="96">
                  <c:v>194000</c:v>
                </c:pt>
                <c:pt idx="97">
                  <c:v>196000</c:v>
                </c:pt>
                <c:pt idx="98">
                  <c:v>198000</c:v>
                </c:pt>
                <c:pt idx="99">
                  <c:v>200000</c:v>
                </c:pt>
                <c:pt idx="100">
                  <c:v>202000</c:v>
                </c:pt>
                <c:pt idx="101">
                  <c:v>204000</c:v>
                </c:pt>
                <c:pt idx="102">
                  <c:v>206000</c:v>
                </c:pt>
                <c:pt idx="103">
                  <c:v>208000</c:v>
                </c:pt>
                <c:pt idx="104">
                  <c:v>210000</c:v>
                </c:pt>
                <c:pt idx="105">
                  <c:v>212000</c:v>
                </c:pt>
                <c:pt idx="106">
                  <c:v>214000</c:v>
                </c:pt>
                <c:pt idx="107">
                  <c:v>216000</c:v>
                </c:pt>
                <c:pt idx="108">
                  <c:v>218000</c:v>
                </c:pt>
                <c:pt idx="109">
                  <c:v>220000</c:v>
                </c:pt>
                <c:pt idx="110">
                  <c:v>222000</c:v>
                </c:pt>
                <c:pt idx="111">
                  <c:v>224000</c:v>
                </c:pt>
                <c:pt idx="112">
                  <c:v>226000</c:v>
                </c:pt>
                <c:pt idx="113">
                  <c:v>228000</c:v>
                </c:pt>
                <c:pt idx="114">
                  <c:v>230000</c:v>
                </c:pt>
                <c:pt idx="115">
                  <c:v>232000</c:v>
                </c:pt>
                <c:pt idx="116">
                  <c:v>234000</c:v>
                </c:pt>
                <c:pt idx="117">
                  <c:v>236000</c:v>
                </c:pt>
                <c:pt idx="118">
                  <c:v>238000</c:v>
                </c:pt>
                <c:pt idx="119">
                  <c:v>240000</c:v>
                </c:pt>
                <c:pt idx="120">
                  <c:v>242000</c:v>
                </c:pt>
                <c:pt idx="121">
                  <c:v>244000</c:v>
                </c:pt>
                <c:pt idx="122">
                  <c:v>246000</c:v>
                </c:pt>
                <c:pt idx="123">
                  <c:v>248000</c:v>
                </c:pt>
                <c:pt idx="124">
                  <c:v>250000</c:v>
                </c:pt>
                <c:pt idx="125">
                  <c:v>252000</c:v>
                </c:pt>
                <c:pt idx="126">
                  <c:v>254000</c:v>
                </c:pt>
                <c:pt idx="127">
                  <c:v>256000</c:v>
                </c:pt>
                <c:pt idx="128">
                  <c:v>258000</c:v>
                </c:pt>
                <c:pt idx="129">
                  <c:v>260000</c:v>
                </c:pt>
                <c:pt idx="130">
                  <c:v>262000</c:v>
                </c:pt>
                <c:pt idx="131">
                  <c:v>264000</c:v>
                </c:pt>
                <c:pt idx="132">
                  <c:v>266000</c:v>
                </c:pt>
                <c:pt idx="133">
                  <c:v>268000</c:v>
                </c:pt>
                <c:pt idx="134">
                  <c:v>270000</c:v>
                </c:pt>
                <c:pt idx="135">
                  <c:v>272000</c:v>
                </c:pt>
                <c:pt idx="136">
                  <c:v>274000</c:v>
                </c:pt>
                <c:pt idx="137">
                  <c:v>276000</c:v>
                </c:pt>
                <c:pt idx="138">
                  <c:v>278000</c:v>
                </c:pt>
                <c:pt idx="139">
                  <c:v>280000</c:v>
                </c:pt>
                <c:pt idx="140">
                  <c:v>282000</c:v>
                </c:pt>
                <c:pt idx="141">
                  <c:v>284000</c:v>
                </c:pt>
                <c:pt idx="142">
                  <c:v>286000</c:v>
                </c:pt>
                <c:pt idx="143">
                  <c:v>288000</c:v>
                </c:pt>
                <c:pt idx="144">
                  <c:v>290000</c:v>
                </c:pt>
                <c:pt idx="145">
                  <c:v>292000</c:v>
                </c:pt>
                <c:pt idx="146">
                  <c:v>294000</c:v>
                </c:pt>
                <c:pt idx="147">
                  <c:v>296000</c:v>
                </c:pt>
                <c:pt idx="148">
                  <c:v>298000</c:v>
                </c:pt>
                <c:pt idx="149">
                  <c:v>300000</c:v>
                </c:pt>
                <c:pt idx="150">
                  <c:v>302000</c:v>
                </c:pt>
                <c:pt idx="151">
                  <c:v>304000</c:v>
                </c:pt>
                <c:pt idx="152">
                  <c:v>306000</c:v>
                </c:pt>
                <c:pt idx="153">
                  <c:v>308000</c:v>
                </c:pt>
                <c:pt idx="154">
                  <c:v>310000</c:v>
                </c:pt>
                <c:pt idx="155">
                  <c:v>312000</c:v>
                </c:pt>
                <c:pt idx="156">
                  <c:v>314000</c:v>
                </c:pt>
                <c:pt idx="157">
                  <c:v>316000</c:v>
                </c:pt>
                <c:pt idx="158">
                  <c:v>318000</c:v>
                </c:pt>
                <c:pt idx="159">
                  <c:v>320000</c:v>
                </c:pt>
                <c:pt idx="160">
                  <c:v>322000</c:v>
                </c:pt>
                <c:pt idx="161">
                  <c:v>324000</c:v>
                </c:pt>
                <c:pt idx="162">
                  <c:v>326000</c:v>
                </c:pt>
                <c:pt idx="163">
                  <c:v>328000</c:v>
                </c:pt>
                <c:pt idx="164">
                  <c:v>330000</c:v>
                </c:pt>
                <c:pt idx="165">
                  <c:v>332000</c:v>
                </c:pt>
                <c:pt idx="166">
                  <c:v>334000</c:v>
                </c:pt>
                <c:pt idx="167">
                  <c:v>336000</c:v>
                </c:pt>
                <c:pt idx="168">
                  <c:v>338000</c:v>
                </c:pt>
                <c:pt idx="169">
                  <c:v>340000</c:v>
                </c:pt>
                <c:pt idx="170">
                  <c:v>342000</c:v>
                </c:pt>
                <c:pt idx="171">
                  <c:v>344000</c:v>
                </c:pt>
                <c:pt idx="172">
                  <c:v>346000</c:v>
                </c:pt>
                <c:pt idx="173">
                  <c:v>348000</c:v>
                </c:pt>
                <c:pt idx="174">
                  <c:v>350000</c:v>
                </c:pt>
                <c:pt idx="175">
                  <c:v>352000</c:v>
                </c:pt>
                <c:pt idx="176">
                  <c:v>354000</c:v>
                </c:pt>
                <c:pt idx="177">
                  <c:v>356000</c:v>
                </c:pt>
                <c:pt idx="178">
                  <c:v>358000</c:v>
                </c:pt>
                <c:pt idx="179">
                  <c:v>360000</c:v>
                </c:pt>
                <c:pt idx="180">
                  <c:v>362000</c:v>
                </c:pt>
                <c:pt idx="181">
                  <c:v>364000</c:v>
                </c:pt>
                <c:pt idx="182">
                  <c:v>366000</c:v>
                </c:pt>
                <c:pt idx="183">
                  <c:v>368000</c:v>
                </c:pt>
                <c:pt idx="184">
                  <c:v>370000</c:v>
                </c:pt>
                <c:pt idx="185">
                  <c:v>372000</c:v>
                </c:pt>
                <c:pt idx="186">
                  <c:v>374000</c:v>
                </c:pt>
                <c:pt idx="187">
                  <c:v>376000</c:v>
                </c:pt>
                <c:pt idx="188">
                  <c:v>378000</c:v>
                </c:pt>
                <c:pt idx="189">
                  <c:v>380000</c:v>
                </c:pt>
                <c:pt idx="190">
                  <c:v>382000</c:v>
                </c:pt>
                <c:pt idx="191">
                  <c:v>384000</c:v>
                </c:pt>
                <c:pt idx="192">
                  <c:v>386000</c:v>
                </c:pt>
                <c:pt idx="193">
                  <c:v>388000</c:v>
                </c:pt>
                <c:pt idx="194">
                  <c:v>390000</c:v>
                </c:pt>
                <c:pt idx="195">
                  <c:v>392000</c:v>
                </c:pt>
                <c:pt idx="196">
                  <c:v>394000</c:v>
                </c:pt>
                <c:pt idx="197">
                  <c:v>396000</c:v>
                </c:pt>
                <c:pt idx="198">
                  <c:v>398000</c:v>
                </c:pt>
                <c:pt idx="199">
                  <c:v>400000</c:v>
                </c:pt>
                <c:pt idx="200">
                  <c:v>402000</c:v>
                </c:pt>
                <c:pt idx="201">
                  <c:v>404000</c:v>
                </c:pt>
                <c:pt idx="202">
                  <c:v>406000</c:v>
                </c:pt>
                <c:pt idx="203">
                  <c:v>408000</c:v>
                </c:pt>
                <c:pt idx="204">
                  <c:v>410000</c:v>
                </c:pt>
                <c:pt idx="205">
                  <c:v>412000</c:v>
                </c:pt>
                <c:pt idx="206">
                  <c:v>414000</c:v>
                </c:pt>
                <c:pt idx="207">
                  <c:v>416000</c:v>
                </c:pt>
                <c:pt idx="208">
                  <c:v>418000</c:v>
                </c:pt>
                <c:pt idx="209">
                  <c:v>420000</c:v>
                </c:pt>
                <c:pt idx="210">
                  <c:v>422000</c:v>
                </c:pt>
                <c:pt idx="211">
                  <c:v>424000</c:v>
                </c:pt>
                <c:pt idx="212">
                  <c:v>426000</c:v>
                </c:pt>
                <c:pt idx="213">
                  <c:v>428000</c:v>
                </c:pt>
                <c:pt idx="214">
                  <c:v>430000</c:v>
                </c:pt>
                <c:pt idx="215">
                  <c:v>432000</c:v>
                </c:pt>
                <c:pt idx="216">
                  <c:v>434000</c:v>
                </c:pt>
                <c:pt idx="217">
                  <c:v>436000</c:v>
                </c:pt>
                <c:pt idx="218">
                  <c:v>438000</c:v>
                </c:pt>
                <c:pt idx="219">
                  <c:v>440000</c:v>
                </c:pt>
                <c:pt idx="220">
                  <c:v>442000</c:v>
                </c:pt>
                <c:pt idx="221">
                  <c:v>444000</c:v>
                </c:pt>
                <c:pt idx="222">
                  <c:v>446000</c:v>
                </c:pt>
                <c:pt idx="223">
                  <c:v>448000</c:v>
                </c:pt>
                <c:pt idx="224">
                  <c:v>450000</c:v>
                </c:pt>
                <c:pt idx="225">
                  <c:v>452000</c:v>
                </c:pt>
                <c:pt idx="226">
                  <c:v>454000</c:v>
                </c:pt>
                <c:pt idx="227">
                  <c:v>456000</c:v>
                </c:pt>
                <c:pt idx="228">
                  <c:v>458000</c:v>
                </c:pt>
                <c:pt idx="229">
                  <c:v>460000</c:v>
                </c:pt>
                <c:pt idx="230">
                  <c:v>462000</c:v>
                </c:pt>
                <c:pt idx="231">
                  <c:v>464000</c:v>
                </c:pt>
                <c:pt idx="232">
                  <c:v>466000</c:v>
                </c:pt>
                <c:pt idx="233">
                  <c:v>468000</c:v>
                </c:pt>
                <c:pt idx="234">
                  <c:v>470000</c:v>
                </c:pt>
                <c:pt idx="235">
                  <c:v>472000</c:v>
                </c:pt>
                <c:pt idx="236">
                  <c:v>474000</c:v>
                </c:pt>
                <c:pt idx="237">
                  <c:v>476000</c:v>
                </c:pt>
                <c:pt idx="238">
                  <c:v>478000</c:v>
                </c:pt>
                <c:pt idx="239">
                  <c:v>480000</c:v>
                </c:pt>
                <c:pt idx="240">
                  <c:v>482000</c:v>
                </c:pt>
                <c:pt idx="241">
                  <c:v>484000</c:v>
                </c:pt>
                <c:pt idx="242">
                  <c:v>486000</c:v>
                </c:pt>
                <c:pt idx="243">
                  <c:v>488000</c:v>
                </c:pt>
                <c:pt idx="244">
                  <c:v>490000</c:v>
                </c:pt>
                <c:pt idx="245">
                  <c:v>492000</c:v>
                </c:pt>
                <c:pt idx="246">
                  <c:v>494000</c:v>
                </c:pt>
                <c:pt idx="247">
                  <c:v>496000</c:v>
                </c:pt>
                <c:pt idx="248">
                  <c:v>498000</c:v>
                </c:pt>
                <c:pt idx="249">
                  <c:v>500000</c:v>
                </c:pt>
                <c:pt idx="250">
                  <c:v>502000</c:v>
                </c:pt>
                <c:pt idx="251">
                  <c:v>504000</c:v>
                </c:pt>
                <c:pt idx="252">
                  <c:v>506000</c:v>
                </c:pt>
                <c:pt idx="253">
                  <c:v>508000</c:v>
                </c:pt>
                <c:pt idx="254">
                  <c:v>510000</c:v>
                </c:pt>
                <c:pt idx="255">
                  <c:v>512000</c:v>
                </c:pt>
                <c:pt idx="256">
                  <c:v>514000</c:v>
                </c:pt>
                <c:pt idx="257">
                  <c:v>516000</c:v>
                </c:pt>
                <c:pt idx="258">
                  <c:v>518000</c:v>
                </c:pt>
                <c:pt idx="259">
                  <c:v>520000</c:v>
                </c:pt>
                <c:pt idx="260">
                  <c:v>522000</c:v>
                </c:pt>
                <c:pt idx="261">
                  <c:v>524000</c:v>
                </c:pt>
                <c:pt idx="262">
                  <c:v>526000</c:v>
                </c:pt>
                <c:pt idx="263">
                  <c:v>528000</c:v>
                </c:pt>
                <c:pt idx="264">
                  <c:v>530000</c:v>
                </c:pt>
                <c:pt idx="265">
                  <c:v>532000</c:v>
                </c:pt>
                <c:pt idx="266">
                  <c:v>534000</c:v>
                </c:pt>
                <c:pt idx="267">
                  <c:v>536000</c:v>
                </c:pt>
                <c:pt idx="268">
                  <c:v>538000</c:v>
                </c:pt>
                <c:pt idx="269">
                  <c:v>540000</c:v>
                </c:pt>
                <c:pt idx="270">
                  <c:v>542000</c:v>
                </c:pt>
                <c:pt idx="271">
                  <c:v>544000</c:v>
                </c:pt>
                <c:pt idx="272">
                  <c:v>546000</c:v>
                </c:pt>
                <c:pt idx="273">
                  <c:v>548000</c:v>
                </c:pt>
                <c:pt idx="274">
                  <c:v>550000</c:v>
                </c:pt>
                <c:pt idx="275">
                  <c:v>552000</c:v>
                </c:pt>
                <c:pt idx="276">
                  <c:v>554000</c:v>
                </c:pt>
                <c:pt idx="277">
                  <c:v>556000</c:v>
                </c:pt>
                <c:pt idx="278">
                  <c:v>558000</c:v>
                </c:pt>
                <c:pt idx="279">
                  <c:v>560000</c:v>
                </c:pt>
                <c:pt idx="280">
                  <c:v>562000</c:v>
                </c:pt>
                <c:pt idx="281">
                  <c:v>564000</c:v>
                </c:pt>
                <c:pt idx="282">
                  <c:v>566000</c:v>
                </c:pt>
                <c:pt idx="283">
                  <c:v>568000</c:v>
                </c:pt>
                <c:pt idx="284">
                  <c:v>570000</c:v>
                </c:pt>
                <c:pt idx="285">
                  <c:v>572000</c:v>
                </c:pt>
                <c:pt idx="286">
                  <c:v>574000</c:v>
                </c:pt>
                <c:pt idx="287">
                  <c:v>576000</c:v>
                </c:pt>
                <c:pt idx="288">
                  <c:v>578000</c:v>
                </c:pt>
                <c:pt idx="289">
                  <c:v>580000</c:v>
                </c:pt>
                <c:pt idx="290">
                  <c:v>582000</c:v>
                </c:pt>
                <c:pt idx="291">
                  <c:v>584000</c:v>
                </c:pt>
                <c:pt idx="292">
                  <c:v>586000</c:v>
                </c:pt>
                <c:pt idx="293">
                  <c:v>588000</c:v>
                </c:pt>
                <c:pt idx="294">
                  <c:v>590000</c:v>
                </c:pt>
                <c:pt idx="295">
                  <c:v>592000</c:v>
                </c:pt>
                <c:pt idx="296">
                  <c:v>594000</c:v>
                </c:pt>
                <c:pt idx="297">
                  <c:v>596000</c:v>
                </c:pt>
                <c:pt idx="298">
                  <c:v>598000</c:v>
                </c:pt>
                <c:pt idx="299">
                  <c:v>600000</c:v>
                </c:pt>
                <c:pt idx="300">
                  <c:v>602000</c:v>
                </c:pt>
                <c:pt idx="301">
                  <c:v>604000</c:v>
                </c:pt>
                <c:pt idx="302">
                  <c:v>606000</c:v>
                </c:pt>
                <c:pt idx="303">
                  <c:v>608000</c:v>
                </c:pt>
                <c:pt idx="304">
                  <c:v>610000</c:v>
                </c:pt>
                <c:pt idx="305">
                  <c:v>612000</c:v>
                </c:pt>
                <c:pt idx="306">
                  <c:v>614000</c:v>
                </c:pt>
                <c:pt idx="307">
                  <c:v>616000</c:v>
                </c:pt>
                <c:pt idx="308">
                  <c:v>618000</c:v>
                </c:pt>
                <c:pt idx="309">
                  <c:v>620000</c:v>
                </c:pt>
                <c:pt idx="310">
                  <c:v>622000</c:v>
                </c:pt>
                <c:pt idx="311">
                  <c:v>624000</c:v>
                </c:pt>
                <c:pt idx="312">
                  <c:v>626000</c:v>
                </c:pt>
                <c:pt idx="313">
                  <c:v>628000</c:v>
                </c:pt>
                <c:pt idx="314">
                  <c:v>630000</c:v>
                </c:pt>
                <c:pt idx="315">
                  <c:v>632000</c:v>
                </c:pt>
                <c:pt idx="316">
                  <c:v>634000</c:v>
                </c:pt>
                <c:pt idx="317">
                  <c:v>636000</c:v>
                </c:pt>
                <c:pt idx="318">
                  <c:v>638000</c:v>
                </c:pt>
                <c:pt idx="319">
                  <c:v>640000</c:v>
                </c:pt>
                <c:pt idx="320">
                  <c:v>642000</c:v>
                </c:pt>
                <c:pt idx="321">
                  <c:v>644000</c:v>
                </c:pt>
                <c:pt idx="322">
                  <c:v>646000</c:v>
                </c:pt>
                <c:pt idx="323">
                  <c:v>648000</c:v>
                </c:pt>
                <c:pt idx="324">
                  <c:v>650000</c:v>
                </c:pt>
                <c:pt idx="325">
                  <c:v>652000</c:v>
                </c:pt>
                <c:pt idx="326">
                  <c:v>654000</c:v>
                </c:pt>
                <c:pt idx="327">
                  <c:v>656000</c:v>
                </c:pt>
                <c:pt idx="328">
                  <c:v>658000</c:v>
                </c:pt>
                <c:pt idx="329">
                  <c:v>660000</c:v>
                </c:pt>
                <c:pt idx="330">
                  <c:v>662000</c:v>
                </c:pt>
                <c:pt idx="331">
                  <c:v>664000</c:v>
                </c:pt>
                <c:pt idx="332">
                  <c:v>666000</c:v>
                </c:pt>
                <c:pt idx="333">
                  <c:v>668000</c:v>
                </c:pt>
                <c:pt idx="334">
                  <c:v>670000</c:v>
                </c:pt>
                <c:pt idx="335">
                  <c:v>672000</c:v>
                </c:pt>
                <c:pt idx="336">
                  <c:v>674000</c:v>
                </c:pt>
                <c:pt idx="337">
                  <c:v>676000</c:v>
                </c:pt>
                <c:pt idx="338">
                  <c:v>678000</c:v>
                </c:pt>
                <c:pt idx="339">
                  <c:v>680000</c:v>
                </c:pt>
                <c:pt idx="340">
                  <c:v>682000</c:v>
                </c:pt>
                <c:pt idx="341">
                  <c:v>684000</c:v>
                </c:pt>
                <c:pt idx="342">
                  <c:v>686000</c:v>
                </c:pt>
                <c:pt idx="343">
                  <c:v>688000</c:v>
                </c:pt>
                <c:pt idx="344">
                  <c:v>690000</c:v>
                </c:pt>
                <c:pt idx="345">
                  <c:v>692000</c:v>
                </c:pt>
                <c:pt idx="346">
                  <c:v>694000</c:v>
                </c:pt>
                <c:pt idx="347">
                  <c:v>696000</c:v>
                </c:pt>
                <c:pt idx="348">
                  <c:v>698000</c:v>
                </c:pt>
                <c:pt idx="349">
                  <c:v>700000</c:v>
                </c:pt>
                <c:pt idx="350">
                  <c:v>702000</c:v>
                </c:pt>
                <c:pt idx="351">
                  <c:v>704000</c:v>
                </c:pt>
                <c:pt idx="352">
                  <c:v>706000</c:v>
                </c:pt>
                <c:pt idx="353">
                  <c:v>708000</c:v>
                </c:pt>
                <c:pt idx="354">
                  <c:v>710000</c:v>
                </c:pt>
                <c:pt idx="355">
                  <c:v>712000</c:v>
                </c:pt>
                <c:pt idx="356">
                  <c:v>714000</c:v>
                </c:pt>
                <c:pt idx="357">
                  <c:v>716000</c:v>
                </c:pt>
                <c:pt idx="358">
                  <c:v>718000</c:v>
                </c:pt>
                <c:pt idx="359">
                  <c:v>720000</c:v>
                </c:pt>
                <c:pt idx="360">
                  <c:v>722000</c:v>
                </c:pt>
                <c:pt idx="361">
                  <c:v>724000</c:v>
                </c:pt>
                <c:pt idx="362">
                  <c:v>726000</c:v>
                </c:pt>
                <c:pt idx="363">
                  <c:v>728000</c:v>
                </c:pt>
                <c:pt idx="364">
                  <c:v>730000</c:v>
                </c:pt>
                <c:pt idx="365">
                  <c:v>732000</c:v>
                </c:pt>
                <c:pt idx="366">
                  <c:v>734000</c:v>
                </c:pt>
                <c:pt idx="367">
                  <c:v>736000</c:v>
                </c:pt>
                <c:pt idx="368">
                  <c:v>738000</c:v>
                </c:pt>
                <c:pt idx="369">
                  <c:v>740000</c:v>
                </c:pt>
                <c:pt idx="370">
                  <c:v>742000</c:v>
                </c:pt>
                <c:pt idx="371">
                  <c:v>744000</c:v>
                </c:pt>
                <c:pt idx="372">
                  <c:v>746000</c:v>
                </c:pt>
                <c:pt idx="373">
                  <c:v>748000</c:v>
                </c:pt>
                <c:pt idx="374">
                  <c:v>750000</c:v>
                </c:pt>
                <c:pt idx="375">
                  <c:v>752000</c:v>
                </c:pt>
                <c:pt idx="376">
                  <c:v>754000</c:v>
                </c:pt>
                <c:pt idx="377">
                  <c:v>756000</c:v>
                </c:pt>
                <c:pt idx="378">
                  <c:v>758000</c:v>
                </c:pt>
                <c:pt idx="379">
                  <c:v>760000</c:v>
                </c:pt>
                <c:pt idx="380">
                  <c:v>762000</c:v>
                </c:pt>
                <c:pt idx="381">
                  <c:v>764000</c:v>
                </c:pt>
                <c:pt idx="382">
                  <c:v>766000</c:v>
                </c:pt>
                <c:pt idx="383">
                  <c:v>768000</c:v>
                </c:pt>
                <c:pt idx="384">
                  <c:v>770000</c:v>
                </c:pt>
                <c:pt idx="385">
                  <c:v>772000</c:v>
                </c:pt>
                <c:pt idx="386">
                  <c:v>774000</c:v>
                </c:pt>
                <c:pt idx="387">
                  <c:v>776000</c:v>
                </c:pt>
                <c:pt idx="388">
                  <c:v>778000</c:v>
                </c:pt>
                <c:pt idx="389">
                  <c:v>780000</c:v>
                </c:pt>
                <c:pt idx="390">
                  <c:v>782000</c:v>
                </c:pt>
                <c:pt idx="391">
                  <c:v>784000</c:v>
                </c:pt>
                <c:pt idx="392">
                  <c:v>786000</c:v>
                </c:pt>
                <c:pt idx="393">
                  <c:v>788000</c:v>
                </c:pt>
                <c:pt idx="394">
                  <c:v>790000</c:v>
                </c:pt>
                <c:pt idx="395">
                  <c:v>792000</c:v>
                </c:pt>
                <c:pt idx="396">
                  <c:v>794000</c:v>
                </c:pt>
                <c:pt idx="397">
                  <c:v>796000</c:v>
                </c:pt>
                <c:pt idx="398">
                  <c:v>798000</c:v>
                </c:pt>
                <c:pt idx="399">
                  <c:v>800000</c:v>
                </c:pt>
                <c:pt idx="400">
                  <c:v>802000</c:v>
                </c:pt>
                <c:pt idx="401">
                  <c:v>804000</c:v>
                </c:pt>
                <c:pt idx="402">
                  <c:v>806000</c:v>
                </c:pt>
                <c:pt idx="403">
                  <c:v>808000</c:v>
                </c:pt>
                <c:pt idx="404">
                  <c:v>810000</c:v>
                </c:pt>
                <c:pt idx="405">
                  <c:v>812000</c:v>
                </c:pt>
                <c:pt idx="406">
                  <c:v>814000</c:v>
                </c:pt>
                <c:pt idx="407">
                  <c:v>816000</c:v>
                </c:pt>
                <c:pt idx="408">
                  <c:v>818000</c:v>
                </c:pt>
                <c:pt idx="409">
                  <c:v>820000</c:v>
                </c:pt>
                <c:pt idx="410">
                  <c:v>822000</c:v>
                </c:pt>
                <c:pt idx="411">
                  <c:v>824000</c:v>
                </c:pt>
                <c:pt idx="412">
                  <c:v>826000</c:v>
                </c:pt>
                <c:pt idx="413">
                  <c:v>828000</c:v>
                </c:pt>
                <c:pt idx="414">
                  <c:v>830000</c:v>
                </c:pt>
                <c:pt idx="415">
                  <c:v>832000</c:v>
                </c:pt>
                <c:pt idx="416">
                  <c:v>834000</c:v>
                </c:pt>
                <c:pt idx="417">
                  <c:v>836000</c:v>
                </c:pt>
                <c:pt idx="418">
                  <c:v>838000</c:v>
                </c:pt>
                <c:pt idx="419">
                  <c:v>840000</c:v>
                </c:pt>
                <c:pt idx="420">
                  <c:v>842000</c:v>
                </c:pt>
                <c:pt idx="421">
                  <c:v>844000</c:v>
                </c:pt>
                <c:pt idx="422">
                  <c:v>846000</c:v>
                </c:pt>
                <c:pt idx="423">
                  <c:v>848000</c:v>
                </c:pt>
                <c:pt idx="424">
                  <c:v>850000</c:v>
                </c:pt>
                <c:pt idx="425">
                  <c:v>852000</c:v>
                </c:pt>
                <c:pt idx="426">
                  <c:v>854000</c:v>
                </c:pt>
                <c:pt idx="427">
                  <c:v>856000</c:v>
                </c:pt>
                <c:pt idx="428">
                  <c:v>858000</c:v>
                </c:pt>
                <c:pt idx="429">
                  <c:v>860000</c:v>
                </c:pt>
                <c:pt idx="430">
                  <c:v>862000</c:v>
                </c:pt>
                <c:pt idx="431">
                  <c:v>864000</c:v>
                </c:pt>
                <c:pt idx="432">
                  <c:v>866000</c:v>
                </c:pt>
                <c:pt idx="433">
                  <c:v>868000</c:v>
                </c:pt>
                <c:pt idx="434">
                  <c:v>870000</c:v>
                </c:pt>
                <c:pt idx="435">
                  <c:v>872000</c:v>
                </c:pt>
                <c:pt idx="436">
                  <c:v>874000</c:v>
                </c:pt>
                <c:pt idx="437">
                  <c:v>876000</c:v>
                </c:pt>
                <c:pt idx="438">
                  <c:v>878000</c:v>
                </c:pt>
                <c:pt idx="439">
                  <c:v>880000</c:v>
                </c:pt>
                <c:pt idx="440">
                  <c:v>882000</c:v>
                </c:pt>
                <c:pt idx="441">
                  <c:v>884000</c:v>
                </c:pt>
                <c:pt idx="442">
                  <c:v>886000</c:v>
                </c:pt>
                <c:pt idx="443">
                  <c:v>888000</c:v>
                </c:pt>
                <c:pt idx="444">
                  <c:v>890000</c:v>
                </c:pt>
                <c:pt idx="445">
                  <c:v>892000</c:v>
                </c:pt>
                <c:pt idx="446">
                  <c:v>894000</c:v>
                </c:pt>
                <c:pt idx="447">
                  <c:v>896000</c:v>
                </c:pt>
                <c:pt idx="448">
                  <c:v>898000</c:v>
                </c:pt>
                <c:pt idx="449">
                  <c:v>900000</c:v>
                </c:pt>
                <c:pt idx="450">
                  <c:v>902000</c:v>
                </c:pt>
                <c:pt idx="451">
                  <c:v>904000</c:v>
                </c:pt>
                <c:pt idx="452">
                  <c:v>906000</c:v>
                </c:pt>
                <c:pt idx="453">
                  <c:v>908000</c:v>
                </c:pt>
                <c:pt idx="454">
                  <c:v>910000</c:v>
                </c:pt>
                <c:pt idx="455">
                  <c:v>912000</c:v>
                </c:pt>
                <c:pt idx="456">
                  <c:v>914000</c:v>
                </c:pt>
                <c:pt idx="457">
                  <c:v>916000</c:v>
                </c:pt>
                <c:pt idx="458">
                  <c:v>918000</c:v>
                </c:pt>
                <c:pt idx="459">
                  <c:v>920000</c:v>
                </c:pt>
                <c:pt idx="460">
                  <c:v>922000</c:v>
                </c:pt>
                <c:pt idx="461">
                  <c:v>924000</c:v>
                </c:pt>
                <c:pt idx="462">
                  <c:v>926000</c:v>
                </c:pt>
                <c:pt idx="463">
                  <c:v>928000</c:v>
                </c:pt>
                <c:pt idx="464">
                  <c:v>930000</c:v>
                </c:pt>
                <c:pt idx="465">
                  <c:v>932000</c:v>
                </c:pt>
                <c:pt idx="466">
                  <c:v>934000</c:v>
                </c:pt>
                <c:pt idx="467">
                  <c:v>936000</c:v>
                </c:pt>
                <c:pt idx="468">
                  <c:v>938000</c:v>
                </c:pt>
                <c:pt idx="469">
                  <c:v>940000</c:v>
                </c:pt>
                <c:pt idx="470">
                  <c:v>942000</c:v>
                </c:pt>
                <c:pt idx="471">
                  <c:v>944000</c:v>
                </c:pt>
                <c:pt idx="472">
                  <c:v>946000</c:v>
                </c:pt>
                <c:pt idx="473">
                  <c:v>948000</c:v>
                </c:pt>
                <c:pt idx="474">
                  <c:v>950000</c:v>
                </c:pt>
                <c:pt idx="475">
                  <c:v>952000</c:v>
                </c:pt>
                <c:pt idx="476">
                  <c:v>954000</c:v>
                </c:pt>
                <c:pt idx="477">
                  <c:v>956000</c:v>
                </c:pt>
                <c:pt idx="478">
                  <c:v>958000</c:v>
                </c:pt>
                <c:pt idx="479">
                  <c:v>960000</c:v>
                </c:pt>
                <c:pt idx="480">
                  <c:v>962000</c:v>
                </c:pt>
                <c:pt idx="481">
                  <c:v>964000</c:v>
                </c:pt>
                <c:pt idx="482">
                  <c:v>966000</c:v>
                </c:pt>
                <c:pt idx="483">
                  <c:v>968000</c:v>
                </c:pt>
                <c:pt idx="484">
                  <c:v>970000</c:v>
                </c:pt>
                <c:pt idx="485">
                  <c:v>972000</c:v>
                </c:pt>
                <c:pt idx="486">
                  <c:v>974000</c:v>
                </c:pt>
                <c:pt idx="487">
                  <c:v>976000</c:v>
                </c:pt>
                <c:pt idx="488">
                  <c:v>978000</c:v>
                </c:pt>
                <c:pt idx="489">
                  <c:v>980000</c:v>
                </c:pt>
                <c:pt idx="490">
                  <c:v>982000</c:v>
                </c:pt>
                <c:pt idx="491">
                  <c:v>984000</c:v>
                </c:pt>
                <c:pt idx="492">
                  <c:v>986000</c:v>
                </c:pt>
                <c:pt idx="493">
                  <c:v>988000</c:v>
                </c:pt>
                <c:pt idx="494">
                  <c:v>990000</c:v>
                </c:pt>
                <c:pt idx="495">
                  <c:v>992000</c:v>
                </c:pt>
                <c:pt idx="496">
                  <c:v>994000</c:v>
                </c:pt>
                <c:pt idx="497">
                  <c:v>996000</c:v>
                </c:pt>
                <c:pt idx="498">
                  <c:v>998000</c:v>
                </c:pt>
                <c:pt idx="499">
                  <c:v>1000000</c:v>
                </c:pt>
              </c:numCache>
            </c:numRef>
          </c:xVal>
          <c:yVal>
            <c:numRef>
              <c:f>cost_scaling_DAC!$M$77:$M$576</c:f>
              <c:numCache>
                <c:formatCode>0</c:formatCode>
                <c:ptCount val="500"/>
                <c:pt idx="0">
                  <c:v>5904.4811035258554</c:v>
                </c:pt>
                <c:pt idx="1">
                  <c:v>4823.5381815116152</c:v>
                </c:pt>
                <c:pt idx="2">
                  <c:v>4285.4520883572413</c:v>
                </c:pt>
                <c:pt idx="3">
                  <c:v>3940.4852315653634</c:v>
                </c:pt>
                <c:pt idx="4">
                  <c:v>3692.1493590958908</c:v>
                </c:pt>
                <c:pt idx="5">
                  <c:v>3500.9074312874254</c:v>
                </c:pt>
                <c:pt idx="6">
                  <c:v>3346.9637684374902</c:v>
                </c:pt>
                <c:pt idx="7">
                  <c:v>3219.0942158809025</c:v>
                </c:pt>
                <c:pt idx="8">
                  <c:v>3110.3663945403669</c:v>
                </c:pt>
                <c:pt idx="9">
                  <c:v>3016.2215939361563</c:v>
                </c:pt>
                <c:pt idx="10">
                  <c:v>2933.5144589949996</c:v>
                </c:pt>
                <c:pt idx="11">
                  <c:v>2859.9906357001869</c:v>
                </c:pt>
                <c:pt idx="12">
                  <c:v>2793.9836600866247</c:v>
                </c:pt>
                <c:pt idx="13">
                  <c:v>2734.2296886264467</c:v>
                </c:pt>
                <c:pt idx="14">
                  <c:v>2679.7493131133788</c:v>
                </c:pt>
                <c:pt idx="15">
                  <c:v>2629.7694222295904</c:v>
                </c:pt>
                <c:pt idx="16">
                  <c:v>2583.6699435153505</c:v>
                </c:pt>
                <c:pt idx="17">
                  <c:v>2540.9465793017907</c:v>
                </c:pt>
                <c:pt idx="18">
                  <c:v>2501.1841315526549</c:v>
                </c:pt>
                <c:pt idx="19">
                  <c:v>2464.0370198768242</c:v>
                </c:pt>
                <c:pt idx="20">
                  <c:v>2429.2147979847723</c:v>
                </c:pt>
                <c:pt idx="21">
                  <c:v>2396.4712141307659</c:v>
                </c:pt>
                <c:pt idx="22">
                  <c:v>2365.5958299424992</c:v>
                </c:pt>
                <c:pt idx="23">
                  <c:v>2336.4075162892286</c:v>
                </c:pt>
                <c:pt idx="24">
                  <c:v>2308.7493466160599</c:v>
                </c:pt>
                <c:pt idx="25">
                  <c:v>2282.4845446452009</c:v>
                </c:pt>
                <c:pt idx="26">
                  <c:v>2257.493237310829</c:v>
                </c:pt>
                <c:pt idx="27">
                  <c:v>2233.6698295531314</c:v>
                </c:pt>
                <c:pt idx="28">
                  <c:v>2210.9208643066686</c:v>
                </c:pt>
                <c:pt idx="29">
                  <c:v>2189.1632646538969</c:v>
                </c:pt>
                <c:pt idx="30">
                  <c:v>2168.3228796435319</c:v>
                </c:pt>
                <c:pt idx="31">
                  <c:v>2148.3332733712132</c:v>
                </c:pt>
                <c:pt idx="32">
                  <c:v>2129.1347104183742</c:v>
                </c:pt>
                <c:pt idx="33">
                  <c:v>2110.6733009151849</c:v>
                </c:pt>
                <c:pt idx="34">
                  <c:v>2092.9002762282335</c:v>
                </c:pt>
                <c:pt idx="35">
                  <c:v>2075.7713722082453</c:v>
                </c:pt>
                <c:pt idx="36">
                  <c:v>2059.246301524402</c:v>
                </c:pt>
                <c:pt idx="37">
                  <c:v>2043.2883001913351</c:v>
                </c:pt>
                <c:pt idx="38">
                  <c:v>2027.8637362060963</c:v>
                </c:pt>
                <c:pt idx="39">
                  <c:v>2012.9417704354439</c:v>
                </c:pt>
                <c:pt idx="40">
                  <c:v>1998.4940616631291</c:v>
                </c:pt>
                <c:pt idx="41">
                  <c:v>1984.4945091238478</c:v>
                </c:pt>
                <c:pt idx="42">
                  <c:v>1970.9190269918763</c:v>
                </c:pt>
                <c:pt idx="43">
                  <c:v>1957.7453462168799</c:v>
                </c:pt>
                <c:pt idx="44">
                  <c:v>1944.9528398520893</c:v>
                </c:pt>
                <c:pt idx="45">
                  <c:v>1932.5223686360023</c:v>
                </c:pt>
                <c:pt idx="46">
                  <c:v>1920.4361440951673</c:v>
                </c:pt>
                <c:pt idx="47">
                  <c:v>1908.6776068539023</c:v>
                </c:pt>
                <c:pt idx="48">
                  <c:v>1897.2313181837308</c:v>
                </c:pt>
                <c:pt idx="49">
                  <c:v>1886.0828631143397</c:v>
                </c:pt>
                <c:pt idx="50">
                  <c:v>1875.2187636695028</c:v>
                </c:pt>
                <c:pt idx="51">
                  <c:v>1864.626400994302</c:v>
                </c:pt>
                <c:pt idx="52">
                  <c:v>1854.2939453108695</c:v>
                </c:pt>
                <c:pt idx="53">
                  <c:v>1844.2102927843446</c:v>
                </c:pt>
                <c:pt idx="54">
                  <c:v>1834.3650085033228</c:v>
                </c:pt>
                <c:pt idx="55">
                  <c:v>1824.7482748833384</c:v>
                </c:pt>
                <c:pt idx="56">
                  <c:v>1815.3508448909511</c:v>
                </c:pt>
                <c:pt idx="57">
                  <c:v>1806.1639995622318</c:v>
                </c:pt>
                <c:pt idx="58">
                  <c:v>1797.1795093548549</c:v>
                </c:pt>
                <c:pt idx="59">
                  <c:v>1788.3895989293769</c:v>
                </c:pt>
                <c:pt idx="60">
                  <c:v>1779.7869150038809</c:v>
                </c:pt>
                <c:pt idx="61">
                  <c:v>1771.36449696828</c:v>
                </c:pt>
                <c:pt idx="62">
                  <c:v>1763.1157499810893</c:v>
                </c:pt>
                <c:pt idx="63">
                  <c:v>1755.0344203032305</c:v>
                </c:pt>
                <c:pt idx="64">
                  <c:v>1747.1145726511254</c:v>
                </c:pt>
                <c:pt idx="65">
                  <c:v>1739.3505693755217</c:v>
                </c:pt>
                <c:pt idx="66">
                  <c:v>1731.737051293677</c:v>
                </c:pt>
                <c:pt idx="67">
                  <c:v>1724.2689200211055</c:v>
                </c:pt>
                <c:pt idx="68">
                  <c:v>1716.9413216654341</c:v>
                </c:pt>
                <c:pt idx="69">
                  <c:v>1709.7496317593027</c:v>
                </c:pt>
                <c:pt idx="70">
                  <c:v>1702.68944132195</c:v>
                </c:pt>
                <c:pt idx="71">
                  <c:v>1695.756543950363</c:v>
                </c:pt>
                <c:pt idx="72">
                  <c:v>1688.946923850807</c:v>
                </c:pt>
                <c:pt idx="73">
                  <c:v>1682.2567447303952</c:v>
                </c:pt>
                <c:pt idx="74">
                  <c:v>1675.6823394761984</c:v>
                </c:pt>
                <c:pt idx="75">
                  <c:v>1669.220200556395</c:v>
                </c:pt>
                <c:pt idx="76">
                  <c:v>1662.8669710841723</c:v>
                </c:pt>
                <c:pt idx="77">
                  <c:v>1656.6194364906855</c:v>
                </c:pt>
                <c:pt idx="78">
                  <c:v>1650.4745167583369</c:v>
                </c:pt>
                <c:pt idx="79">
                  <c:v>1644.429259170113</c:v>
                </c:pt>
                <c:pt idx="80">
                  <c:v>1638.4808315347129</c:v>
                </c:pt>
                <c:pt idx="81">
                  <c:v>1632.6265158508047</c:v>
                </c:pt>
                <c:pt idx="82">
                  <c:v>1626.8637023769752</c:v>
                </c:pt>
                <c:pt idx="83">
                  <c:v>1621.1898840768497</c:v>
                </c:pt>
                <c:pt idx="84">
                  <c:v>1615.6026514115074</c:v>
                </c:pt>
                <c:pt idx="85">
                  <c:v>1610.0996874536629</c:v>
                </c:pt>
                <c:pt idx="86">
                  <c:v>1604.6787633002575</c:v>
                </c:pt>
                <c:pt idx="87">
                  <c:v>1599.3377337620343</c:v>
                </c:pt>
                <c:pt idx="88">
                  <c:v>1594.0745333104342</c:v>
                </c:pt>
                <c:pt idx="89">
                  <c:v>1588.8871722637596</c:v>
                </c:pt>
                <c:pt idx="90">
                  <c:v>1583.7737331959866</c:v>
                </c:pt>
                <c:pt idx="91">
                  <c:v>1578.7323675529487</c:v>
                </c:pt>
                <c:pt idx="92">
                  <c:v>1573.7612924618061</c:v>
                </c:pt>
                <c:pt idx="93">
                  <c:v>1568.8587877208065</c:v>
                </c:pt>
                <c:pt idx="94">
                  <c:v>1564.023192957367</c:v>
                </c:pt>
                <c:pt idx="95">
                  <c:v>1559.2529049433851</c:v>
                </c:pt>
                <c:pt idx="96">
                  <c:v>1554.5463750575614</c:v>
                </c:pt>
                <c:pt idx="97">
                  <c:v>1549.9021068852448</c:v>
                </c:pt>
                <c:pt idx="98">
                  <c:v>1545.3186539470405</c:v>
                </c:pt>
                <c:pt idx="99">
                  <c:v>1540.7946175480427</c:v>
                </c:pt>
                <c:pt idx="100">
                  <c:v>1536.3286447401545</c:v>
                </c:pt>
                <c:pt idx="101">
                  <c:v>1531.919426390496</c:v>
                </c:pt>
                <c:pt idx="102">
                  <c:v>1527.5656953493933</c:v>
                </c:pt>
                <c:pt idx="103">
                  <c:v>1523.2662247119038</c:v>
                </c:pt>
                <c:pt idx="104">
                  <c:v>1519.0198261672624</c:v>
                </c:pt>
                <c:pt idx="105">
                  <c:v>1514.8253484309969</c:v>
                </c:pt>
                <c:pt idx="106">
                  <c:v>1510.6816757548511</c:v>
                </c:pt>
                <c:pt idx="107">
                  <c:v>1506.5877265099539</c:v>
                </c:pt>
                <c:pt idx="108">
                  <c:v>1502.5424518390053</c:v>
                </c:pt>
                <c:pt idx="109">
                  <c:v>1498.5448343735075</c:v>
                </c:pt>
                <c:pt idx="110">
                  <c:v>1494.5938870123496</c:v>
                </c:pt>
                <c:pt idx="111">
                  <c:v>1490.6886517582861</c:v>
                </c:pt>
                <c:pt idx="112">
                  <c:v>1486.8281986090738</c:v>
                </c:pt>
                <c:pt idx="113">
                  <c:v>1483.0116245002446</c:v>
                </c:pt>
                <c:pt idx="114">
                  <c:v>1479.2380522966748</c:v>
                </c:pt>
                <c:pt idx="115">
                  <c:v>1475.5066298303047</c:v>
                </c:pt>
                <c:pt idx="116">
                  <c:v>1471.8165289815088</c:v>
                </c:pt>
                <c:pt idx="117">
                  <c:v>1468.1669448017897</c:v>
                </c:pt>
                <c:pt idx="118">
                  <c:v>1464.5570946756015</c:v>
                </c:pt>
                <c:pt idx="119">
                  <c:v>1460.986217519245</c:v>
                </c:pt>
                <c:pt idx="120">
                  <c:v>1457.4535730149009</c:v>
                </c:pt>
                <c:pt idx="121">
                  <c:v>1453.958440877987</c:v>
                </c:pt>
                <c:pt idx="122">
                  <c:v>1450.5001201561215</c:v>
                </c:pt>
                <c:pt idx="123">
                  <c:v>1447.0779285580959</c:v>
                </c:pt>
                <c:pt idx="124">
                  <c:v>1443.6912018113317</c:v>
                </c:pt>
                <c:pt idx="125">
                  <c:v>1440.3392930464024</c:v>
                </c:pt>
                <c:pt idx="126">
                  <c:v>1437.0215722072696</c:v>
                </c:pt>
                <c:pt idx="127">
                  <c:v>1433.7374254859733</c:v>
                </c:pt>
                <c:pt idx="128">
                  <c:v>1430.4862547805719</c:v>
                </c:pt>
                <c:pt idx="129">
                  <c:v>1427.2674771752111</c:v>
                </c:pt>
                <c:pt idx="130">
                  <c:v>1424.0805244412509</c:v>
                </c:pt>
                <c:pt idx="131">
                  <c:v>1420.9248425584465</c:v>
                </c:pt>
                <c:pt idx="132">
                  <c:v>1417.7998912552314</c:v>
                </c:pt>
                <c:pt idx="133">
                  <c:v>1414.7051435672045</c:v>
                </c:pt>
                <c:pt idx="134">
                  <c:v>1411.6400854129665</c:v>
                </c:pt>
                <c:pt idx="135">
                  <c:v>1408.6042151865074</c:v>
                </c:pt>
                <c:pt idx="136">
                  <c:v>1405.5970433653779</c:v>
                </c:pt>
                <c:pt idx="137">
                  <c:v>1402.6180921339237</c:v>
                </c:pt>
                <c:pt idx="138">
                  <c:v>1399.6668950209005</c:v>
                </c:pt>
                <c:pt idx="139">
                  <c:v>1396.7429965508243</c:v>
                </c:pt>
                <c:pt idx="140">
                  <c:v>1393.8459519084352</c:v>
                </c:pt>
                <c:pt idx="141">
                  <c:v>1390.9753266157004</c:v>
                </c:pt>
                <c:pt idx="142">
                  <c:v>1388.1306962207966</c:v>
                </c:pt>
                <c:pt idx="143">
                  <c:v>1385.3116459985533</c:v>
                </c:pt>
                <c:pt idx="144">
                  <c:v>1382.517770661852</c:v>
                </c:pt>
                <c:pt idx="145">
                  <c:v>1379.7486740835136</c:v>
                </c:pt>
                <c:pt idx="146">
                  <c:v>1377.003969028221</c:v>
                </c:pt>
                <c:pt idx="147">
                  <c:v>1374.2832768940484</c:v>
                </c:pt>
                <c:pt idx="148">
                  <c:v>1371.5862274631963</c:v>
                </c:pt>
                <c:pt idx="149">
                  <c:v>1368.9124586615351</c:v>
                </c:pt>
                <c:pt idx="150">
                  <c:v>1366.2616163266009</c:v>
                </c:pt>
                <c:pt idx="151">
                  <c:v>1363.6333539836844</c:v>
                </c:pt>
                <c:pt idx="152">
                  <c:v>1361.0273326296817</c:v>
                </c:pt>
                <c:pt idx="153">
                  <c:v>1358.4432205243916</c:v>
                </c:pt>
                <c:pt idx="154">
                  <c:v>1355.880692988954</c:v>
                </c:pt>
                <c:pt idx="155">
                  <c:v>1353.3394322111387</c:v>
                </c:pt>
                <c:pt idx="156">
                  <c:v>1350.8191270572165</c:v>
                </c:pt>
                <c:pt idx="157">
                  <c:v>1348.3194728901399</c:v>
                </c:pt>
                <c:pt idx="158">
                  <c:v>1345.840171393794</c:v>
                </c:pt>
                <c:pt idx="159">
                  <c:v>1343.3809304030685</c:v>
                </c:pt>
                <c:pt idx="160">
                  <c:v>1340.9414637395305</c:v>
                </c:pt>
                <c:pt idx="161">
                  <c:v>1338.5214910524746</c:v>
                </c:pt>
                <c:pt idx="162">
                  <c:v>1336.1207376651455</c:v>
                </c:pt>
                <c:pt idx="163">
                  <c:v>1333.7389344259341</c:v>
                </c:pt>
                <c:pt idx="164">
                  <c:v>1331.3758175643536</c:v>
                </c:pt>
                <c:pt idx="165">
                  <c:v>1329.0311285516211</c:v>
                </c:pt>
                <c:pt idx="166">
                  <c:v>1326.7046139656609</c:v>
                </c:pt>
                <c:pt idx="167">
                  <c:v>1324.3960253603736</c:v>
                </c:pt>
                <c:pt idx="168">
                  <c:v>1322.1051191390043</c:v>
                </c:pt>
                <c:pt idx="169">
                  <c:v>1319.8316564314637</c:v>
                </c:pt>
                <c:pt idx="170">
                  <c:v>1317.5754029754503</c:v>
                </c:pt>
                <c:pt idx="171">
                  <c:v>1315.3361290012388</c:v>
                </c:pt>
                <c:pt idx="172">
                  <c:v>1313.1136091200028</c:v>
                </c:pt>
                <c:pt idx="173">
                  <c:v>1310.9076222155343</c:v>
                </c:pt>
                <c:pt idx="174">
                  <c:v>1308.7179513392518</c:v>
                </c:pt>
                <c:pt idx="175">
                  <c:v>1306.5443836083657</c:v>
                </c:pt>
                <c:pt idx="176">
                  <c:v>1304.386710107096</c:v>
                </c:pt>
                <c:pt idx="177">
                  <c:v>1302.2447257908343</c:v>
                </c:pt>
                <c:pt idx="178">
                  <c:v>1300.1182293931431</c:v>
                </c:pt>
                <c:pt idx="179">
                  <c:v>1298.0070233354941</c:v>
                </c:pt>
                <c:pt idx="180">
                  <c:v>1295.9109136396523</c:v>
                </c:pt>
                <c:pt idx="181">
                  <c:v>1293.8297098426101</c:v>
                </c:pt>
                <c:pt idx="182">
                  <c:v>1291.7632249139901</c:v>
                </c:pt>
                <c:pt idx="183">
                  <c:v>1289.7112751758225</c:v>
                </c:pt>
                <c:pt idx="184">
                  <c:v>1287.6736802246269</c:v>
                </c:pt>
                <c:pt idx="185">
                  <c:v>1285.65026285571</c:v>
                </c:pt>
                <c:pt idx="186">
                  <c:v>1283.640848989616</c:v>
                </c:pt>
                <c:pt idx="187">
                  <c:v>1281.6452676006436</c:v>
                </c:pt>
                <c:pt idx="188">
                  <c:v>1279.6633506473745</c:v>
                </c:pt>
                <c:pt idx="189">
                  <c:v>1277.6949330051375</c:v>
                </c:pt>
                <c:pt idx="190">
                  <c:v>1275.7398524003472</c:v>
                </c:pt>
                <c:pt idx="191">
                  <c:v>1273.7979493466569</c:v>
                </c:pt>
                <c:pt idx="192">
                  <c:v>1271.8690670828637</c:v>
                </c:pt>
                <c:pt idx="193">
                  <c:v>1269.953051512512</c:v>
                </c:pt>
                <c:pt idx="194">
                  <c:v>1268.0497511451388</c:v>
                </c:pt>
                <c:pt idx="195">
                  <c:v>1266.1590170391069</c:v>
                </c:pt>
                <c:pt idx="196">
                  <c:v>1264.2807027459771</c:v>
                </c:pt>
                <c:pt idx="197">
                  <c:v>1262.4146642563724</c:v>
                </c:pt>
                <c:pt idx="198">
                  <c:v>1260.5607599472778</c:v>
                </c:pt>
                <c:pt idx="199">
                  <c:v>1258.7188505307452</c:v>
                </c:pt>
                <c:pt idx="200">
                  <c:v>1256.8887990039448</c:v>
                </c:pt>
                <c:pt idx="201">
                  <c:v>1255.0704706005297</c:v>
                </c:pt>
                <c:pt idx="202">
                  <c:v>1253.2637327432708</c:v>
                </c:pt>
                <c:pt idx="203">
                  <c:v>1251.4684549979227</c:v>
                </c:pt>
                <c:pt idx="204">
                  <c:v>1249.6845090282798</c:v>
                </c:pt>
                <c:pt idx="205">
                  <c:v>1247.9117685523934</c:v>
                </c:pt>
                <c:pt idx="206">
                  <c:v>1246.1501092999065</c:v>
                </c:pt>
                <c:pt idx="207">
                  <c:v>1244.3994089704765</c:v>
                </c:pt>
                <c:pt idx="208">
                  <c:v>1242.659547193254</c:v>
                </c:pt>
                <c:pt idx="209">
                  <c:v>1240.9304054873826</c:v>
                </c:pt>
                <c:pt idx="210">
                  <c:v>1239.2118672234919</c:v>
                </c:pt>
                <c:pt idx="211">
                  <c:v>1237.5038175861537</c:v>
                </c:pt>
                <c:pt idx="212">
                  <c:v>1235.8061435372706</c:v>
                </c:pt>
                <c:pt idx="213">
                  <c:v>1234.1187337803742</c:v>
                </c:pt>
                <c:pt idx="214">
                  <c:v>1232.4414787258004</c:v>
                </c:pt>
                <c:pt idx="215">
                  <c:v>1230.7742704567231</c:v>
                </c:pt>
                <c:pt idx="216">
                  <c:v>1229.1170026960128</c:v>
                </c:pt>
                <c:pt idx="217">
                  <c:v>1227.4695707739061</c:v>
                </c:pt>
                <c:pt idx="218">
                  <c:v>1225.8318715964517</c:v>
                </c:pt>
                <c:pt idx="219">
                  <c:v>1224.2038036147237</c:v>
                </c:pt>
                <c:pt idx="220">
                  <c:v>1222.5852667947674</c:v>
                </c:pt>
                <c:pt idx="221">
                  <c:v>1220.9761625882654</c:v>
                </c:pt>
                <c:pt idx="222">
                  <c:v>1219.3763939039002</c:v>
                </c:pt>
                <c:pt idx="223">
                  <c:v>1217.7858650793937</c:v>
                </c:pt>
                <c:pt idx="224">
                  <c:v>1216.2044818542076</c:v>
                </c:pt>
                <c:pt idx="225">
                  <c:v>1214.632151342882</c:v>
                </c:pt>
                <c:pt idx="226">
                  <c:v>1213.0687820089968</c:v>
                </c:pt>
                <c:pt idx="227">
                  <c:v>1211.5142836397379</c:v>
                </c:pt>
                <c:pt idx="228">
                  <c:v>1209.9685673210547</c:v>
                </c:pt>
                <c:pt idx="229">
                  <c:v>1208.4315454133864</c:v>
                </c:pt>
                <c:pt idx="230">
                  <c:v>1206.9031315279476</c:v>
                </c:pt>
                <c:pt idx="231">
                  <c:v>1205.3832405035548</c:v>
                </c:pt>
                <c:pt idx="232">
                  <c:v>1203.8717883839804</c:v>
                </c:pt>
                <c:pt idx="233">
                  <c:v>1202.3686923958189</c:v>
                </c:pt>
                <c:pt idx="234">
                  <c:v>1200.8738709268539</c:v>
                </c:pt>
                <c:pt idx="235">
                  <c:v>1199.3872435049072</c:v>
                </c:pt>
                <c:pt idx="236">
                  <c:v>1197.9087307771672</c:v>
                </c:pt>
                <c:pt idx="237">
                  <c:v>1196.4382544899702</c:v>
                </c:pt>
                <c:pt idx="238">
                  <c:v>1194.9757374690348</c:v>
                </c:pt>
                <c:pt idx="239">
                  <c:v>1193.5211036001333</c:v>
                </c:pt>
                <c:pt idx="240">
                  <c:v>1192.0742778101842</c:v>
                </c:pt>
                <c:pt idx="241">
                  <c:v>1190.6351860487614</c:v>
                </c:pt>
                <c:pt idx="242">
                  <c:v>1189.2037552700074</c:v>
                </c:pt>
                <c:pt idx="243">
                  <c:v>1187.7799134149368</c:v>
                </c:pt>
                <c:pt idx="244">
                  <c:v>1186.3635893941241</c:v>
                </c:pt>
                <c:pt idx="245">
                  <c:v>1184.954713070766</c:v>
                </c:pt>
                <c:pt idx="246">
                  <c:v>1183.5532152441024</c:v>
                </c:pt>
                <c:pt idx="247">
                  <c:v>1182.1590276331976</c:v>
                </c:pt>
                <c:pt idx="248">
                  <c:v>1180.7720828610613</c:v>
                </c:pt>
                <c:pt idx="249">
                  <c:v>1179.3923144391104</c:v>
                </c:pt>
                <c:pt idx="250">
                  <c:v>1178.0196567519558</c:v>
                </c:pt>
                <c:pt idx="251">
                  <c:v>1176.6540450425116</c:v>
                </c:pt>
                <c:pt idx="252">
                  <c:v>1175.2954153974131</c:v>
                </c:pt>
                <c:pt idx="253">
                  <c:v>1173.9437047327428</c:v>
                </c:pt>
                <c:pt idx="254">
                  <c:v>1172.5988507800503</c:v>
                </c:pt>
                <c:pt idx="255">
                  <c:v>1171.2607920726616</c:v>
                </c:pt>
                <c:pt idx="256">
                  <c:v>1169.9294679322734</c:v>
                </c:pt>
                <c:pt idx="257">
                  <c:v>1168.6048184558181</c:v>
                </c:pt>
                <c:pt idx="258">
                  <c:v>1167.2867845026033</c:v>
                </c:pt>
                <c:pt idx="259">
                  <c:v>1165.9753076817078</c:v>
                </c:pt>
                <c:pt idx="260">
                  <c:v>1164.6703303396373</c:v>
                </c:pt>
                <c:pt idx="261">
                  <c:v>1163.3717955482282</c:v>
                </c:pt>
                <c:pt idx="262">
                  <c:v>1162.0796470927958</c:v>
                </c:pt>
                <c:pt idx="263">
                  <c:v>1160.7938294605187</c:v>
                </c:pt>
                <c:pt idx="264">
                  <c:v>1159.5142878290585</c:v>
                </c:pt>
                <c:pt idx="265">
                  <c:v>1158.2409680554038</c:v>
                </c:pt>
                <c:pt idx="266">
                  <c:v>1156.9738166649352</c:v>
                </c:pt>
                <c:pt idx="267">
                  <c:v>1155.7127808407083</c:v>
                </c:pt>
                <c:pt idx="268">
                  <c:v>1154.4578084129491</c:v>
                </c:pt>
                <c:pt idx="269">
                  <c:v>1153.208847848749</c:v>
                </c:pt>
                <c:pt idx="270">
                  <c:v>1151.96584824197</c:v>
                </c:pt>
                <c:pt idx="271">
                  <c:v>1150.7287593033398</c:v>
                </c:pt>
                <c:pt idx="272">
                  <c:v>1149.4975313507437</c:v>
                </c:pt>
                <c:pt idx="273">
                  <c:v>1148.2721152996996</c:v>
                </c:pt>
                <c:pt idx="274">
                  <c:v>1147.0524626540218</c:v>
                </c:pt>
                <c:pt idx="275">
                  <c:v>1145.8385254966599</c:v>
                </c:pt>
                <c:pt idx="276">
                  <c:v>1144.6302564807143</c:v>
                </c:pt>
                <c:pt idx="277">
                  <c:v>1143.4276088206232</c:v>
                </c:pt>
                <c:pt idx="278">
                  <c:v>1142.2305362835184</c:v>
                </c:pt>
                <c:pt idx="279">
                  <c:v>1141.0389931807401</c:v>
                </c:pt>
                <c:pt idx="280">
                  <c:v>1139.8529343595176</c:v>
                </c:pt>
                <c:pt idx="281">
                  <c:v>1138.6723151948013</c:v>
                </c:pt>
                <c:pt idx="282">
                  <c:v>1137.4970915812505</c:v>
                </c:pt>
                <c:pt idx="283">
                  <c:v>1136.3272199253709</c:v>
                </c:pt>
                <c:pt idx="284">
                  <c:v>1135.1626571377947</c:v>
                </c:pt>
                <c:pt idx="285">
                  <c:v>1134.0033606257091</c:v>
                </c:pt>
                <c:pt idx="286">
                  <c:v>1132.8492882854196</c:v>
                </c:pt>
                <c:pt idx="287">
                  <c:v>1131.7003984950536</c:v>
                </c:pt>
                <c:pt idx="288">
                  <c:v>1130.5566501073963</c:v>
                </c:pt>
                <c:pt idx="289">
                  <c:v>1129.4180024428563</c:v>
                </c:pt>
                <c:pt idx="290">
                  <c:v>1128.2844152825621</c:v>
                </c:pt>
                <c:pt idx="291">
                  <c:v>1127.1558488615817</c:v>
                </c:pt>
                <c:pt idx="292">
                  <c:v>1126.0322638622658</c:v>
                </c:pt>
                <c:pt idx="293">
                  <c:v>1124.91362140771</c:v>
                </c:pt>
                <c:pt idx="294">
                  <c:v>1123.7998830553352</c:v>
                </c:pt>
                <c:pt idx="295">
                  <c:v>1122.6910107905837</c:v>
                </c:pt>
                <c:pt idx="296">
                  <c:v>1121.5869670207248</c:v>
                </c:pt>
                <c:pt idx="297">
                  <c:v>1120.4877145687747</c:v>
                </c:pt>
                <c:pt idx="298">
                  <c:v>1119.3932166675206</c:v>
                </c:pt>
                <c:pt idx="299">
                  <c:v>1118.303436953652</c:v>
                </c:pt>
                <c:pt idx="300">
                  <c:v>1117.2183394619947</c:v>
                </c:pt>
                <c:pt idx="301">
                  <c:v>1116.1378886198474</c:v>
                </c:pt>
                <c:pt idx="302">
                  <c:v>1115.0620492414141</c:v>
                </c:pt>
                <c:pt idx="303">
                  <c:v>1113.9907865223374</c:v>
                </c:pt>
                <c:pt idx="304">
                  <c:v>1112.9240660343246</c:v>
                </c:pt>
                <c:pt idx="305">
                  <c:v>1111.8618537198663</c:v>
                </c:pt>
                <c:pt idx="306">
                  <c:v>1110.8041158870478</c:v>
                </c:pt>
                <c:pt idx="307">
                  <c:v>1109.750819204449</c:v>
                </c:pt>
                <c:pt idx="308">
                  <c:v>1108.7019306961311</c:v>
                </c:pt>
                <c:pt idx="309">
                  <c:v>1107.6574177367099</c:v>
                </c:pt>
                <c:pt idx="310">
                  <c:v>1106.6172480465134</c:v>
                </c:pt>
                <c:pt idx="311">
                  <c:v>1105.5813896868194</c:v>
                </c:pt>
                <c:pt idx="312">
                  <c:v>1104.5498110551766</c:v>
                </c:pt>
                <c:pt idx="313">
                  <c:v>1103.5224808808032</c:v>
                </c:pt>
                <c:pt idx="314">
                  <c:v>1102.4993682200616</c:v>
                </c:pt>
                <c:pt idx="315">
                  <c:v>1101.4804424520125</c:v>
                </c:pt>
                <c:pt idx="316">
                  <c:v>1100.4656732740386</c:v>
                </c:pt>
                <c:pt idx="317">
                  <c:v>1099.4550306975464</c:v>
                </c:pt>
                <c:pt idx="318">
                  <c:v>1098.4484850437345</c:v>
                </c:pt>
                <c:pt idx="319">
                  <c:v>1097.4460069394354</c:v>
                </c:pt>
                <c:pt idx="320">
                  <c:v>1096.4475673130239</c:v>
                </c:pt>
                <c:pt idx="321">
                  <c:v>1095.4531373903949</c:v>
                </c:pt>
                <c:pt idx="322">
                  <c:v>1094.4626886910046</c:v>
                </c:pt>
                <c:pt idx="323">
                  <c:v>1093.4761930239781</c:v>
                </c:pt>
                <c:pt idx="324">
                  <c:v>1092.4936224842802</c:v>
                </c:pt>
                <c:pt idx="325">
                  <c:v>1091.5149494489485</c:v>
                </c:pt>
                <c:pt idx="326">
                  <c:v>1090.5401465733862</c:v>
                </c:pt>
                <c:pt idx="327">
                  <c:v>1089.5691867877172</c:v>
                </c:pt>
                <c:pt idx="328">
                  <c:v>1088.6020432931984</c:v>
                </c:pt>
                <c:pt idx="329">
                  <c:v>1087.6386895586891</c:v>
                </c:pt>
                <c:pt idx="330">
                  <c:v>1086.6790993171774</c:v>
                </c:pt>
                <c:pt idx="331">
                  <c:v>1085.7232465623633</c:v>
                </c:pt>
                <c:pt idx="332">
                  <c:v>1084.7711055452942</c:v>
                </c:pt>
                <c:pt idx="333">
                  <c:v>1083.8226507710547</c:v>
                </c:pt>
                <c:pt idx="334">
                  <c:v>1082.8778569955089</c:v>
                </c:pt>
                <c:pt idx="335">
                  <c:v>1081.9366992220935</c:v>
                </c:pt>
                <c:pt idx="336">
                  <c:v>1080.9991526986621</c:v>
                </c:pt>
                <c:pt idx="337">
                  <c:v>1080.0651929143778</c:v>
                </c:pt>
                <c:pt idx="338">
                  <c:v>1079.134795596656</c:v>
                </c:pt>
                <c:pt idx="339">
                  <c:v>1078.2079367081524</c:v>
                </c:pt>
                <c:pt idx="340">
                  <c:v>1077.2845924438009</c:v>
                </c:pt>
                <c:pt idx="341">
                  <c:v>1076.3647392278945</c:v>
                </c:pt>
                <c:pt idx="342">
                  <c:v>1075.4483537112133</c:v>
                </c:pt>
                <c:pt idx="343">
                  <c:v>1074.5354127681953</c:v>
                </c:pt>
                <c:pt idx="344">
                  <c:v>1073.625893494152</c:v>
                </c:pt>
                <c:pt idx="345">
                  <c:v>1072.7197732025254</c:v>
                </c:pt>
                <c:pt idx="346">
                  <c:v>1071.8170294221873</c:v>
                </c:pt>
                <c:pt idx="347">
                  <c:v>1070.91763989478</c:v>
                </c:pt>
                <c:pt idx="348">
                  <c:v>1070.0215825720973</c:v>
                </c:pt>
                <c:pt idx="349">
                  <c:v>1069.1288356135051</c:v>
                </c:pt>
                <c:pt idx="350">
                  <c:v>1068.2393773834006</c:v>
                </c:pt>
                <c:pt idx="351">
                  <c:v>1067.353186448709</c:v>
                </c:pt>
                <c:pt idx="352">
                  <c:v>1066.4702415764204</c:v>
                </c:pt>
                <c:pt idx="353">
                  <c:v>1065.5905217311615</c:v>
                </c:pt>
                <c:pt idx="354">
                  <c:v>1064.7140060728027</c:v>
                </c:pt>
                <c:pt idx="355">
                  <c:v>1063.8406739541033</c:v>
                </c:pt>
                <c:pt idx="356">
                  <c:v>1062.9705049183899</c:v>
                </c:pt>
                <c:pt idx="357">
                  <c:v>1062.1034786972693</c:v>
                </c:pt>
                <c:pt idx="358">
                  <c:v>1061.2395752083762</c:v>
                </c:pt>
                <c:pt idx="359">
                  <c:v>1060.3787745531531</c:v>
                </c:pt>
                <c:pt idx="360">
                  <c:v>1059.5210570146612</c:v>
                </c:pt>
                <c:pt idx="361">
                  <c:v>1058.6664030554286</c:v>
                </c:pt>
                <c:pt idx="362">
                  <c:v>1057.8147933153227</c:v>
                </c:pt>
                <c:pt idx="363">
                  <c:v>1056.9662086094602</c:v>
                </c:pt>
                <c:pt idx="364">
                  <c:v>1056.1206299261428</c:v>
                </c:pt>
                <c:pt idx="365">
                  <c:v>1055.2780384248247</c:v>
                </c:pt>
                <c:pt idx="366">
                  <c:v>1054.4384154341094</c:v>
                </c:pt>
                <c:pt idx="367">
                  <c:v>1053.6017424497757</c:v>
                </c:pt>
                <c:pt idx="368">
                  <c:v>1052.76800113283</c:v>
                </c:pt>
                <c:pt idx="369">
                  <c:v>1051.9371733075898</c:v>
                </c:pt>
                <c:pt idx="370">
                  <c:v>1051.1092409597909</c:v>
                </c:pt>
                <c:pt idx="371">
                  <c:v>1050.284186234725</c:v>
                </c:pt>
                <c:pt idx="372">
                  <c:v>1049.4619914354005</c:v>
                </c:pt>
                <c:pt idx="373">
                  <c:v>1048.6426390207323</c:v>
                </c:pt>
                <c:pt idx="374">
                  <c:v>1047.8261116037554</c:v>
                </c:pt>
                <c:pt idx="375">
                  <c:v>1047.0123919498635</c:v>
                </c:pt>
                <c:pt idx="376">
                  <c:v>1046.201462975074</c:v>
                </c:pt>
                <c:pt idx="377">
                  <c:v>1045.3933077443151</c:v>
                </c:pt>
                <c:pt idx="378">
                  <c:v>1044.5879094697389</c:v>
                </c:pt>
                <c:pt idx="379">
                  <c:v>1043.7852515090565</c:v>
                </c:pt>
                <c:pt idx="380">
                  <c:v>1042.9853173638976</c:v>
                </c:pt>
                <c:pt idx="381">
                  <c:v>1042.1880906781907</c:v>
                </c:pt>
                <c:pt idx="382">
                  <c:v>1041.393555236569</c:v>
                </c:pt>
                <c:pt idx="383">
                  <c:v>1040.6016949627949</c:v>
                </c:pt>
                <c:pt idx="384">
                  <c:v>1039.8124939182076</c:v>
                </c:pt>
                <c:pt idx="385">
                  <c:v>1039.0259363001935</c:v>
                </c:pt>
                <c:pt idx="386">
                  <c:v>1038.2420064406742</c:v>
                </c:pt>
                <c:pt idx="387">
                  <c:v>1037.4606888046189</c:v>
                </c:pt>
                <c:pt idx="388">
                  <c:v>1036.6819679885734</c:v>
                </c:pt>
                <c:pt idx="389">
                  <c:v>1035.905828719212</c:v>
                </c:pt>
                <c:pt idx="390">
                  <c:v>1035.1322558519084</c:v>
                </c:pt>
                <c:pt idx="391">
                  <c:v>1034.361234369323</c:v>
                </c:pt>
                <c:pt idx="392">
                  <c:v>1033.592749380015</c:v>
                </c:pt>
                <c:pt idx="393">
                  <c:v>1032.8267861170664</c:v>
                </c:pt>
                <c:pt idx="394">
                  <c:v>1032.06332993673</c:v>
                </c:pt>
                <c:pt idx="395">
                  <c:v>1031.3023663170934</c:v>
                </c:pt>
                <c:pt idx="396">
                  <c:v>1030.5438808567592</c:v>
                </c:pt>
                <c:pt idx="397">
                  <c:v>1029.7878592735456</c:v>
                </c:pt>
                <c:pt idx="398">
                  <c:v>1029.0342874032021</c:v>
                </c:pt>
                <c:pt idx="399">
                  <c:v>1028.2831511981442</c:v>
                </c:pt>
                <c:pt idx="400">
                  <c:v>1027.5344367262021</c:v>
                </c:pt>
                <c:pt idx="401">
                  <c:v>1026.7881301693894</c:v>
                </c:pt>
                <c:pt idx="402">
                  <c:v>1026.0442178226842</c:v>
                </c:pt>
                <c:pt idx="403">
                  <c:v>1025.3026860928285</c:v>
                </c:pt>
                <c:pt idx="404">
                  <c:v>1024.5635214971435</c:v>
                </c:pt>
                <c:pt idx="405">
                  <c:v>1023.8267106623598</c:v>
                </c:pt>
                <c:pt idx="406">
                  <c:v>1023.0922403234613</c:v>
                </c:pt>
                <c:pt idx="407">
                  <c:v>1022.3600973225467</c:v>
                </c:pt>
                <c:pt idx="408">
                  <c:v>1021.6302686077044</c:v>
                </c:pt>
                <c:pt idx="409">
                  <c:v>1020.9027412319009</c:v>
                </c:pt>
                <c:pt idx="410">
                  <c:v>1020.1775023518875</c:v>
                </c:pt>
                <c:pt idx="411">
                  <c:v>1019.4545392271148</c:v>
                </c:pt>
                <c:pt idx="412">
                  <c:v>1018.733839218667</c:v>
                </c:pt>
                <c:pt idx="413">
                  <c:v>1018.0153897882063</c:v>
                </c:pt>
                <c:pt idx="414">
                  <c:v>1017.2991784969327</c:v>
                </c:pt>
                <c:pt idx="415">
                  <c:v>1016.5851930045554</c:v>
                </c:pt>
                <c:pt idx="416">
                  <c:v>1015.8734210682783</c:v>
                </c:pt>
                <c:pt idx="417">
                  <c:v>1015.1638505417986</c:v>
                </c:pt>
                <c:pt idx="418">
                  <c:v>1014.4564693743173</c:v>
                </c:pt>
                <c:pt idx="419">
                  <c:v>1013.7512656095623</c:v>
                </c:pt>
                <c:pt idx="420">
                  <c:v>1013.048227384824</c:v>
                </c:pt>
                <c:pt idx="421">
                  <c:v>1012.3473429300038</c:v>
                </c:pt>
                <c:pt idx="422">
                  <c:v>1011.6486005666719</c:v>
                </c:pt>
                <c:pt idx="423">
                  <c:v>1010.9519887071409</c:v>
                </c:pt>
                <c:pt idx="424">
                  <c:v>1010.2574958535467</c:v>
                </c:pt>
                <c:pt idx="425">
                  <c:v>1009.5651105969445</c:v>
                </c:pt>
                <c:pt idx="426">
                  <c:v>1008.8748216164125</c:v>
                </c:pt>
                <c:pt idx="427">
                  <c:v>1008.1866176781703</c:v>
                </c:pt>
                <c:pt idx="428">
                  <c:v>1007.5004876347057</c:v>
                </c:pt>
                <c:pt idx="429">
                  <c:v>1006.8164204239124</c:v>
                </c:pt>
                <c:pt idx="430">
                  <c:v>1006.13440506824</c:v>
                </c:pt>
                <c:pt idx="431">
                  <c:v>1005.4544306738522</c:v>
                </c:pt>
                <c:pt idx="432">
                  <c:v>1004.7764864297973</c:v>
                </c:pt>
                <c:pt idx="433">
                  <c:v>1004.100561607187</c:v>
                </c:pt>
                <c:pt idx="434">
                  <c:v>1003.426645558387</c:v>
                </c:pt>
                <c:pt idx="435">
                  <c:v>1002.7547277162157</c:v>
                </c:pt>
                <c:pt idx="436">
                  <c:v>1002.084797593154</c:v>
                </c:pt>
                <c:pt idx="437">
                  <c:v>1001.4168447805646</c:v>
                </c:pt>
                <c:pt idx="438">
                  <c:v>1000.7508589479185</c:v>
                </c:pt>
                <c:pt idx="439">
                  <c:v>1000.086829842034</c:v>
                </c:pt>
                <c:pt idx="440">
                  <c:v>999.42474728632317</c:v>
                </c:pt>
                <c:pt idx="441">
                  <c:v>998.76460118004741</c:v>
                </c:pt>
                <c:pt idx="442">
                  <c:v>998.1063814975812</c:v>
                </c:pt>
                <c:pt idx="443">
                  <c:v>997.45007828768701</c:v>
                </c:pt>
                <c:pt idx="444">
                  <c:v>996.79568167279638</c:v>
                </c:pt>
                <c:pt idx="445">
                  <c:v>996.14318184830051</c:v>
                </c:pt>
                <c:pt idx="446">
                  <c:v>995.49256908184896</c:v>
                </c:pt>
                <c:pt idx="447">
                  <c:v>994.84383371265801</c:v>
                </c:pt>
                <c:pt idx="448">
                  <c:v>994.19696615082489</c:v>
                </c:pt>
                <c:pt idx="449">
                  <c:v>993.55195687665093</c:v>
                </c:pt>
                <c:pt idx="450">
                  <c:v>992.90879643997516</c:v>
                </c:pt>
                <c:pt idx="451">
                  <c:v>992.26747545951082</c:v>
                </c:pt>
                <c:pt idx="452">
                  <c:v>991.62798462219416</c:v>
                </c:pt>
                <c:pt idx="453">
                  <c:v>990.99031468253804</c:v>
                </c:pt>
                <c:pt idx="454">
                  <c:v>990.35445646199457</c:v>
                </c:pt>
                <c:pt idx="455">
                  <c:v>989.72040084832497</c:v>
                </c:pt>
                <c:pt idx="456">
                  <c:v>989.08813879497495</c:v>
                </c:pt>
                <c:pt idx="457">
                  <c:v>988.45766132046003</c:v>
                </c:pt>
                <c:pt idx="458">
                  <c:v>987.82895950775639</c:v>
                </c:pt>
                <c:pt idx="459">
                  <c:v>987.20202450369891</c:v>
                </c:pt>
                <c:pt idx="460">
                  <c:v>986.57684751838576</c:v>
                </c:pt>
                <c:pt idx="461">
                  <c:v>985.95341982459081</c:v>
                </c:pt>
                <c:pt idx="462">
                  <c:v>985.33173275718275</c:v>
                </c:pt>
                <c:pt idx="463">
                  <c:v>984.7117777125485</c:v>
                </c:pt>
                <c:pt idx="464">
                  <c:v>984.09354614802737</c:v>
                </c:pt>
                <c:pt idx="465">
                  <c:v>983.47702958134698</c:v>
                </c:pt>
                <c:pt idx="466">
                  <c:v>982.86221959006946</c:v>
                </c:pt>
                <c:pt idx="467">
                  <c:v>982.24910781104199</c:v>
                </c:pt>
                <c:pt idx="468">
                  <c:v>981.63768593985355</c:v>
                </c:pt>
                <c:pt idx="469">
                  <c:v>981.02794573029769</c:v>
                </c:pt>
                <c:pt idx="470">
                  <c:v>980.41987899384321</c:v>
                </c:pt>
                <c:pt idx="471">
                  <c:v>979.81347759910852</c:v>
                </c:pt>
                <c:pt idx="472">
                  <c:v>979.20873347134204</c:v>
                </c:pt>
                <c:pt idx="473">
                  <c:v>978.60563859191006</c:v>
                </c:pt>
                <c:pt idx="474">
                  <c:v>978.00418499778891</c:v>
                </c:pt>
                <c:pt idx="475">
                  <c:v>977.40436478106358</c:v>
                </c:pt>
                <c:pt idx="476">
                  <c:v>976.80617008843092</c:v>
                </c:pt>
                <c:pt idx="477">
                  <c:v>976.20959312070897</c:v>
                </c:pt>
                <c:pt idx="478">
                  <c:v>975.61462613235301</c:v>
                </c:pt>
                <c:pt idx="479">
                  <c:v>975.02126143097314</c:v>
                </c:pt>
                <c:pt idx="480">
                  <c:v>974.42949137686242</c:v>
                </c:pt>
                <c:pt idx="481">
                  <c:v>973.83930838252525</c:v>
                </c:pt>
                <c:pt idx="482">
                  <c:v>973.25070491221436</c:v>
                </c:pt>
                <c:pt idx="483">
                  <c:v>972.66367348147094</c:v>
                </c:pt>
                <c:pt idx="484">
                  <c:v>972.07820665667089</c:v>
                </c:pt>
                <c:pt idx="485">
                  <c:v>971.49429705457567</c:v>
                </c:pt>
                <c:pt idx="486">
                  <c:v>970.91193734188732</c:v>
                </c:pt>
                <c:pt idx="487">
                  <c:v>970.33112023480953</c:v>
                </c:pt>
                <c:pt idx="488">
                  <c:v>969.75183849861276</c:v>
                </c:pt>
                <c:pt idx="489">
                  <c:v>969.17408494720382</c:v>
                </c:pt>
                <c:pt idx="490">
                  <c:v>968.59785244270097</c:v>
                </c:pt>
                <c:pt idx="491">
                  <c:v>968.02313389501251</c:v>
                </c:pt>
                <c:pt idx="492">
                  <c:v>967.44992226142119</c:v>
                </c:pt>
                <c:pt idx="493">
                  <c:v>966.87821054617166</c:v>
                </c:pt>
                <c:pt idx="494">
                  <c:v>966.30799180006306</c:v>
                </c:pt>
                <c:pt idx="495">
                  <c:v>965.73925912004631</c:v>
                </c:pt>
                <c:pt idx="496">
                  <c:v>965.17200564882546</c:v>
                </c:pt>
                <c:pt idx="497">
                  <c:v>964.60622457446163</c:v>
                </c:pt>
                <c:pt idx="498">
                  <c:v>964.04190912998502</c:v>
                </c:pt>
                <c:pt idx="499">
                  <c:v>963.47905259300671</c:v>
                </c:pt>
              </c:numCache>
            </c:numRef>
          </c:yVal>
          <c:smooth val="0"/>
          <c:extLst>
            <c:ext xmlns:c16="http://schemas.microsoft.com/office/drawing/2014/chart" uri="{C3380CC4-5D6E-409C-BE32-E72D297353CC}">
              <c16:uniqueId val="{00000001-E092-4248-B0F0-850051006D1A}"/>
            </c:ext>
          </c:extLst>
        </c:ser>
        <c:dLbls>
          <c:showLegendKey val="0"/>
          <c:showVal val="0"/>
          <c:showCatName val="0"/>
          <c:showSerName val="0"/>
          <c:showPercent val="0"/>
          <c:showBubbleSize val="0"/>
        </c:dLbls>
        <c:axId val="691598408"/>
        <c:axId val="691598736"/>
      </c:scatterChart>
      <c:valAx>
        <c:axId val="691598408"/>
        <c:scaling>
          <c:orientation val="minMax"/>
          <c:max val="100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DAC</a:t>
                </a:r>
                <a:r>
                  <a:rPr lang="en-GB" baseline="0"/>
                  <a:t> plant capacity [</a:t>
                </a:r>
                <a:r>
                  <a:rPr lang="en-GB"/>
                  <a:t>tCO2/a]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98736"/>
        <c:crosses val="autoZero"/>
        <c:crossBetween val="midCat"/>
      </c:valAx>
      <c:valAx>
        <c:axId val="69159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DAC Capex [$2022/(tCO2/a)]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98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r>
              <a:rPr lang="en-US"/>
              <a:t>DAC-S: Capex breakdown</a:t>
            </a:r>
          </a:p>
        </c:rich>
      </c:tx>
      <c:layout/>
      <c:overlay val="0"/>
      <c:spPr>
        <a:noFill/>
        <a:ln>
          <a:noFill/>
        </a:ln>
        <a:effectLst/>
      </c:spPr>
      <c:txPr>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2680405006768406E-2"/>
          <c:y val="7.0444995467115329E-2"/>
          <c:w val="0.62886609988924425"/>
          <c:h val="0.85818540950515831"/>
        </c:manualLayout>
      </c:layout>
      <c:barChart>
        <c:barDir val="col"/>
        <c:grouping val="percentStacked"/>
        <c:varyColors val="0"/>
        <c:ser>
          <c:idx val="0"/>
          <c:order val="0"/>
          <c:tx>
            <c:strRef>
              <c:f>cost_scaling_DAC!$O$49</c:f>
              <c:strCache>
                <c:ptCount val="1"/>
                <c:pt idx="0">
                  <c:v>Contactors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cost_scaling_DAC!$P$49:$S$49</c:f>
              <c:numCache>
                <c:formatCode>0%</c:formatCode>
                <c:ptCount val="4"/>
                <c:pt idx="0">
                  <c:v>0.22228630033512811</c:v>
                </c:pt>
                <c:pt idx="1">
                  <c:v>0.43231634414401215</c:v>
                </c:pt>
                <c:pt idx="2">
                  <c:v>0.64</c:v>
                </c:pt>
                <c:pt idx="3">
                  <c:v>0.78</c:v>
                </c:pt>
              </c:numCache>
            </c:numRef>
          </c:val>
          <c:extLst>
            <c:ext xmlns:c16="http://schemas.microsoft.com/office/drawing/2014/chart" uri="{C3380CC4-5D6E-409C-BE32-E72D297353CC}">
              <c16:uniqueId val="{00000000-87A3-7E45-8879-A69DD57A6F79}"/>
            </c:ext>
          </c:extLst>
        </c:ser>
        <c:ser>
          <c:idx val="1"/>
          <c:order val="1"/>
          <c:tx>
            <c:strRef>
              <c:f>cost_scaling_DAC!$O$50</c:f>
              <c:strCache>
                <c:ptCount val="1"/>
                <c:pt idx="0">
                  <c:v>Blowers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cost_scaling_DAC!$P$50:$S$50</c:f>
              <c:numCache>
                <c:formatCode>0%</c:formatCode>
                <c:ptCount val="4"/>
                <c:pt idx="0">
                  <c:v>6.1788589403019203E-3</c:v>
                </c:pt>
                <c:pt idx="1">
                  <c:v>1.2017032556777569E-2</c:v>
                </c:pt>
                <c:pt idx="2">
                  <c:v>0.02</c:v>
                </c:pt>
                <c:pt idx="3">
                  <c:v>0.02</c:v>
                </c:pt>
              </c:numCache>
            </c:numRef>
          </c:val>
          <c:extLst>
            <c:ext xmlns:c16="http://schemas.microsoft.com/office/drawing/2014/chart" uri="{C3380CC4-5D6E-409C-BE32-E72D297353CC}">
              <c16:uniqueId val="{00000001-87A3-7E45-8879-A69DD57A6F79}"/>
            </c:ext>
          </c:extLst>
        </c:ser>
        <c:ser>
          <c:idx val="2"/>
          <c:order val="2"/>
          <c:tx>
            <c:strRef>
              <c:f>cost_scaling_DAC!$O$51</c:f>
              <c:strCache>
                <c:ptCount val="1"/>
                <c:pt idx="0">
                  <c:v>Vacuum pump</c:v>
                </c:pt>
              </c:strCache>
            </c:strRef>
          </c:tx>
          <c:spPr>
            <a:solidFill>
              <a:schemeClr val="accent3"/>
            </a:solidFill>
            <a:ln>
              <a:noFill/>
            </a:ln>
            <a:effectLst/>
          </c:spPr>
          <c:invertIfNegative val="0"/>
          <c:dLbls>
            <c:delete val="1"/>
          </c:dLbls>
          <c:cat>
            <c:strRef>
              <c:f>cost_scaling_DAC!$P$48:$S$48</c:f>
              <c:strCache>
                <c:ptCount val="4"/>
                <c:pt idx="0">
                  <c:v>1 kt</c:v>
                </c:pt>
                <c:pt idx="1">
                  <c:v>10 kt</c:v>
                </c:pt>
                <c:pt idx="2">
                  <c:v>100 kt</c:v>
                </c:pt>
                <c:pt idx="3">
                  <c:v>1000 kt</c:v>
                </c:pt>
              </c:strCache>
            </c:strRef>
          </c:cat>
          <c:val>
            <c:numRef>
              <c:f>cost_scaling_DAC!$P$51:$S$51</c:f>
              <c:numCache>
                <c:formatCode>0%</c:formatCode>
                <c:ptCount val="4"/>
                <c:pt idx="0">
                  <c:v>2.0948682590327606E-2</c:v>
                </c:pt>
                <c:pt idx="1">
                  <c:v>1.7379835983125855E-2</c:v>
                </c:pt>
                <c:pt idx="2">
                  <c:v>0.01</c:v>
                </c:pt>
                <c:pt idx="3">
                  <c:v>0.01</c:v>
                </c:pt>
              </c:numCache>
            </c:numRef>
          </c:val>
          <c:extLst>
            <c:ext xmlns:c16="http://schemas.microsoft.com/office/drawing/2014/chart" uri="{C3380CC4-5D6E-409C-BE32-E72D297353CC}">
              <c16:uniqueId val="{00000002-87A3-7E45-8879-A69DD57A6F79}"/>
            </c:ext>
          </c:extLst>
        </c:ser>
        <c:ser>
          <c:idx val="3"/>
          <c:order val="3"/>
          <c:tx>
            <c:strRef>
              <c:f>cost_scaling_DAC!$O$52</c:f>
              <c:strCache>
                <c:ptCount val="1"/>
                <c:pt idx="0">
                  <c:v>Vacuum pump</c:v>
                </c:pt>
              </c:strCache>
            </c:strRef>
          </c:tx>
          <c:spPr>
            <a:solidFill>
              <a:schemeClr val="accent4"/>
            </a:solidFill>
            <a:ln>
              <a:noFill/>
            </a:ln>
            <a:effectLst/>
          </c:spPr>
          <c:invertIfNegative val="0"/>
          <c:dLbls>
            <c:delete val="1"/>
          </c:dLbls>
          <c:cat>
            <c:strRef>
              <c:f>cost_scaling_DAC!$P$48:$S$48</c:f>
              <c:strCache>
                <c:ptCount val="4"/>
                <c:pt idx="0">
                  <c:v>1 kt</c:v>
                </c:pt>
                <c:pt idx="1">
                  <c:v>10 kt</c:v>
                </c:pt>
                <c:pt idx="2">
                  <c:v>100 kt</c:v>
                </c:pt>
                <c:pt idx="3">
                  <c:v>1000 kt</c:v>
                </c:pt>
              </c:strCache>
            </c:strRef>
          </c:cat>
          <c:val>
            <c:numRef>
              <c:f>cost_scaling_DAC!$P$52:$S$52</c:f>
              <c:numCache>
                <c:formatCode>0%</c:formatCode>
                <c:ptCount val="4"/>
                <c:pt idx="0">
                  <c:v>1.286407512573055E-2</c:v>
                </c:pt>
                <c:pt idx="1">
                  <c:v>1.0672533453871463E-2</c:v>
                </c:pt>
                <c:pt idx="2">
                  <c:v>0.01</c:v>
                </c:pt>
                <c:pt idx="3">
                  <c:v>0</c:v>
                </c:pt>
              </c:numCache>
            </c:numRef>
          </c:val>
          <c:extLst>
            <c:ext xmlns:c16="http://schemas.microsoft.com/office/drawing/2014/chart" uri="{C3380CC4-5D6E-409C-BE32-E72D297353CC}">
              <c16:uniqueId val="{00000003-87A3-7E45-8879-A69DD57A6F79}"/>
            </c:ext>
          </c:extLst>
        </c:ser>
        <c:ser>
          <c:idx val="4"/>
          <c:order val="4"/>
          <c:tx>
            <c:strRef>
              <c:f>cost_scaling_DAC!$O$53</c:f>
              <c:strCache>
                <c:ptCount val="1"/>
                <c:pt idx="0">
                  <c:v>Condensers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cost_scaling_DAC!$P$53:$S$53</c:f>
              <c:numCache>
                <c:formatCode>0%</c:formatCode>
                <c:ptCount val="4"/>
                <c:pt idx="0">
                  <c:v>4.2321966374429601E-2</c:v>
                </c:pt>
                <c:pt idx="1">
                  <c:v>3.5111937512030969E-2</c:v>
                </c:pt>
                <c:pt idx="2">
                  <c:v>0.02</c:v>
                </c:pt>
                <c:pt idx="3">
                  <c:v>0.01</c:v>
                </c:pt>
              </c:numCache>
            </c:numRef>
          </c:val>
          <c:extLst>
            <c:ext xmlns:c16="http://schemas.microsoft.com/office/drawing/2014/chart" uri="{C3380CC4-5D6E-409C-BE32-E72D297353CC}">
              <c16:uniqueId val="{00000004-87A3-7E45-8879-A69DD57A6F79}"/>
            </c:ext>
          </c:extLst>
        </c:ser>
        <c:ser>
          <c:idx val="5"/>
          <c:order val="5"/>
          <c:tx>
            <c:strRef>
              <c:f>cost_scaling_DAC!$O$54</c:f>
              <c:strCache>
                <c:ptCount val="1"/>
                <c:pt idx="0">
                  <c:v>Switching valves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cost_scaling_DAC!$P$54:$S$54</c:f>
              <c:numCache>
                <c:formatCode>0%</c:formatCode>
                <c:ptCount val="4"/>
                <c:pt idx="0">
                  <c:v>0.22743684822291607</c:v>
                </c:pt>
                <c:pt idx="1">
                  <c:v>0.18869039146444741</c:v>
                </c:pt>
                <c:pt idx="2">
                  <c:v>0.12</c:v>
                </c:pt>
                <c:pt idx="3">
                  <c:v>0.06</c:v>
                </c:pt>
              </c:numCache>
            </c:numRef>
          </c:val>
          <c:extLst>
            <c:ext xmlns:c16="http://schemas.microsoft.com/office/drawing/2014/chart" uri="{C3380CC4-5D6E-409C-BE32-E72D297353CC}">
              <c16:uniqueId val="{00000005-87A3-7E45-8879-A69DD57A6F79}"/>
            </c:ext>
          </c:extLst>
        </c:ser>
        <c:ser>
          <c:idx val="6"/>
          <c:order val="6"/>
          <c:tx>
            <c:strRef>
              <c:f>cost_scaling_DAC!$O$55</c:f>
              <c:strCache>
                <c:ptCount val="1"/>
                <c:pt idx="0">
                  <c:v>Initial sorbent</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cost_scaling_DAC!$P$55:$S$55</c:f>
              <c:numCache>
                <c:formatCode>0%</c:formatCode>
                <c:ptCount val="4"/>
                <c:pt idx="0">
                  <c:v>2.0025792822984514E-2</c:v>
                </c:pt>
                <c:pt idx="1">
                  <c:v>3.8947418391352455E-2</c:v>
                </c:pt>
                <c:pt idx="2">
                  <c:v>0.06</c:v>
                </c:pt>
                <c:pt idx="3">
                  <c:v>7.0000000000000007E-2</c:v>
                </c:pt>
              </c:numCache>
            </c:numRef>
          </c:val>
          <c:extLst>
            <c:ext xmlns:c16="http://schemas.microsoft.com/office/drawing/2014/chart" uri="{C3380CC4-5D6E-409C-BE32-E72D297353CC}">
              <c16:uniqueId val="{00000006-87A3-7E45-8879-A69DD57A6F79}"/>
            </c:ext>
          </c:extLst>
        </c:ser>
        <c:ser>
          <c:idx val="7"/>
          <c:order val="7"/>
          <c:tx>
            <c:strRef>
              <c:f>cost_scaling_DAC!$O$56</c:f>
              <c:strCache>
                <c:ptCount val="1"/>
                <c:pt idx="0">
                  <c:v>Buildings and land</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cost_scaling_DAC!$P$56:$S$56</c:f>
              <c:numCache>
                <c:formatCode>0%</c:formatCode>
                <c:ptCount val="4"/>
                <c:pt idx="0">
                  <c:v>0.20010738154820934</c:v>
                </c:pt>
                <c:pt idx="1">
                  <c:v>0.13808676846708415</c:v>
                </c:pt>
                <c:pt idx="2">
                  <c:v>7.0000000000000007E-2</c:v>
                </c:pt>
                <c:pt idx="3">
                  <c:v>0.03</c:v>
                </c:pt>
              </c:numCache>
            </c:numRef>
          </c:val>
          <c:extLst>
            <c:ext xmlns:c16="http://schemas.microsoft.com/office/drawing/2014/chart" uri="{C3380CC4-5D6E-409C-BE32-E72D297353CC}">
              <c16:uniqueId val="{00000007-87A3-7E45-8879-A69DD57A6F79}"/>
            </c:ext>
          </c:extLst>
        </c:ser>
        <c:ser>
          <c:idx val="8"/>
          <c:order val="8"/>
          <c:tx>
            <c:strRef>
              <c:f>cost_scaling_DAC!$O$57</c:f>
              <c:strCache>
                <c:ptCount val="1"/>
                <c:pt idx="0">
                  <c:v>Compressor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cost_scaling_DAC!$P$48:$S$48</c:f>
              <c:strCache>
                <c:ptCount val="4"/>
                <c:pt idx="0">
                  <c:v>1 kt</c:v>
                </c:pt>
                <c:pt idx="1">
                  <c:v>10 kt</c:v>
                </c:pt>
                <c:pt idx="2">
                  <c:v>100 kt</c:v>
                </c:pt>
                <c:pt idx="3">
                  <c:v>1000 kt</c:v>
                </c:pt>
              </c:strCache>
            </c:strRef>
          </c:cat>
          <c:val>
            <c:numRef>
              <c:f>cost_scaling_DAC!$P$57:$S$57</c:f>
              <c:numCache>
                <c:formatCode>0%</c:formatCode>
                <c:ptCount val="4"/>
                <c:pt idx="0">
                  <c:v>0.24783009403997228</c:v>
                </c:pt>
                <c:pt idx="1">
                  <c:v>0.12677773802729808</c:v>
                </c:pt>
                <c:pt idx="2">
                  <c:v>0.05</c:v>
                </c:pt>
                <c:pt idx="3">
                  <c:v>0.02</c:v>
                </c:pt>
              </c:numCache>
            </c:numRef>
          </c:val>
          <c:extLst>
            <c:ext xmlns:c16="http://schemas.microsoft.com/office/drawing/2014/chart" uri="{C3380CC4-5D6E-409C-BE32-E72D297353CC}">
              <c16:uniqueId val="{00000008-87A3-7E45-8879-A69DD57A6F79}"/>
            </c:ext>
          </c:extLst>
        </c:ser>
        <c:dLbls>
          <c:showLegendKey val="0"/>
          <c:showVal val="1"/>
          <c:showCatName val="0"/>
          <c:showSerName val="0"/>
          <c:showPercent val="0"/>
          <c:showBubbleSize val="0"/>
        </c:dLbls>
        <c:gapWidth val="95"/>
        <c:overlap val="100"/>
        <c:axId val="34960288"/>
        <c:axId val="35194464"/>
      </c:barChart>
      <c:catAx>
        <c:axId val="349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35194464"/>
        <c:crosses val="autoZero"/>
        <c:auto val="1"/>
        <c:lblAlgn val="ctr"/>
        <c:lblOffset val="100"/>
        <c:noMultiLvlLbl val="0"/>
      </c:catAx>
      <c:valAx>
        <c:axId val="35194464"/>
        <c:scaling>
          <c:orientation val="minMax"/>
        </c:scaling>
        <c:delete val="1"/>
        <c:axPos val="l"/>
        <c:numFmt formatCode="0%" sourceLinked="1"/>
        <c:majorTickMark val="out"/>
        <c:minorTickMark val="none"/>
        <c:tickLblPos val="nextTo"/>
        <c:crossAx val="34960288"/>
        <c:crosses val="autoZero"/>
        <c:crossBetween val="between"/>
      </c:valAx>
      <c:spPr>
        <a:noFill/>
        <a:ln>
          <a:noFill/>
        </a:ln>
        <a:effectLst/>
      </c:spPr>
    </c:plotArea>
    <c:legend>
      <c:legendPos val="t"/>
      <c:layout>
        <c:manualLayout>
          <c:xMode val="edge"/>
          <c:yMode val="edge"/>
          <c:x val="0.63300588261843249"/>
          <c:y val="0.29398026172481967"/>
          <c:w val="0.35048287994711258"/>
          <c:h val="0.5536936786485572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r>
              <a:rPr lang="en-US"/>
              <a:t>DAC-L: Capex breakdown</a:t>
            </a:r>
          </a:p>
        </c:rich>
      </c:tx>
      <c:layout/>
      <c:overlay val="0"/>
      <c:spPr>
        <a:noFill/>
        <a:ln>
          <a:noFill/>
        </a:ln>
        <a:effectLst/>
      </c:spPr>
      <c:txPr>
        <a:bodyPr rot="0" spcFirstLastPara="1" vertOverflow="ellipsis" vert="horz" wrap="square" anchor="ctr" anchorCtr="1"/>
        <a:lstStyle/>
        <a:p>
          <a:pPr>
            <a:defRPr sz="192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1508379415203022E-2"/>
          <c:y val="7.0706388359303207E-2"/>
          <c:w val="0.59916201998939833"/>
          <c:h val="0.86970601597815933"/>
        </c:manualLayout>
      </c:layout>
      <c:barChart>
        <c:barDir val="col"/>
        <c:grouping val="percentStacked"/>
        <c:varyColors val="0"/>
        <c:ser>
          <c:idx val="0"/>
          <c:order val="0"/>
          <c:tx>
            <c:strRef>
              <c:f>cost_scaling_DAC!$P$26</c:f>
              <c:strCache>
                <c:ptCount val="1"/>
                <c:pt idx="0">
                  <c:v>Air contactor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cost_scaling_DAC!$Q$26:$T$26</c:f>
              <c:numCache>
                <c:formatCode>0%</c:formatCode>
                <c:ptCount val="4"/>
                <c:pt idx="0">
                  <c:v>0.21370398445918917</c:v>
                </c:pt>
                <c:pt idx="1">
                  <c:v>0.25528523905636691</c:v>
                </c:pt>
                <c:pt idx="2">
                  <c:v>0.29570684856120466</c:v>
                </c:pt>
                <c:pt idx="3">
                  <c:v>0.33463652793079329</c:v>
                </c:pt>
              </c:numCache>
            </c:numRef>
          </c:val>
          <c:extLst>
            <c:ext xmlns:c16="http://schemas.microsoft.com/office/drawing/2014/chart" uri="{C3380CC4-5D6E-409C-BE32-E72D297353CC}">
              <c16:uniqueId val="{00000000-7DF9-6442-8967-EF384C3595E8}"/>
            </c:ext>
          </c:extLst>
        </c:ser>
        <c:ser>
          <c:idx val="1"/>
          <c:order val="1"/>
          <c:tx>
            <c:strRef>
              <c:f>cost_scaling_DAC!$P$27</c:f>
              <c:strCache>
                <c:ptCount val="1"/>
                <c:pt idx="0">
                  <c:v>Pellet reactor</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cost_scaling_DAC!$Q$27:$T$27</c:f>
              <c:numCache>
                <c:formatCode>0%</c:formatCode>
                <c:ptCount val="4"/>
                <c:pt idx="0">
                  <c:v>0.24366820558794708</c:v>
                </c:pt>
                <c:pt idx="1">
                  <c:v>0.23659847964086983</c:v>
                </c:pt>
                <c:pt idx="2">
                  <c:v>0.2227653443262427</c:v>
                </c:pt>
                <c:pt idx="3">
                  <c:v>0.20490831924781006</c:v>
                </c:pt>
              </c:numCache>
            </c:numRef>
          </c:val>
          <c:extLst>
            <c:ext xmlns:c16="http://schemas.microsoft.com/office/drawing/2014/chart" uri="{C3380CC4-5D6E-409C-BE32-E72D297353CC}">
              <c16:uniqueId val="{00000001-7DF9-6442-8967-EF384C3595E8}"/>
            </c:ext>
          </c:extLst>
        </c:ser>
        <c:ser>
          <c:idx val="2"/>
          <c:order val="2"/>
          <c:tx>
            <c:strRef>
              <c:f>cost_scaling_DAC!$P$28</c:f>
              <c:strCache>
                <c:ptCount val="1"/>
                <c:pt idx="0">
                  <c:v>Calciner (-slaker)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cost_scaling_DAC!$Q$28:$T$28</c:f>
              <c:numCache>
                <c:formatCode>0%</c:formatCode>
                <c:ptCount val="4"/>
                <c:pt idx="0">
                  <c:v>6.8144262547773116E-2</c:v>
                </c:pt>
                <c:pt idx="1">
                  <c:v>8.5239791837936091E-2</c:v>
                </c:pt>
                <c:pt idx="2">
                  <c:v>0.10338988668148552</c:v>
                </c:pt>
                <c:pt idx="3">
                  <c:v>0.1225152137165554</c:v>
                </c:pt>
              </c:numCache>
            </c:numRef>
          </c:val>
          <c:extLst>
            <c:ext xmlns:c16="http://schemas.microsoft.com/office/drawing/2014/chart" uri="{C3380CC4-5D6E-409C-BE32-E72D297353CC}">
              <c16:uniqueId val="{00000002-7DF9-6442-8967-EF384C3595E8}"/>
            </c:ext>
          </c:extLst>
        </c:ser>
        <c:ser>
          <c:idx val="3"/>
          <c:order val="3"/>
          <c:tx>
            <c:strRef>
              <c:f>cost_scaling_DAC!$P$29</c:f>
              <c:strCache>
                <c:ptCount val="1"/>
                <c:pt idx="0">
                  <c:v>Air separation unit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cost_scaling_DAC!$Q$29:$T$29</c:f>
              <c:numCache>
                <c:formatCode>0%</c:formatCode>
                <c:ptCount val="4"/>
                <c:pt idx="0">
                  <c:v>0.10163968301579435</c:v>
                </c:pt>
                <c:pt idx="1">
                  <c:v>9.8690735685814865E-2</c:v>
                </c:pt>
                <c:pt idx="2">
                  <c:v>9.2920612804576586E-2</c:v>
                </c:pt>
                <c:pt idx="3">
                  <c:v>8.5472031795833098E-2</c:v>
                </c:pt>
              </c:numCache>
            </c:numRef>
          </c:val>
          <c:extLst>
            <c:ext xmlns:c16="http://schemas.microsoft.com/office/drawing/2014/chart" uri="{C3380CC4-5D6E-409C-BE32-E72D297353CC}">
              <c16:uniqueId val="{00000003-7DF9-6442-8967-EF384C3595E8}"/>
            </c:ext>
          </c:extLst>
        </c:ser>
        <c:ser>
          <c:idx val="4"/>
          <c:order val="4"/>
          <c:tx>
            <c:strRef>
              <c:f>cost_scaling_DAC!$P$30</c:f>
              <c:strCache>
                <c:ptCount val="1"/>
                <c:pt idx="0">
                  <c:v>Fines filter</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cost_scaling_DAC!$Q$30:$T$30</c:f>
              <c:numCache>
                <c:formatCode>0%</c:formatCode>
                <c:ptCount val="4"/>
                <c:pt idx="0">
                  <c:v>5.7746026803718972E-2</c:v>
                </c:pt>
                <c:pt idx="1">
                  <c:v>5.6070598599822587E-2</c:v>
                </c:pt>
                <c:pt idx="2">
                  <c:v>5.2792335025260269E-2</c:v>
                </c:pt>
                <c:pt idx="3">
                  <c:v>4.8560464698453619E-2</c:v>
                </c:pt>
              </c:numCache>
            </c:numRef>
          </c:val>
          <c:extLst>
            <c:ext xmlns:c16="http://schemas.microsoft.com/office/drawing/2014/chart" uri="{C3380CC4-5D6E-409C-BE32-E72D297353CC}">
              <c16:uniqueId val="{00000004-7DF9-6442-8967-EF384C3595E8}"/>
            </c:ext>
          </c:extLst>
        </c:ser>
        <c:ser>
          <c:idx val="5"/>
          <c:order val="5"/>
          <c:tx>
            <c:strRef>
              <c:f>cost_scaling_DAC!$P$31</c:f>
              <c:strCache>
                <c:ptCount val="1"/>
                <c:pt idx="0">
                  <c:v>Compressor</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cost_scaling_DAC!$Q$31:$T$31</c:f>
              <c:numCache>
                <c:formatCode>0%</c:formatCode>
                <c:ptCount val="4"/>
                <c:pt idx="0">
                  <c:v>1.5897723411656274E-2</c:v>
                </c:pt>
                <c:pt idx="1">
                  <c:v>1.7723440080691051E-2</c:v>
                </c:pt>
                <c:pt idx="2">
                  <c:v>1.915947921974755E-2</c:v>
                </c:pt>
                <c:pt idx="3">
                  <c:v>2.0234648418062134E-2</c:v>
                </c:pt>
              </c:numCache>
            </c:numRef>
          </c:val>
          <c:extLst>
            <c:ext xmlns:c16="http://schemas.microsoft.com/office/drawing/2014/chart" uri="{C3380CC4-5D6E-409C-BE32-E72D297353CC}">
              <c16:uniqueId val="{00000005-7DF9-6442-8967-EF384C3595E8}"/>
            </c:ext>
          </c:extLst>
        </c:ser>
        <c:ser>
          <c:idx val="6"/>
          <c:order val="6"/>
          <c:tx>
            <c:strRef>
              <c:f>cost_scaling_DAC!$P$32</c:f>
              <c:strCache>
                <c:ptCount val="1"/>
                <c:pt idx="0">
                  <c:v>Steam turbine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cost_scaling_DAC!$Q$32:$T$32</c:f>
              <c:numCache>
                <c:formatCode>0%</c:formatCode>
                <c:ptCount val="4"/>
                <c:pt idx="0">
                  <c:v>7.8625717156487127E-2</c:v>
                </c:pt>
                <c:pt idx="1">
                  <c:v>4.2931662266238096E-2</c:v>
                </c:pt>
                <c:pt idx="2">
                  <c:v>2.2730729984379208E-2</c:v>
                </c:pt>
                <c:pt idx="3">
                  <c:v>1.1757780429152653E-2</c:v>
                </c:pt>
              </c:numCache>
            </c:numRef>
          </c:val>
          <c:extLst>
            <c:ext xmlns:c16="http://schemas.microsoft.com/office/drawing/2014/chart" uri="{C3380CC4-5D6E-409C-BE32-E72D297353CC}">
              <c16:uniqueId val="{00000006-7DF9-6442-8967-EF384C3595E8}"/>
            </c:ext>
          </c:extLst>
        </c:ser>
        <c:ser>
          <c:idx val="7"/>
          <c:order val="7"/>
          <c:tx>
            <c:strRef>
              <c:f>cost_scaling_DAC!$P$33</c:f>
              <c:strCache>
                <c:ptCount val="1"/>
                <c:pt idx="0">
                  <c:v>Buildings and land</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cost_scaling_DAC!$Q$33:$T$33</c:f>
              <c:numCache>
                <c:formatCode>0%</c:formatCode>
                <c:ptCount val="4"/>
                <c:pt idx="0">
                  <c:v>2.8643961109119546E-2</c:v>
                </c:pt>
                <c:pt idx="1">
                  <c:v>2.1098236676780756E-2</c:v>
                </c:pt>
                <c:pt idx="2">
                  <c:v>1.5068909989446464E-2</c:v>
                </c:pt>
                <c:pt idx="3">
                  <c:v>1.0514625314722314E-2</c:v>
                </c:pt>
              </c:numCache>
            </c:numRef>
          </c:val>
          <c:extLst>
            <c:ext xmlns:c16="http://schemas.microsoft.com/office/drawing/2014/chart" uri="{C3380CC4-5D6E-409C-BE32-E72D297353CC}">
              <c16:uniqueId val="{00000007-7DF9-6442-8967-EF384C3595E8}"/>
            </c:ext>
          </c:extLst>
        </c:ser>
        <c:ser>
          <c:idx val="8"/>
          <c:order val="8"/>
          <c:tx>
            <c:strRef>
              <c:f>cost_scaling_DAC!$P$34</c:f>
              <c:strCache>
                <c:ptCount val="1"/>
                <c:pt idx="0">
                  <c:v>Other equipment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cost_scaling_DAC!$Q$25:$T$25</c:f>
              <c:strCache>
                <c:ptCount val="4"/>
                <c:pt idx="0">
                  <c:v>1 kt</c:v>
                </c:pt>
                <c:pt idx="1">
                  <c:v>10 kt</c:v>
                </c:pt>
                <c:pt idx="2">
                  <c:v>100 kt</c:v>
                </c:pt>
                <c:pt idx="3">
                  <c:v>1000 kt</c:v>
                </c:pt>
              </c:strCache>
            </c:strRef>
          </c:cat>
          <c:val>
            <c:numRef>
              <c:f>cost_scaling_DAC!$Q$34:$T$34</c:f>
              <c:numCache>
                <c:formatCode>0%</c:formatCode>
                <c:ptCount val="4"/>
                <c:pt idx="0">
                  <c:v>0.19193043590831443</c:v>
                </c:pt>
                <c:pt idx="1">
                  <c:v>0.18636181615547967</c:v>
                </c:pt>
                <c:pt idx="2">
                  <c:v>0.17546585340765694</c:v>
                </c:pt>
                <c:pt idx="3">
                  <c:v>0.16140038844861748</c:v>
                </c:pt>
              </c:numCache>
            </c:numRef>
          </c:val>
          <c:extLst>
            <c:ext xmlns:c16="http://schemas.microsoft.com/office/drawing/2014/chart" uri="{C3380CC4-5D6E-409C-BE32-E72D297353CC}">
              <c16:uniqueId val="{00000008-7DF9-6442-8967-EF384C3595E8}"/>
            </c:ext>
          </c:extLst>
        </c:ser>
        <c:dLbls>
          <c:showLegendKey val="0"/>
          <c:showVal val="1"/>
          <c:showCatName val="0"/>
          <c:showSerName val="0"/>
          <c:showPercent val="0"/>
          <c:showBubbleSize val="0"/>
        </c:dLbls>
        <c:gapWidth val="95"/>
        <c:overlap val="100"/>
        <c:axId val="34960288"/>
        <c:axId val="35194464"/>
      </c:barChart>
      <c:catAx>
        <c:axId val="349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35194464"/>
        <c:crosses val="autoZero"/>
        <c:auto val="1"/>
        <c:lblAlgn val="ctr"/>
        <c:lblOffset val="100"/>
        <c:noMultiLvlLbl val="0"/>
      </c:catAx>
      <c:valAx>
        <c:axId val="35194464"/>
        <c:scaling>
          <c:orientation val="minMax"/>
        </c:scaling>
        <c:delete val="1"/>
        <c:axPos val="l"/>
        <c:numFmt formatCode="0%" sourceLinked="1"/>
        <c:majorTickMark val="out"/>
        <c:minorTickMark val="none"/>
        <c:tickLblPos val="nextTo"/>
        <c:crossAx val="34960288"/>
        <c:crosses val="autoZero"/>
        <c:crossBetween val="between"/>
      </c:valAx>
      <c:spPr>
        <a:noFill/>
        <a:ln>
          <a:noFill/>
        </a:ln>
        <a:effectLst/>
      </c:spPr>
    </c:plotArea>
    <c:legend>
      <c:legendPos val="t"/>
      <c:layout>
        <c:manualLayout>
          <c:xMode val="edge"/>
          <c:yMode val="edge"/>
          <c:x val="0.61369919030266151"/>
          <c:y val="0.2394837334788282"/>
          <c:w val="0.36505970692254197"/>
          <c:h val="0.4618978368700897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27.xml"/><Relationship Id="rId1" Type="http://schemas.openxmlformats.org/officeDocument/2006/relationships/image" Target="../media/image4.png"/><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13</xdr:col>
      <xdr:colOff>201545</xdr:colOff>
      <xdr:row>76</xdr:row>
      <xdr:rowOff>72915</xdr:rowOff>
    </xdr:from>
    <xdr:to>
      <xdr:col>43</xdr:col>
      <xdr:colOff>292288</xdr:colOff>
      <xdr:row>127</xdr:row>
      <xdr:rowOff>128844</xdr:rowOff>
    </xdr:to>
    <xdr:pic>
      <xdr:nvPicPr>
        <xdr:cNvPr id="6" name="Pictur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1"/>
        <a:stretch>
          <a:fillRect/>
        </a:stretch>
      </xdr:blipFill>
      <xdr:spPr>
        <a:xfrm>
          <a:off x="11223331" y="14550915"/>
          <a:ext cx="17643957" cy="9771429"/>
        </a:xfrm>
        <a:prstGeom prst="rect">
          <a:avLst/>
        </a:prstGeom>
      </xdr:spPr>
    </xdr:pic>
    <xdr:clientData/>
  </xdr:twoCellAnchor>
  <xdr:twoCellAnchor editAs="oneCell">
    <xdr:from>
      <xdr:col>22</xdr:col>
      <xdr:colOff>152437</xdr:colOff>
      <xdr:row>133</xdr:row>
      <xdr:rowOff>11352</xdr:rowOff>
    </xdr:from>
    <xdr:to>
      <xdr:col>33</xdr:col>
      <xdr:colOff>122268</xdr:colOff>
      <xdr:row>158</xdr:row>
      <xdr:rowOff>8754</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2"/>
        <a:stretch>
          <a:fillRect/>
        </a:stretch>
      </xdr:blipFill>
      <xdr:spPr>
        <a:xfrm>
          <a:off x="16440187" y="25347852"/>
          <a:ext cx="6406010" cy="47599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70841</xdr:colOff>
      <xdr:row>21</xdr:row>
      <xdr:rowOff>98995</xdr:rowOff>
    </xdr:from>
    <xdr:to>
      <xdr:col>8</xdr:col>
      <xdr:colOff>244023</xdr:colOff>
      <xdr:row>35</xdr:row>
      <xdr:rowOff>190361</xdr:rowOff>
    </xdr:to>
    <xdr:graphicFrame macro="">
      <xdr:nvGraphicFramePr>
        <xdr:cNvPr id="3" name="Chart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275261</xdr:colOff>
      <xdr:row>22</xdr:row>
      <xdr:rowOff>115884</xdr:rowOff>
    </xdr:from>
    <xdr:to>
      <xdr:col>18</xdr:col>
      <xdr:colOff>284209</xdr:colOff>
      <xdr:row>37</xdr:row>
      <xdr:rowOff>8580</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134347</xdr:colOff>
      <xdr:row>22</xdr:row>
      <xdr:rowOff>136657</xdr:rowOff>
    </xdr:from>
    <xdr:to>
      <xdr:col>26</xdr:col>
      <xdr:colOff>337548</xdr:colOff>
      <xdr:row>36</xdr:row>
      <xdr:rowOff>133823</xdr:rowOff>
    </xdr:to>
    <xdr:graphicFrame macro="">
      <xdr:nvGraphicFramePr>
        <xdr:cNvPr id="5" name="Chart 4">
          <a:extLst>
            <a:ext uri="{FF2B5EF4-FFF2-40B4-BE49-F238E27FC236}">
              <a16:creationId xmlns:a16="http://schemas.microsoft.com/office/drawing/2014/main" id="{00000000-0008-0000-1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13016</xdr:colOff>
      <xdr:row>22</xdr:row>
      <xdr:rowOff>114735</xdr:rowOff>
    </xdr:from>
    <xdr:to>
      <xdr:col>42</xdr:col>
      <xdr:colOff>473312</xdr:colOff>
      <xdr:row>37</xdr:row>
      <xdr:rowOff>84246</xdr:rowOff>
    </xdr:to>
    <xdr:graphicFrame macro="">
      <xdr:nvGraphicFramePr>
        <xdr:cNvPr id="6" name="Chart 5">
          <a:extLst>
            <a:ext uri="{FF2B5EF4-FFF2-40B4-BE49-F238E27FC236}">
              <a16:creationId xmlns:a16="http://schemas.microsoft.com/office/drawing/2014/main" id="{00000000-0008-0000-1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397086</xdr:colOff>
      <xdr:row>22</xdr:row>
      <xdr:rowOff>36471</xdr:rowOff>
    </xdr:from>
    <xdr:to>
      <xdr:col>34</xdr:col>
      <xdr:colOff>540355</xdr:colOff>
      <xdr:row>37</xdr:row>
      <xdr:rowOff>24506</xdr:rowOff>
    </xdr:to>
    <xdr:graphicFrame macro="">
      <xdr:nvGraphicFramePr>
        <xdr:cNvPr id="10" name="Chart 9">
          <a:extLst>
            <a:ext uri="{FF2B5EF4-FFF2-40B4-BE49-F238E27FC236}">
              <a16:creationId xmlns:a16="http://schemas.microsoft.com/office/drawing/2014/main" id="{00000000-0008-0000-1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85882</xdr:colOff>
      <xdr:row>51</xdr:row>
      <xdr:rowOff>214815</xdr:rowOff>
    </xdr:from>
    <xdr:to>
      <xdr:col>11</xdr:col>
      <xdr:colOff>333375</xdr:colOff>
      <xdr:row>60</xdr:row>
      <xdr:rowOff>92350</xdr:rowOff>
    </xdr:to>
    <xdr:pic>
      <xdr:nvPicPr>
        <xdr:cNvPr id="20" name="Picture 19">
          <a:extLst>
            <a:ext uri="{FF2B5EF4-FFF2-40B4-BE49-F238E27FC236}">
              <a16:creationId xmlns:a16="http://schemas.microsoft.com/office/drawing/2014/main" id="{00000000-0008-0000-1700-000014000000}"/>
            </a:ext>
          </a:extLst>
        </xdr:cNvPr>
        <xdr:cNvPicPr>
          <a:picLocks noChangeAspect="1"/>
        </xdr:cNvPicPr>
      </xdr:nvPicPr>
      <xdr:blipFill>
        <a:blip xmlns:r="http://schemas.openxmlformats.org/officeDocument/2006/relationships" r:embed="rId6"/>
        <a:stretch>
          <a:fillRect/>
        </a:stretch>
      </xdr:blipFill>
      <xdr:spPr>
        <a:xfrm>
          <a:off x="8601232" y="9930315"/>
          <a:ext cx="2733518" cy="1620610"/>
        </a:xfrm>
        <a:prstGeom prst="rect">
          <a:avLst/>
        </a:prstGeom>
      </xdr:spPr>
    </xdr:pic>
    <xdr:clientData/>
  </xdr:twoCellAnchor>
  <xdr:twoCellAnchor>
    <xdr:from>
      <xdr:col>13</xdr:col>
      <xdr:colOff>511674</xdr:colOff>
      <xdr:row>51</xdr:row>
      <xdr:rowOff>39361</xdr:rowOff>
    </xdr:from>
    <xdr:to>
      <xdr:col>17</xdr:col>
      <xdr:colOff>774700</xdr:colOff>
      <xdr:row>60</xdr:row>
      <xdr:rowOff>50800</xdr:rowOff>
    </xdr:to>
    <xdr:graphicFrame macro="">
      <xdr:nvGraphicFramePr>
        <xdr:cNvPr id="21" name="Chart 20">
          <a:extLst>
            <a:ext uri="{FF2B5EF4-FFF2-40B4-BE49-F238E27FC236}">
              <a16:creationId xmlns:a16="http://schemas.microsoft.com/office/drawing/2014/main" id="{00000000-0008-0000-17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36</xdr:row>
      <xdr:rowOff>22793</xdr:rowOff>
    </xdr:from>
    <xdr:to>
      <xdr:col>8</xdr:col>
      <xdr:colOff>173182</xdr:colOff>
      <xdr:row>49</xdr:row>
      <xdr:rowOff>54281</xdr:rowOff>
    </xdr:to>
    <xdr:graphicFrame macro="">
      <xdr:nvGraphicFramePr>
        <xdr:cNvPr id="22" name="Chart 21">
          <a:extLst>
            <a:ext uri="{FF2B5EF4-FFF2-40B4-BE49-F238E27FC236}">
              <a16:creationId xmlns:a16="http://schemas.microsoft.com/office/drawing/2014/main" id="{00000000-0008-0000-17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295778</xdr:colOff>
      <xdr:row>36</xdr:row>
      <xdr:rowOff>14513</xdr:rowOff>
    </xdr:from>
    <xdr:to>
      <xdr:col>17</xdr:col>
      <xdr:colOff>500448</xdr:colOff>
      <xdr:row>49</xdr:row>
      <xdr:rowOff>38127</xdr:rowOff>
    </xdr:to>
    <xdr:graphicFrame macro="">
      <xdr:nvGraphicFramePr>
        <xdr:cNvPr id="24" name="Chart 23">
          <a:extLst>
            <a:ext uri="{FF2B5EF4-FFF2-40B4-BE49-F238E27FC236}">
              <a16:creationId xmlns:a16="http://schemas.microsoft.com/office/drawing/2014/main" id="{00000000-0008-0000-17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320261</xdr:colOff>
      <xdr:row>37</xdr:row>
      <xdr:rowOff>85587</xdr:rowOff>
    </xdr:from>
    <xdr:to>
      <xdr:col>26</xdr:col>
      <xdr:colOff>523462</xdr:colOff>
      <xdr:row>51</xdr:row>
      <xdr:rowOff>91035</xdr:rowOff>
    </xdr:to>
    <xdr:graphicFrame macro="">
      <xdr:nvGraphicFramePr>
        <xdr:cNvPr id="25" name="Chart 24">
          <a:extLst>
            <a:ext uri="{FF2B5EF4-FFF2-40B4-BE49-F238E27FC236}">
              <a16:creationId xmlns:a16="http://schemas.microsoft.com/office/drawing/2014/main" id="{00000000-0008-0000-17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331106</xdr:colOff>
      <xdr:row>144</xdr:row>
      <xdr:rowOff>48078</xdr:rowOff>
    </xdr:from>
    <xdr:to>
      <xdr:col>37</xdr:col>
      <xdr:colOff>204106</xdr:colOff>
      <xdr:row>158</xdr:row>
      <xdr:rowOff>124278</xdr:rowOff>
    </xdr:to>
    <xdr:graphicFrame macro="">
      <xdr:nvGraphicFramePr>
        <xdr:cNvPr id="27" name="Chart 26">
          <a:extLst>
            <a:ext uri="{FF2B5EF4-FFF2-40B4-BE49-F238E27FC236}">
              <a16:creationId xmlns:a16="http://schemas.microsoft.com/office/drawing/2014/main" id="{00000000-0008-0000-17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695325</xdr:colOff>
      <xdr:row>85</xdr:row>
      <xdr:rowOff>76200</xdr:rowOff>
    </xdr:from>
    <xdr:to>
      <xdr:col>14</xdr:col>
      <xdr:colOff>28575</xdr:colOff>
      <xdr:row>99</xdr:row>
      <xdr:rowOff>152400</xdr:rowOff>
    </xdr:to>
    <xdr:graphicFrame macro="">
      <xdr:nvGraphicFramePr>
        <xdr:cNvPr id="23" name="Chart 22">
          <a:extLst>
            <a:ext uri="{FF2B5EF4-FFF2-40B4-BE49-F238E27FC236}">
              <a16:creationId xmlns:a16="http://schemas.microsoft.com/office/drawing/2014/main" id="{00000000-0008-0000-17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619125</xdr:colOff>
      <xdr:row>99</xdr:row>
      <xdr:rowOff>104775</xdr:rowOff>
    </xdr:from>
    <xdr:to>
      <xdr:col>15</xdr:col>
      <xdr:colOff>9525</xdr:colOff>
      <xdr:row>113</xdr:row>
      <xdr:rowOff>180975</xdr:rowOff>
    </xdr:to>
    <xdr:graphicFrame macro="">
      <xdr:nvGraphicFramePr>
        <xdr:cNvPr id="29" name="Chart 28">
          <a:extLst>
            <a:ext uri="{FF2B5EF4-FFF2-40B4-BE49-F238E27FC236}">
              <a16:creationId xmlns:a16="http://schemas.microsoft.com/office/drawing/2014/main" id="{00000000-0008-0000-17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828675</xdr:colOff>
      <xdr:row>100</xdr:row>
      <xdr:rowOff>19050</xdr:rowOff>
    </xdr:from>
    <xdr:to>
      <xdr:col>22</xdr:col>
      <xdr:colOff>552450</xdr:colOff>
      <xdr:row>114</xdr:row>
      <xdr:rowOff>95250</xdr:rowOff>
    </xdr:to>
    <xdr:graphicFrame macro="">
      <xdr:nvGraphicFramePr>
        <xdr:cNvPr id="30" name="Chart 29">
          <a:extLst>
            <a:ext uri="{FF2B5EF4-FFF2-40B4-BE49-F238E27FC236}">
              <a16:creationId xmlns:a16="http://schemas.microsoft.com/office/drawing/2014/main" id="{00000000-0008-0000-1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571500</xdr:colOff>
      <xdr:row>85</xdr:row>
      <xdr:rowOff>95250</xdr:rowOff>
    </xdr:from>
    <xdr:to>
      <xdr:col>21</xdr:col>
      <xdr:colOff>114300</xdr:colOff>
      <xdr:row>99</xdr:row>
      <xdr:rowOff>171450</xdr:rowOff>
    </xdr:to>
    <xdr:graphicFrame macro="">
      <xdr:nvGraphicFramePr>
        <xdr:cNvPr id="31" name="Chart 30">
          <a:extLst>
            <a:ext uri="{FF2B5EF4-FFF2-40B4-BE49-F238E27FC236}">
              <a16:creationId xmlns:a16="http://schemas.microsoft.com/office/drawing/2014/main" id="{00000000-0008-0000-1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361950</xdr:colOff>
      <xdr:row>99</xdr:row>
      <xdr:rowOff>152400</xdr:rowOff>
    </xdr:from>
    <xdr:to>
      <xdr:col>30</xdr:col>
      <xdr:colOff>352425</xdr:colOff>
      <xdr:row>114</xdr:row>
      <xdr:rowOff>38100</xdr:rowOff>
    </xdr:to>
    <xdr:graphicFrame macro="">
      <xdr:nvGraphicFramePr>
        <xdr:cNvPr id="34" name="Chart 33">
          <a:extLst>
            <a:ext uri="{FF2B5EF4-FFF2-40B4-BE49-F238E27FC236}">
              <a16:creationId xmlns:a16="http://schemas.microsoft.com/office/drawing/2014/main" id="{00000000-0008-0000-1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626533</xdr:colOff>
      <xdr:row>99</xdr:row>
      <xdr:rowOff>50800</xdr:rowOff>
    </xdr:from>
    <xdr:to>
      <xdr:col>40</xdr:col>
      <xdr:colOff>51301</xdr:colOff>
      <xdr:row>113</xdr:row>
      <xdr:rowOff>126999</xdr:rowOff>
    </xdr:to>
    <xdr:graphicFrame macro="">
      <xdr:nvGraphicFramePr>
        <xdr:cNvPr id="37" name="Chart 36">
          <a:extLst>
            <a:ext uri="{FF2B5EF4-FFF2-40B4-BE49-F238E27FC236}">
              <a16:creationId xmlns:a16="http://schemas.microsoft.com/office/drawing/2014/main" id="{F5D38302-30C3-B147-B98A-113B220D2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40</xdr:col>
      <xdr:colOff>228600</xdr:colOff>
      <xdr:row>99</xdr:row>
      <xdr:rowOff>38100</xdr:rowOff>
    </xdr:from>
    <xdr:to>
      <xdr:col>48</xdr:col>
      <xdr:colOff>770968</xdr:colOff>
      <xdr:row>113</xdr:row>
      <xdr:rowOff>114299</xdr:rowOff>
    </xdr:to>
    <xdr:graphicFrame macro="">
      <xdr:nvGraphicFramePr>
        <xdr:cNvPr id="38" name="Chart 37">
          <a:extLst>
            <a:ext uri="{FF2B5EF4-FFF2-40B4-BE49-F238E27FC236}">
              <a16:creationId xmlns:a16="http://schemas.microsoft.com/office/drawing/2014/main" id="{FBDC06BE-4E4C-BA4D-BE55-6A5B56A74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66</xdr:row>
      <xdr:rowOff>47625</xdr:rowOff>
    </xdr:from>
    <xdr:to>
      <xdr:col>16</xdr:col>
      <xdr:colOff>400050</xdr:colOff>
      <xdr:row>94</xdr:row>
      <xdr:rowOff>60325</xdr:rowOff>
    </xdr:to>
    <xdr:graphicFrame macro="">
      <xdr:nvGraphicFramePr>
        <xdr:cNvPr id="5" name="Chart 4">
          <a:extLst>
            <a:ext uri="{FF2B5EF4-FFF2-40B4-BE49-F238E27FC236}">
              <a16:creationId xmlns:a16="http://schemas.microsoft.com/office/drawing/2014/main" id="{4CDA17BF-E354-0A02-24A3-3988C538C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123825</xdr:colOff>
      <xdr:row>34</xdr:row>
      <xdr:rowOff>133350</xdr:rowOff>
    </xdr:from>
    <xdr:to>
      <xdr:col>16</xdr:col>
      <xdr:colOff>123825</xdr:colOff>
      <xdr:row>49</xdr:row>
      <xdr:rowOff>19050</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176212</xdr:colOff>
      <xdr:row>52</xdr:row>
      <xdr:rowOff>47625</xdr:rowOff>
    </xdr:from>
    <xdr:to>
      <xdr:col>15</xdr:col>
      <xdr:colOff>400050</xdr:colOff>
      <xdr:row>64</xdr:row>
      <xdr:rowOff>161925</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661987</xdr:colOff>
      <xdr:row>41</xdr:row>
      <xdr:rowOff>152400</xdr:rowOff>
    </xdr:from>
    <xdr:to>
      <xdr:col>7</xdr:col>
      <xdr:colOff>762000</xdr:colOff>
      <xdr:row>63</xdr:row>
      <xdr:rowOff>66676</xdr:rowOff>
    </xdr:to>
    <xdr:graphicFrame macro="">
      <xdr:nvGraphicFramePr>
        <xdr:cNvPr id="6" name="Chart 5">
          <a:extLst>
            <a:ext uri="{FF2B5EF4-FFF2-40B4-BE49-F238E27FC236}">
              <a16:creationId xmlns:a16="http://schemas.microsoft.com/office/drawing/2014/main" id="{00000000-0008-0000-1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981075</xdr:colOff>
      <xdr:row>41</xdr:row>
      <xdr:rowOff>104775</xdr:rowOff>
    </xdr:from>
    <xdr:to>
      <xdr:col>15</xdr:col>
      <xdr:colOff>166688</xdr:colOff>
      <xdr:row>63</xdr:row>
      <xdr:rowOff>19051</xdr:rowOff>
    </xdr:to>
    <xdr:graphicFrame macro="">
      <xdr:nvGraphicFramePr>
        <xdr:cNvPr id="7" name="Chart 6">
          <a:extLst>
            <a:ext uri="{FF2B5EF4-FFF2-40B4-BE49-F238E27FC236}">
              <a16:creationId xmlns:a16="http://schemas.microsoft.com/office/drawing/2014/main" id="{00000000-0008-0000-1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215900</xdr:colOff>
      <xdr:row>11</xdr:row>
      <xdr:rowOff>147638</xdr:rowOff>
    </xdr:from>
    <xdr:to>
      <xdr:col>34</xdr:col>
      <xdr:colOff>586467</xdr:colOff>
      <xdr:row>52</xdr:row>
      <xdr:rowOff>49666</xdr:rowOff>
    </xdr:to>
    <xdr:graphicFrame macro="">
      <xdr:nvGraphicFramePr>
        <xdr:cNvPr id="8" name="Chart 7">
          <a:extLst>
            <a:ext uri="{FF2B5EF4-FFF2-40B4-BE49-F238E27FC236}">
              <a16:creationId xmlns:a16="http://schemas.microsoft.com/office/drawing/2014/main" id="{00000000-0008-0000-1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254000</xdr:colOff>
      <xdr:row>65</xdr:row>
      <xdr:rowOff>101600</xdr:rowOff>
    </xdr:from>
    <xdr:to>
      <xdr:col>8</xdr:col>
      <xdr:colOff>1168400</xdr:colOff>
      <xdr:row>90</xdr:row>
      <xdr:rowOff>101600</xdr:rowOff>
    </xdr:to>
    <xdr:graphicFrame macro="">
      <xdr:nvGraphicFramePr>
        <xdr:cNvPr id="9" name="Chart 8">
          <a:extLst>
            <a:ext uri="{FF2B5EF4-FFF2-40B4-BE49-F238E27FC236}">
              <a16:creationId xmlns:a16="http://schemas.microsoft.com/office/drawing/2014/main" id="{00000000-0008-0000-1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50800</xdr:colOff>
      <xdr:row>65</xdr:row>
      <xdr:rowOff>152400</xdr:rowOff>
    </xdr:from>
    <xdr:to>
      <xdr:col>18</xdr:col>
      <xdr:colOff>127000</xdr:colOff>
      <xdr:row>90</xdr:row>
      <xdr:rowOff>152400</xdr:rowOff>
    </xdr:to>
    <xdr:graphicFrame macro="">
      <xdr:nvGraphicFramePr>
        <xdr:cNvPr id="10" name="Chart 9">
          <a:extLst>
            <a:ext uri="{FF2B5EF4-FFF2-40B4-BE49-F238E27FC236}">
              <a16:creationId xmlns:a16="http://schemas.microsoft.com/office/drawing/2014/main" id="{00000000-0008-0000-1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15</xdr:row>
      <xdr:rowOff>85725</xdr:rowOff>
    </xdr:from>
    <xdr:to>
      <xdr:col>9</xdr:col>
      <xdr:colOff>1638300</xdr:colOff>
      <xdr:row>29</xdr:row>
      <xdr:rowOff>161925</xdr:rowOff>
    </xdr:to>
    <xdr:graphicFrame macro="">
      <xdr:nvGraphicFramePr>
        <xdr:cNvPr id="3" name="Chart 2">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59871</xdr:colOff>
      <xdr:row>58</xdr:row>
      <xdr:rowOff>33312</xdr:rowOff>
    </xdr:from>
    <xdr:to>
      <xdr:col>20</xdr:col>
      <xdr:colOff>594260</xdr:colOff>
      <xdr:row>67</xdr:row>
      <xdr:rowOff>42227</xdr:rowOff>
    </xdr:to>
    <xdr:pic>
      <xdr:nvPicPr>
        <xdr:cNvPr id="22" name="Picture 21">
          <a:extLst>
            <a:ext uri="{FF2B5EF4-FFF2-40B4-BE49-F238E27FC236}">
              <a16:creationId xmlns:a16="http://schemas.microsoft.com/office/drawing/2014/main" id="{00000000-0008-0000-1D00-000016000000}"/>
            </a:ext>
          </a:extLst>
        </xdr:cNvPr>
        <xdr:cNvPicPr>
          <a:picLocks noChangeAspect="1"/>
        </xdr:cNvPicPr>
      </xdr:nvPicPr>
      <xdr:blipFill>
        <a:blip xmlns:r="http://schemas.openxmlformats.org/officeDocument/2006/relationships" r:embed="rId1"/>
        <a:stretch>
          <a:fillRect/>
        </a:stretch>
      </xdr:blipFill>
      <xdr:spPr>
        <a:xfrm>
          <a:off x="15272657" y="14130312"/>
          <a:ext cx="4262746" cy="1723415"/>
        </a:xfrm>
        <a:prstGeom prst="rect">
          <a:avLst/>
        </a:prstGeom>
      </xdr:spPr>
    </xdr:pic>
    <xdr:clientData/>
  </xdr:twoCellAnchor>
  <xdr:twoCellAnchor>
    <xdr:from>
      <xdr:col>30</xdr:col>
      <xdr:colOff>485252</xdr:colOff>
      <xdr:row>78</xdr:row>
      <xdr:rowOff>155069</xdr:rowOff>
    </xdr:from>
    <xdr:to>
      <xdr:col>48</xdr:col>
      <xdr:colOff>223405</xdr:colOff>
      <xdr:row>114</xdr:row>
      <xdr:rowOff>142999</xdr:rowOff>
    </xdr:to>
    <xdr:graphicFrame macro="">
      <xdr:nvGraphicFramePr>
        <xdr:cNvPr id="23" name="Chart 22">
          <a:extLst>
            <a:ext uri="{FF2B5EF4-FFF2-40B4-BE49-F238E27FC236}">
              <a16:creationId xmlns:a16="http://schemas.microsoft.com/office/drawing/2014/main" id="{00000000-0008-0000-1D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231734</xdr:colOff>
      <xdr:row>0</xdr:row>
      <xdr:rowOff>0</xdr:rowOff>
    </xdr:from>
    <xdr:to>
      <xdr:col>10</xdr:col>
      <xdr:colOff>244929</xdr:colOff>
      <xdr:row>8</xdr:row>
      <xdr:rowOff>40564</xdr:rowOff>
    </xdr:to>
    <xdr:pic>
      <xdr:nvPicPr>
        <xdr:cNvPr id="24" name="Picture 23">
          <a:extLst>
            <a:ext uri="{FF2B5EF4-FFF2-40B4-BE49-F238E27FC236}">
              <a16:creationId xmlns:a16="http://schemas.microsoft.com/office/drawing/2014/main" id="{00000000-0008-0000-1D00-000018000000}"/>
            </a:ext>
          </a:extLst>
        </xdr:cNvPr>
        <xdr:cNvPicPr>
          <a:picLocks noChangeAspect="1"/>
        </xdr:cNvPicPr>
      </xdr:nvPicPr>
      <xdr:blipFill>
        <a:blip xmlns:r="http://schemas.openxmlformats.org/officeDocument/2006/relationships" r:embed="rId3"/>
        <a:stretch>
          <a:fillRect/>
        </a:stretch>
      </xdr:blipFill>
      <xdr:spPr>
        <a:xfrm>
          <a:off x="7824520" y="0"/>
          <a:ext cx="2816266" cy="1564564"/>
        </a:xfrm>
        <a:prstGeom prst="rect">
          <a:avLst/>
        </a:prstGeom>
      </xdr:spPr>
    </xdr:pic>
    <xdr:clientData/>
  </xdr:twoCellAnchor>
  <xdr:twoCellAnchor>
    <xdr:from>
      <xdr:col>30</xdr:col>
      <xdr:colOff>371102</xdr:colOff>
      <xdr:row>45</xdr:row>
      <xdr:rowOff>403596</xdr:rowOff>
    </xdr:from>
    <xdr:to>
      <xdr:col>39</xdr:col>
      <xdr:colOff>489034</xdr:colOff>
      <xdr:row>75</xdr:row>
      <xdr:rowOff>490682</xdr:rowOff>
    </xdr:to>
    <xdr:graphicFrame macro="">
      <xdr:nvGraphicFramePr>
        <xdr:cNvPr id="26" name="Chart 25">
          <a:extLst>
            <a:ext uri="{FF2B5EF4-FFF2-40B4-BE49-F238E27FC236}">
              <a16:creationId xmlns:a16="http://schemas.microsoft.com/office/drawing/2014/main" id="{00000000-0008-0000-1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255650</xdr:colOff>
      <xdr:row>11</xdr:row>
      <xdr:rowOff>196274</xdr:rowOff>
    </xdr:from>
    <xdr:to>
      <xdr:col>40</xdr:col>
      <xdr:colOff>67625</xdr:colOff>
      <xdr:row>45</xdr:row>
      <xdr:rowOff>252516</xdr:rowOff>
    </xdr:to>
    <xdr:graphicFrame macro="">
      <xdr:nvGraphicFramePr>
        <xdr:cNvPr id="29" name="Chart 28">
          <a:extLst>
            <a:ext uri="{FF2B5EF4-FFF2-40B4-BE49-F238E27FC236}">
              <a16:creationId xmlns:a16="http://schemas.microsoft.com/office/drawing/2014/main" id="{00000000-0008-0000-1D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enewablesnow.com/news/hif-files-new-eis-for-disputed-usd-500m-wind-project-in-chile-843296/"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bahra-electric.com/Downloads/HVCatalogueLowRes.pdf" TargetMode="External"/><Relationship Id="rId1" Type="http://schemas.openxmlformats.org/officeDocument/2006/relationships/hyperlink" Target="https://www.bahra-electric.com/Downloads/HVCatalogueLowRes.pdf"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ieaghg.org/publications/global-assessment-of-direct-air-capture-cost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5"/>
  <sheetViews>
    <sheetView workbookViewId="0">
      <selection activeCell="B10" sqref="B10"/>
    </sheetView>
  </sheetViews>
  <sheetFormatPr defaultRowHeight="15" x14ac:dyDescent="0.25"/>
  <cols>
    <col min="2" max="2" width="62.42578125" style="62" customWidth="1"/>
  </cols>
  <sheetData>
    <row r="3" spans="2:2" ht="60" x14ac:dyDescent="0.25">
      <c r="B3" s="62" t="s">
        <v>889</v>
      </c>
    </row>
    <row r="5" spans="2:2" ht="30" x14ac:dyDescent="0.25">
      <c r="B5" s="62" t="s">
        <v>888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7"/>
  <sheetViews>
    <sheetView topLeftCell="A190" zoomScale="70" zoomScaleNormal="70" workbookViewId="0">
      <selection activeCell="C253" sqref="C253:C254"/>
    </sheetView>
  </sheetViews>
  <sheetFormatPr defaultColWidth="8.85546875" defaultRowHeight="15" x14ac:dyDescent="0.25"/>
  <cols>
    <col min="1" max="1" width="17.7109375" bestFit="1" customWidth="1"/>
    <col min="2" max="2" width="34" bestFit="1" customWidth="1"/>
    <col min="3" max="3" width="16.7109375" bestFit="1" customWidth="1"/>
    <col min="4" max="4" width="14.42578125" customWidth="1"/>
    <col min="11" max="11" width="12" bestFit="1" customWidth="1"/>
  </cols>
  <sheetData>
    <row r="1" spans="1:8" x14ac:dyDescent="0.25">
      <c r="B1" t="s">
        <v>76</v>
      </c>
      <c r="E1" t="s">
        <v>77</v>
      </c>
    </row>
    <row r="3" spans="1:8" x14ac:dyDescent="0.25">
      <c r="A3" t="s">
        <v>74</v>
      </c>
    </row>
    <row r="4" spans="1:8" x14ac:dyDescent="0.25">
      <c r="B4" t="s">
        <v>65</v>
      </c>
      <c r="C4">
        <v>10</v>
      </c>
      <c r="D4" t="s">
        <v>82</v>
      </c>
    </row>
    <row r="5" spans="1:8" x14ac:dyDescent="0.25">
      <c r="C5">
        <f>C4*3600</f>
        <v>36000</v>
      </c>
      <c r="D5" t="s">
        <v>61</v>
      </c>
      <c r="H5" t="s">
        <v>83</v>
      </c>
    </row>
    <row r="6" spans="1:8" x14ac:dyDescent="0.25">
      <c r="B6" t="s">
        <v>84</v>
      </c>
      <c r="C6">
        <v>8760</v>
      </c>
      <c r="D6" t="s">
        <v>36</v>
      </c>
    </row>
    <row r="7" spans="1:8" x14ac:dyDescent="0.25">
      <c r="B7" t="s">
        <v>85</v>
      </c>
      <c r="C7" s="7">
        <v>0.3</v>
      </c>
      <c r="D7" t="s">
        <v>3</v>
      </c>
    </row>
    <row r="8" spans="1:8" x14ac:dyDescent="0.25">
      <c r="B8" t="s">
        <v>87</v>
      </c>
      <c r="C8" s="7">
        <v>0.15</v>
      </c>
    </row>
    <row r="9" spans="1:8" x14ac:dyDescent="0.25">
      <c r="B9" t="s">
        <v>86</v>
      </c>
      <c r="C9" s="30">
        <f>C4/C6/C7/(1-C8)</f>
        <v>4.4766765153550006E-3</v>
      </c>
      <c r="D9" t="s">
        <v>101</v>
      </c>
    </row>
    <row r="11" spans="1:8" x14ac:dyDescent="0.25">
      <c r="B11" t="s">
        <v>88</v>
      </c>
      <c r="C11">
        <v>1</v>
      </c>
      <c r="D11" t="s">
        <v>98</v>
      </c>
    </row>
    <row r="12" spans="1:8" x14ac:dyDescent="0.25">
      <c r="B12" t="s">
        <v>91</v>
      </c>
      <c r="C12">
        <f>C11*3600</f>
        <v>3600</v>
      </c>
      <c r="D12" t="s">
        <v>89</v>
      </c>
    </row>
    <row r="13" spans="1:8" x14ac:dyDescent="0.25">
      <c r="B13" t="s">
        <v>92</v>
      </c>
      <c r="C13">
        <f>C12*C6*C7*(1-C8)</f>
        <v>8041680</v>
      </c>
      <c r="D13" t="s">
        <v>90</v>
      </c>
    </row>
    <row r="14" spans="1:8" x14ac:dyDescent="0.25">
      <c r="C14">
        <f>C13/C5</f>
        <v>223.38</v>
      </c>
      <c r="D14" t="s">
        <v>37</v>
      </c>
      <c r="E14" t="s">
        <v>99</v>
      </c>
    </row>
    <row r="16" spans="1:8" x14ac:dyDescent="0.25">
      <c r="B16" t="s">
        <v>100</v>
      </c>
      <c r="C16" s="30">
        <f>C11/C14</f>
        <v>4.4766765153550006E-3</v>
      </c>
      <c r="D16" t="s">
        <v>97</v>
      </c>
    </row>
    <row r="18" spans="2:11" x14ac:dyDescent="0.25">
      <c r="B18" t="s">
        <v>93</v>
      </c>
      <c r="C18" s="1">
        <f>C25/C14</f>
        <v>179.06706061420002</v>
      </c>
      <c r="D18" t="s">
        <v>98</v>
      </c>
      <c r="J18" t="s">
        <v>48</v>
      </c>
      <c r="K18" t="s">
        <v>108</v>
      </c>
    </row>
    <row r="19" spans="2:11" x14ac:dyDescent="0.25">
      <c r="B19" t="s">
        <v>95</v>
      </c>
      <c r="C19">
        <v>25.5</v>
      </c>
      <c r="D19" t="s">
        <v>96</v>
      </c>
      <c r="J19">
        <f>C19*1000</f>
        <v>25500</v>
      </c>
      <c r="K19" s="1">
        <f>1/(J19/1000000)</f>
        <v>39.215686274509807</v>
      </c>
    </row>
    <row r="20" spans="2:11" x14ac:dyDescent="0.25">
      <c r="B20" t="s">
        <v>94</v>
      </c>
      <c r="C20" s="12">
        <f>C19*C18*1000</f>
        <v>4566210.0456621004</v>
      </c>
      <c r="D20" t="s">
        <v>2</v>
      </c>
    </row>
    <row r="21" spans="2:11" x14ac:dyDescent="0.25">
      <c r="C21" s="1">
        <f>C20/1000000</f>
        <v>4.5662100456621006</v>
      </c>
      <c r="D21" t="s">
        <v>10</v>
      </c>
      <c r="J21" t="s">
        <v>48</v>
      </c>
      <c r="K21" t="s">
        <v>108</v>
      </c>
    </row>
    <row r="22" spans="2:11" x14ac:dyDescent="0.25">
      <c r="B22" t="s">
        <v>79</v>
      </c>
      <c r="C22">
        <v>1</v>
      </c>
      <c r="D22" t="s">
        <v>78</v>
      </c>
      <c r="E22" t="s">
        <v>77</v>
      </c>
      <c r="J22">
        <f>C22*10000</f>
        <v>10000</v>
      </c>
      <c r="K22">
        <f>1/(J22/1000000)</f>
        <v>100</v>
      </c>
    </row>
    <row r="23" spans="2:11" x14ac:dyDescent="0.25">
      <c r="B23" t="s">
        <v>80</v>
      </c>
      <c r="C23">
        <v>30</v>
      </c>
      <c r="D23" t="s">
        <v>78</v>
      </c>
      <c r="E23" t="s">
        <v>77</v>
      </c>
      <c r="J23">
        <f>C23*10000</f>
        <v>300000</v>
      </c>
      <c r="K23" s="4">
        <f>1/(J23/1000000)</f>
        <v>3.3333333333333335</v>
      </c>
    </row>
    <row r="25" spans="2:11" x14ac:dyDescent="0.25">
      <c r="B25" t="s">
        <v>67</v>
      </c>
      <c r="C25" s="28">
        <v>40000</v>
      </c>
      <c r="D25" t="s">
        <v>19</v>
      </c>
    </row>
    <row r="26" spans="2:11" x14ac:dyDescent="0.25">
      <c r="B26" t="s">
        <v>102</v>
      </c>
      <c r="C26">
        <v>10</v>
      </c>
      <c r="D26" t="s">
        <v>10</v>
      </c>
      <c r="E26" t="s">
        <v>75</v>
      </c>
    </row>
    <row r="27" spans="2:11" x14ac:dyDescent="0.25">
      <c r="B27" t="s">
        <v>103</v>
      </c>
      <c r="C27">
        <f>C26*C23/C22</f>
        <v>300</v>
      </c>
      <c r="D27" t="s">
        <v>10</v>
      </c>
    </row>
    <row r="28" spans="2:11" x14ac:dyDescent="0.25">
      <c r="B28" t="s">
        <v>107</v>
      </c>
      <c r="C28" s="1">
        <f>C20/1000000</f>
        <v>4.5662100456621006</v>
      </c>
      <c r="D28" t="s">
        <v>10</v>
      </c>
    </row>
    <row r="30" spans="2:11" x14ac:dyDescent="0.25">
      <c r="B30" t="s">
        <v>104</v>
      </c>
      <c r="C30" s="1">
        <f>SQRT(C26)</f>
        <v>3.1622776601683795</v>
      </c>
      <c r="D30" t="s">
        <v>58</v>
      </c>
    </row>
    <row r="31" spans="2:11" x14ac:dyDescent="0.25">
      <c r="B31" t="s">
        <v>105</v>
      </c>
      <c r="C31" s="1">
        <f>SQRT(C27)</f>
        <v>17.320508075688775</v>
      </c>
      <c r="D31" t="s">
        <v>58</v>
      </c>
    </row>
    <row r="32" spans="2:11" x14ac:dyDescent="0.25">
      <c r="B32" t="s">
        <v>106</v>
      </c>
      <c r="C32" s="1">
        <f>SQRT(C21)</f>
        <v>2.1368692158534413</v>
      </c>
      <c r="D32" t="s">
        <v>58</v>
      </c>
    </row>
    <row r="36" spans="2:4" x14ac:dyDescent="0.25">
      <c r="B36" t="s">
        <v>81</v>
      </c>
      <c r="C36" s="28">
        <v>1700000</v>
      </c>
      <c r="D36" t="s">
        <v>19</v>
      </c>
    </row>
    <row r="37" spans="2:4" x14ac:dyDescent="0.25">
      <c r="B37" t="s">
        <v>111</v>
      </c>
      <c r="C37" s="40">
        <f>C36*C5</f>
        <v>61200000000</v>
      </c>
      <c r="D37" t="s">
        <v>90</v>
      </c>
    </row>
    <row r="38" spans="2:4" x14ac:dyDescent="0.25">
      <c r="C38" s="57">
        <f>C37/8760</f>
        <v>6986301.3698630137</v>
      </c>
      <c r="D38" t="s">
        <v>89</v>
      </c>
    </row>
    <row r="39" spans="2:4" x14ac:dyDescent="0.25">
      <c r="C39" s="57">
        <f>C38/3600</f>
        <v>1940.6392694063927</v>
      </c>
      <c r="D39" t="s">
        <v>8</v>
      </c>
    </row>
    <row r="41" spans="2:4" x14ac:dyDescent="0.25">
      <c r="B41" t="s">
        <v>102</v>
      </c>
      <c r="C41">
        <f>C26/C25*C36</f>
        <v>425</v>
      </c>
      <c r="D41" t="s">
        <v>10</v>
      </c>
    </row>
    <row r="42" spans="2:4" x14ac:dyDescent="0.25">
      <c r="B42" t="s">
        <v>103</v>
      </c>
      <c r="C42">
        <f>C27/C25*C36</f>
        <v>12750</v>
      </c>
      <c r="D42" t="s">
        <v>10</v>
      </c>
    </row>
    <row r="43" spans="2:4" x14ac:dyDescent="0.25">
      <c r="B43" t="s">
        <v>107</v>
      </c>
      <c r="C43" s="12">
        <f>C28/C25*C36</f>
        <v>194.06392694063928</v>
      </c>
      <c r="D43" t="s">
        <v>10</v>
      </c>
    </row>
    <row r="45" spans="2:4" x14ac:dyDescent="0.25">
      <c r="B45" t="s">
        <v>104</v>
      </c>
      <c r="C45" s="1">
        <f>SQRT(C41)</f>
        <v>20.615528128088304</v>
      </c>
      <c r="D45" t="s">
        <v>58</v>
      </c>
    </row>
    <row r="46" spans="2:4" x14ac:dyDescent="0.25">
      <c r="B46" t="s">
        <v>105</v>
      </c>
      <c r="C46" s="1">
        <f>SQRT(C42)</f>
        <v>112.91589790636215</v>
      </c>
      <c r="D46" t="s">
        <v>58</v>
      </c>
    </row>
    <row r="47" spans="2:4" x14ac:dyDescent="0.25">
      <c r="B47" t="s">
        <v>106</v>
      </c>
      <c r="C47" s="1">
        <f>SQRT(C43)</f>
        <v>13.930682931595252</v>
      </c>
      <c r="D47" t="s">
        <v>58</v>
      </c>
    </row>
    <row r="50" spans="2:4" x14ac:dyDescent="0.25">
      <c r="B50" t="s">
        <v>109</v>
      </c>
      <c r="C50">
        <v>0.24399999999999999</v>
      </c>
      <c r="D50" t="s">
        <v>110</v>
      </c>
    </row>
    <row r="51" spans="2:4" x14ac:dyDescent="0.25">
      <c r="B51" t="s">
        <v>4</v>
      </c>
      <c r="C51" s="7">
        <v>0.86</v>
      </c>
      <c r="D51" t="s">
        <v>118</v>
      </c>
    </row>
    <row r="52" spans="2:4" x14ac:dyDescent="0.25">
      <c r="C52">
        <f>C51/1000</f>
        <v>8.5999999999999998E-4</v>
      </c>
      <c r="D52" t="s">
        <v>119</v>
      </c>
    </row>
    <row r="55" spans="2:4" x14ac:dyDescent="0.25">
      <c r="B55" t="s">
        <v>112</v>
      </c>
      <c r="C55" s="57">
        <f>C50*C39*1000</f>
        <v>473515.98173515982</v>
      </c>
      <c r="D55" t="s">
        <v>113</v>
      </c>
    </row>
    <row r="57" spans="2:4" x14ac:dyDescent="0.25">
      <c r="B57" t="s">
        <v>115</v>
      </c>
      <c r="C57">
        <v>100</v>
      </c>
      <c r="D57" t="s">
        <v>58</v>
      </c>
    </row>
    <row r="58" spans="2:4" x14ac:dyDescent="0.25">
      <c r="B58" t="s">
        <v>116</v>
      </c>
      <c r="C58" s="57">
        <f>C57*C55</f>
        <v>47351598.173515983</v>
      </c>
      <c r="D58" t="s">
        <v>14</v>
      </c>
    </row>
    <row r="59" spans="2:4" x14ac:dyDescent="0.25">
      <c r="B59" t="s">
        <v>117</v>
      </c>
    </row>
    <row r="62" spans="2:4" x14ac:dyDescent="0.25">
      <c r="B62" t="s">
        <v>114</v>
      </c>
      <c r="C62">
        <f>150</f>
        <v>150</v>
      </c>
      <c r="D62" t="s">
        <v>50</v>
      </c>
    </row>
    <row r="63" spans="2:4" x14ac:dyDescent="0.25">
      <c r="B63" t="s">
        <v>114</v>
      </c>
      <c r="C63" s="57">
        <f>C62*C39*1000</f>
        <v>291095890.41095889</v>
      </c>
      <c r="D63" t="s">
        <v>14</v>
      </c>
    </row>
    <row r="67" spans="2:4" x14ac:dyDescent="0.25">
      <c r="B67" s="24" t="s">
        <v>132</v>
      </c>
    </row>
    <row r="68" spans="2:4" x14ac:dyDescent="0.25">
      <c r="B68" t="s">
        <v>120</v>
      </c>
      <c r="C68">
        <v>384</v>
      </c>
      <c r="D68" t="s">
        <v>8</v>
      </c>
    </row>
    <row r="69" spans="2:4" x14ac:dyDescent="0.25">
      <c r="B69" t="s">
        <v>121</v>
      </c>
      <c r="C69">
        <v>64</v>
      </c>
      <c r="D69" t="s">
        <v>3</v>
      </c>
    </row>
    <row r="70" spans="2:4" x14ac:dyDescent="0.25">
      <c r="B70" t="s">
        <v>122</v>
      </c>
      <c r="C70">
        <f>C68/C69</f>
        <v>6</v>
      </c>
      <c r="D70" t="s">
        <v>8</v>
      </c>
    </row>
    <row r="72" spans="2:4" x14ac:dyDescent="0.25">
      <c r="B72" t="s">
        <v>143</v>
      </c>
      <c r="C72">
        <f>C101</f>
        <v>37.909999999999997</v>
      </c>
      <c r="D72" t="s">
        <v>10</v>
      </c>
    </row>
    <row r="73" spans="2:4" x14ac:dyDescent="0.25">
      <c r="B73" s="5" t="s">
        <v>633</v>
      </c>
      <c r="C73" s="18">
        <f>C68/C72</f>
        <v>10.129253495120022</v>
      </c>
      <c r="D73" s="5" t="s">
        <v>108</v>
      </c>
    </row>
    <row r="74" spans="2:4" x14ac:dyDescent="0.25">
      <c r="B74" s="14" t="s">
        <v>128</v>
      </c>
      <c r="C74" s="7">
        <v>0.5</v>
      </c>
    </row>
    <row r="75" spans="2:4" x14ac:dyDescent="0.25">
      <c r="B75" t="s">
        <v>129</v>
      </c>
      <c r="C75" s="1">
        <f>C68*C74/C72</f>
        <v>5.0646267475600109</v>
      </c>
      <c r="D75" t="s">
        <v>108</v>
      </c>
    </row>
    <row r="76" spans="2:4" x14ac:dyDescent="0.25">
      <c r="B76" t="s">
        <v>130</v>
      </c>
      <c r="C76" s="1">
        <f>C69/C72</f>
        <v>1.6882089158533371</v>
      </c>
      <c r="D76" t="s">
        <v>131</v>
      </c>
    </row>
    <row r="79" spans="2:4" x14ac:dyDescent="0.25">
      <c r="B79" t="s">
        <v>148</v>
      </c>
      <c r="C79" s="57">
        <v>500000000</v>
      </c>
      <c r="D79" t="s">
        <v>41</v>
      </c>
    </row>
    <row r="80" spans="2:4" x14ac:dyDescent="0.25">
      <c r="B80" t="s">
        <v>123</v>
      </c>
      <c r="C80">
        <v>66</v>
      </c>
      <c r="D80" t="s">
        <v>124</v>
      </c>
    </row>
    <row r="81" spans="2:5" x14ac:dyDescent="0.25">
      <c r="B81" t="s">
        <v>125</v>
      </c>
      <c r="C81">
        <v>12.3</v>
      </c>
      <c r="D81" t="s">
        <v>58</v>
      </c>
    </row>
    <row r="83" spans="2:5" x14ac:dyDescent="0.25">
      <c r="B83" t="s">
        <v>126</v>
      </c>
      <c r="C83" s="57">
        <v>173600</v>
      </c>
      <c r="D83" t="s">
        <v>37</v>
      </c>
    </row>
    <row r="84" spans="2:5" x14ac:dyDescent="0.25">
      <c r="B84" t="s">
        <v>127</v>
      </c>
      <c r="C84" s="57">
        <v>70000</v>
      </c>
      <c r="D84" t="s">
        <v>37</v>
      </c>
    </row>
    <row r="85" spans="2:5" x14ac:dyDescent="0.25">
      <c r="B85" t="s">
        <v>146</v>
      </c>
      <c r="C85" s="57">
        <f>830000000</f>
        <v>830000000</v>
      </c>
      <c r="D85" t="s">
        <v>41</v>
      </c>
      <c r="E85" t="s">
        <v>147</v>
      </c>
    </row>
    <row r="88" spans="2:5" x14ac:dyDescent="0.25">
      <c r="B88" t="s">
        <v>133</v>
      </c>
      <c r="C88">
        <f>C68*C74*3600*8760</f>
        <v>6054912000</v>
      </c>
      <c r="D88" t="s">
        <v>90</v>
      </c>
    </row>
    <row r="89" spans="2:5" x14ac:dyDescent="0.25">
      <c r="C89">
        <f>C88/3600</f>
        <v>1681920</v>
      </c>
      <c r="D89" t="s">
        <v>134</v>
      </c>
    </row>
    <row r="90" spans="2:5" x14ac:dyDescent="0.25">
      <c r="B90" t="s">
        <v>135</v>
      </c>
      <c r="C90" s="4">
        <f>C89/C83</f>
        <v>9.6884792626728107</v>
      </c>
      <c r="D90" t="s">
        <v>136</v>
      </c>
    </row>
    <row r="94" spans="2:5" x14ac:dyDescent="0.25">
      <c r="B94" t="s">
        <v>137</v>
      </c>
      <c r="C94">
        <f>1700000</f>
        <v>1700000</v>
      </c>
      <c r="D94" t="s">
        <v>37</v>
      </c>
    </row>
    <row r="95" spans="2:5" x14ac:dyDescent="0.25">
      <c r="B95" t="s">
        <v>138</v>
      </c>
      <c r="C95" s="1">
        <f>C72*C94/C83</f>
        <v>371.23847926267274</v>
      </c>
      <c r="D95" t="s">
        <v>10</v>
      </c>
    </row>
    <row r="96" spans="2:5" x14ac:dyDescent="0.25">
      <c r="B96" t="s">
        <v>139</v>
      </c>
      <c r="C96" s="1">
        <f>SQRT(C95)</f>
        <v>19.267549902950108</v>
      </c>
      <c r="D96" t="s">
        <v>58</v>
      </c>
    </row>
    <row r="97" spans="2:5" x14ac:dyDescent="0.25">
      <c r="B97" t="s">
        <v>140</v>
      </c>
      <c r="C97" s="12">
        <f>C95*C76</f>
        <v>626.72811059907826</v>
      </c>
      <c r="D97" t="s">
        <v>141</v>
      </c>
    </row>
    <row r="99" spans="2:5" x14ac:dyDescent="0.25">
      <c r="B99" t="s">
        <v>143</v>
      </c>
      <c r="C99">
        <f>3791</f>
        <v>3791</v>
      </c>
      <c r="D99" t="s">
        <v>57</v>
      </c>
      <c r="E99" s="48" t="s">
        <v>144</v>
      </c>
    </row>
    <row r="100" spans="2:5" x14ac:dyDescent="0.25">
      <c r="C100">
        <f>C99*10000</f>
        <v>37910000</v>
      </c>
      <c r="D100" t="s">
        <v>2</v>
      </c>
    </row>
    <row r="101" spans="2:5" x14ac:dyDescent="0.25">
      <c r="C101">
        <f>C100/1000000</f>
        <v>37.909999999999997</v>
      </c>
      <c r="D101" t="s">
        <v>10</v>
      </c>
    </row>
    <row r="103" spans="2:5" x14ac:dyDescent="0.25">
      <c r="B103" t="s">
        <v>145</v>
      </c>
      <c r="C103">
        <v>27</v>
      </c>
      <c r="D103" t="s">
        <v>10</v>
      </c>
      <c r="E103" t="s">
        <v>142</v>
      </c>
    </row>
    <row r="104" spans="2:5" x14ac:dyDescent="0.25">
      <c r="B104" t="s">
        <v>713</v>
      </c>
      <c r="C104">
        <v>325</v>
      </c>
      <c r="D104" t="s">
        <v>8</v>
      </c>
    </row>
    <row r="105" spans="2:5" x14ac:dyDescent="0.25">
      <c r="B105" t="s">
        <v>713</v>
      </c>
      <c r="C105">
        <v>65</v>
      </c>
      <c r="D105" t="s">
        <v>714</v>
      </c>
    </row>
    <row r="106" spans="2:5" x14ac:dyDescent="0.25">
      <c r="B106" t="s">
        <v>716</v>
      </c>
      <c r="C106">
        <f>C104/C105</f>
        <v>5</v>
      </c>
      <c r="D106" t="s">
        <v>8</v>
      </c>
    </row>
    <row r="107" spans="2:5" x14ac:dyDescent="0.25">
      <c r="B107" t="s">
        <v>715</v>
      </c>
      <c r="C107" s="1">
        <f>C104/C103</f>
        <v>12.037037037037036</v>
      </c>
      <c r="D107" t="s">
        <v>108</v>
      </c>
    </row>
    <row r="110" spans="2:5" x14ac:dyDescent="0.25">
      <c r="B110" t="s">
        <v>149</v>
      </c>
    </row>
    <row r="111" spans="2:5" x14ac:dyDescent="0.25">
      <c r="B111" t="s">
        <v>150</v>
      </c>
      <c r="C111">
        <v>3000</v>
      </c>
      <c r="D111" t="s">
        <v>151</v>
      </c>
      <c r="E111" t="s">
        <v>152</v>
      </c>
    </row>
    <row r="112" spans="2:5" x14ac:dyDescent="0.25">
      <c r="C112" s="12">
        <f>C111/1.60934</f>
        <v>1864.1182099494204</v>
      </c>
      <c r="D112" t="s">
        <v>153</v>
      </c>
    </row>
    <row r="148" spans="2:7" x14ac:dyDescent="0.25">
      <c r="B148" t="s">
        <v>612</v>
      </c>
      <c r="C148" s="6" t="s">
        <v>615</v>
      </c>
    </row>
    <row r="150" spans="2:7" x14ac:dyDescent="0.25">
      <c r="B150" s="5"/>
      <c r="C150" s="24" t="s">
        <v>622</v>
      </c>
      <c r="D150" s="24" t="s">
        <v>613</v>
      </c>
      <c r="E150" s="5" t="s">
        <v>624</v>
      </c>
      <c r="F150" s="5" t="s">
        <v>625</v>
      </c>
    </row>
    <row r="151" spans="2:7" x14ac:dyDescent="0.25">
      <c r="B151" t="s">
        <v>614</v>
      </c>
      <c r="C151">
        <v>9</v>
      </c>
      <c r="D151">
        <v>96</v>
      </c>
      <c r="E151">
        <v>127</v>
      </c>
      <c r="F151">
        <v>122</v>
      </c>
      <c r="G151" t="s">
        <v>3</v>
      </c>
    </row>
    <row r="152" spans="2:7" x14ac:dyDescent="0.25">
      <c r="B152" t="s">
        <v>616</v>
      </c>
      <c r="C152">
        <v>3</v>
      </c>
      <c r="D152">
        <v>1.5</v>
      </c>
      <c r="E152">
        <v>1.5</v>
      </c>
      <c r="F152">
        <v>1.5</v>
      </c>
      <c r="G152" t="s">
        <v>8</v>
      </c>
    </row>
    <row r="154" spans="2:7" x14ac:dyDescent="0.25">
      <c r="B154" t="s">
        <v>623</v>
      </c>
      <c r="D154">
        <v>28.1</v>
      </c>
      <c r="G154" t="s">
        <v>10</v>
      </c>
    </row>
    <row r="156" spans="2:7" x14ac:dyDescent="0.25">
      <c r="B156" t="s">
        <v>617</v>
      </c>
      <c r="D156" s="4">
        <f>D151/D154</f>
        <v>3.4163701067615655</v>
      </c>
      <c r="G156" t="s">
        <v>131</v>
      </c>
    </row>
    <row r="157" spans="2:7" x14ac:dyDescent="0.25">
      <c r="D157" s="4">
        <f>1/D156</f>
        <v>0.29270833333333335</v>
      </c>
      <c r="G157" t="s">
        <v>618</v>
      </c>
    </row>
    <row r="158" spans="2:7" x14ac:dyDescent="0.25">
      <c r="B158" t="s">
        <v>619</v>
      </c>
      <c r="C158" s="4">
        <f>1/C159</f>
        <v>2.7777777777777777</v>
      </c>
      <c r="D158" s="4">
        <f t="shared" ref="D158:F158" si="0">1/D159</f>
        <v>3.3333333333333335</v>
      </c>
      <c r="E158" s="4">
        <f t="shared" si="0"/>
        <v>3.4482758620689657</v>
      </c>
      <c r="F158" s="4">
        <f t="shared" si="0"/>
        <v>3.0303030303030303</v>
      </c>
      <c r="G158" t="s">
        <v>131</v>
      </c>
    </row>
    <row r="159" spans="2:7" x14ac:dyDescent="0.25">
      <c r="C159">
        <v>0.36</v>
      </c>
      <c r="D159">
        <v>0.3</v>
      </c>
      <c r="E159">
        <v>0.28999999999999998</v>
      </c>
      <c r="F159">
        <v>0.33</v>
      </c>
      <c r="G159" t="s">
        <v>618</v>
      </c>
    </row>
    <row r="162" spans="2:7" x14ac:dyDescent="0.25">
      <c r="B162" t="s">
        <v>620</v>
      </c>
      <c r="D162" s="1">
        <f>D156*D152</f>
        <v>5.1245551601423482</v>
      </c>
      <c r="G162" t="s">
        <v>108</v>
      </c>
    </row>
    <row r="163" spans="2:7" x14ac:dyDescent="0.25">
      <c r="B163" s="5" t="s">
        <v>621</v>
      </c>
      <c r="C163" s="18">
        <f>C158*C152</f>
        <v>8.3333333333333321</v>
      </c>
      <c r="D163" s="18">
        <f t="shared" ref="D163:F163" si="1">D158*D152</f>
        <v>5</v>
      </c>
      <c r="E163" s="18">
        <f t="shared" si="1"/>
        <v>5.1724137931034484</v>
      </c>
      <c r="F163" s="18">
        <f t="shared" si="1"/>
        <v>4.545454545454545</v>
      </c>
      <c r="G163" s="5" t="s">
        <v>108</v>
      </c>
    </row>
    <row r="165" spans="2:7" x14ac:dyDescent="0.25">
      <c r="B165" t="s">
        <v>626</v>
      </c>
      <c r="C165">
        <f>C151*C152</f>
        <v>27</v>
      </c>
      <c r="D165">
        <f t="shared" ref="D165:F165" si="2">D151*D152</f>
        <v>144</v>
      </c>
      <c r="E165">
        <f t="shared" si="2"/>
        <v>190.5</v>
      </c>
      <c r="F165">
        <f t="shared" si="2"/>
        <v>183</v>
      </c>
      <c r="G165" t="s">
        <v>8</v>
      </c>
    </row>
    <row r="167" spans="2:7" x14ac:dyDescent="0.25">
      <c r="B167" s="5"/>
      <c r="F167">
        <f>SUM(C165:F165)</f>
        <v>544.5</v>
      </c>
      <c r="G167" t="s">
        <v>8</v>
      </c>
    </row>
    <row r="174" spans="2:7" x14ac:dyDescent="0.25">
      <c r="B174" t="s">
        <v>627</v>
      </c>
    </row>
    <row r="176" spans="2:7" x14ac:dyDescent="0.25">
      <c r="B176" s="5" t="s">
        <v>628</v>
      </c>
      <c r="C176" s="5">
        <v>20</v>
      </c>
      <c r="D176" s="5" t="s">
        <v>108</v>
      </c>
      <c r="E176" t="s">
        <v>629</v>
      </c>
    </row>
    <row r="177" spans="2:5" x14ac:dyDescent="0.25">
      <c r="E177" t="s">
        <v>632</v>
      </c>
    </row>
    <row r="178" spans="2:5" x14ac:dyDescent="0.25">
      <c r="B178" t="s">
        <v>637</v>
      </c>
      <c r="C178">
        <f>131*2.3</f>
        <v>301.29999999999995</v>
      </c>
      <c r="D178" t="s">
        <v>8</v>
      </c>
    </row>
    <row r="179" spans="2:5" x14ac:dyDescent="0.25">
      <c r="C179">
        <f>97*3</f>
        <v>291</v>
      </c>
      <c r="D179" t="s">
        <v>8</v>
      </c>
    </row>
    <row r="180" spans="2:5" x14ac:dyDescent="0.25">
      <c r="B180" t="s">
        <v>638</v>
      </c>
      <c r="C180">
        <f>90*3</f>
        <v>270</v>
      </c>
      <c r="D180" t="s">
        <v>8</v>
      </c>
    </row>
    <row r="182" spans="2:5" x14ac:dyDescent="0.25">
      <c r="B182" t="s">
        <v>639</v>
      </c>
      <c r="C182">
        <v>3</v>
      </c>
      <c r="D182" t="s">
        <v>8</v>
      </c>
    </row>
    <row r="184" spans="2:5" x14ac:dyDescent="0.25">
      <c r="B184" t="s">
        <v>630</v>
      </c>
    </row>
    <row r="185" spans="2:5" x14ac:dyDescent="0.25">
      <c r="B185" s="5" t="s">
        <v>628</v>
      </c>
      <c r="C185" s="5">
        <v>13.6</v>
      </c>
      <c r="D185" s="5" t="s">
        <v>108</v>
      </c>
      <c r="E185" t="s">
        <v>631</v>
      </c>
    </row>
    <row r="189" spans="2:5" x14ac:dyDescent="0.25">
      <c r="B189" t="s">
        <v>636</v>
      </c>
    </row>
    <row r="190" spans="2:5" x14ac:dyDescent="0.25">
      <c r="B190" s="5" t="s">
        <v>634</v>
      </c>
      <c r="C190" s="5">
        <v>7.1</v>
      </c>
      <c r="D190" s="5" t="s">
        <v>108</v>
      </c>
      <c r="E190" t="s">
        <v>635</v>
      </c>
    </row>
    <row r="195" spans="2:4" x14ac:dyDescent="0.25">
      <c r="B195" t="s">
        <v>795</v>
      </c>
      <c r="C195">
        <v>2.6</v>
      </c>
      <c r="D195" t="s">
        <v>8</v>
      </c>
    </row>
    <row r="196" spans="2:4" x14ac:dyDescent="0.25">
      <c r="B196" t="s">
        <v>790</v>
      </c>
      <c r="C196">
        <v>4.375</v>
      </c>
    </row>
    <row r="197" spans="2:4" x14ac:dyDescent="0.25">
      <c r="B197" t="s">
        <v>789</v>
      </c>
      <c r="C197">
        <v>100</v>
      </c>
      <c r="D197" t="s">
        <v>22</v>
      </c>
    </row>
    <row r="199" spans="2:4" x14ac:dyDescent="0.25">
      <c r="B199" t="s">
        <v>791</v>
      </c>
      <c r="C199" s="12">
        <f>C197*C196</f>
        <v>437.5</v>
      </c>
      <c r="D199" t="s">
        <v>22</v>
      </c>
    </row>
    <row r="200" spans="2:4" x14ac:dyDescent="0.25">
      <c r="B200" t="s">
        <v>792</v>
      </c>
      <c r="C200">
        <v>10</v>
      </c>
    </row>
    <row r="201" spans="2:4" x14ac:dyDescent="0.25">
      <c r="B201" t="s">
        <v>49</v>
      </c>
      <c r="C201" s="12">
        <f>(C199*C200)^2</f>
        <v>19140625</v>
      </c>
      <c r="D201" t="s">
        <v>2</v>
      </c>
    </row>
    <row r="202" spans="2:4" x14ac:dyDescent="0.25">
      <c r="C202" s="12">
        <f>C201/1000000</f>
        <v>19.140625</v>
      </c>
      <c r="D202" t="s">
        <v>10</v>
      </c>
    </row>
    <row r="204" spans="2:4" x14ac:dyDescent="0.25">
      <c r="B204" t="s">
        <v>793</v>
      </c>
      <c r="C204">
        <f>C200^2</f>
        <v>100</v>
      </c>
    </row>
    <row r="205" spans="2:4" x14ac:dyDescent="0.25">
      <c r="B205" t="s">
        <v>794</v>
      </c>
      <c r="C205">
        <f>C204*C195</f>
        <v>260</v>
      </c>
      <c r="D205" t="s">
        <v>8</v>
      </c>
    </row>
    <row r="207" spans="2:4" x14ac:dyDescent="0.25">
      <c r="B207" t="s">
        <v>796</v>
      </c>
      <c r="C207" s="1">
        <f>C205/C202</f>
        <v>13.583673469387755</v>
      </c>
      <c r="D207" t="s">
        <v>8</v>
      </c>
    </row>
  </sheetData>
  <hyperlinks>
    <hyperlink ref="E99" r:id="rId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71"/>
  <sheetViews>
    <sheetView zoomScale="70" zoomScaleNormal="70" workbookViewId="0">
      <pane xSplit="2" ySplit="3" topLeftCell="C11" activePane="bottomRight" state="frozen"/>
      <selection pane="topRight" activeCell="C1" sqref="C1"/>
      <selection pane="bottomLeft" activeCell="A4" sqref="A4"/>
      <selection pane="bottomRight" activeCell="O32" sqref="O32"/>
    </sheetView>
  </sheetViews>
  <sheetFormatPr defaultColWidth="9.140625" defaultRowHeight="15" x14ac:dyDescent="0.25"/>
  <cols>
    <col min="1" max="1" width="9.140625" style="61"/>
    <col min="2" max="2" width="34.85546875" style="61" bestFit="1" customWidth="1"/>
    <col min="3" max="3" width="46.42578125" style="62" customWidth="1"/>
    <col min="4" max="4" width="54.140625" style="62" customWidth="1"/>
    <col min="5" max="5" width="23.7109375" style="62" customWidth="1"/>
    <col min="6" max="6" width="16.85546875" style="61" customWidth="1"/>
    <col min="7" max="7" width="3.85546875" style="61" customWidth="1"/>
    <col min="8" max="8" width="9.140625" style="66"/>
    <col min="9" max="9" width="11.42578125" style="61" bestFit="1" customWidth="1"/>
    <col min="10" max="10" width="11" style="61" customWidth="1"/>
    <col min="11" max="13" width="15.42578125" style="69" customWidth="1"/>
    <col min="14" max="14" width="15.42578125" style="61" bestFit="1" customWidth="1"/>
    <col min="15" max="15" width="14.28515625" style="61" bestFit="1" customWidth="1"/>
    <col min="16" max="16" width="20.42578125" style="61" bestFit="1" customWidth="1"/>
    <col min="17" max="17" width="9.140625" style="61"/>
    <col min="18" max="18" width="36.85546875" style="62" customWidth="1"/>
    <col min="19" max="16384" width="9.140625" style="61"/>
  </cols>
  <sheetData>
    <row r="2" spans="2:18" x14ac:dyDescent="0.25">
      <c r="B2" s="64" t="s">
        <v>156</v>
      </c>
      <c r="C2" s="65" t="s">
        <v>158</v>
      </c>
      <c r="D2" s="65" t="s">
        <v>159</v>
      </c>
      <c r="E2" s="65" t="s">
        <v>56</v>
      </c>
      <c r="F2" s="64" t="s">
        <v>164</v>
      </c>
      <c r="G2" s="64"/>
      <c r="H2" s="64" t="s">
        <v>163</v>
      </c>
      <c r="I2" s="67" t="s">
        <v>160</v>
      </c>
      <c r="J2" s="66"/>
      <c r="K2" s="72"/>
      <c r="L2" s="72" t="s">
        <v>248</v>
      </c>
      <c r="M2" s="72" t="s">
        <v>249</v>
      </c>
      <c r="N2" s="66"/>
      <c r="R2" s="63" t="s">
        <v>13</v>
      </c>
    </row>
    <row r="3" spans="2:18" x14ac:dyDescent="0.25">
      <c r="B3" s="68"/>
      <c r="C3" s="68"/>
      <c r="D3" s="71"/>
      <c r="E3" s="71"/>
      <c r="F3" s="68"/>
      <c r="G3" s="68"/>
      <c r="H3" s="70"/>
      <c r="I3" s="70" t="s">
        <v>161</v>
      </c>
      <c r="J3" s="70" t="s">
        <v>162</v>
      </c>
      <c r="K3" s="73" t="s">
        <v>113</v>
      </c>
      <c r="L3" s="73" t="s">
        <v>113</v>
      </c>
      <c r="M3" s="73" t="s">
        <v>113</v>
      </c>
      <c r="N3" s="70" t="s">
        <v>166</v>
      </c>
      <c r="O3" s="70" t="s">
        <v>167</v>
      </c>
      <c r="P3" s="70" t="s">
        <v>178</v>
      </c>
      <c r="Q3" s="68"/>
      <c r="R3" s="71"/>
    </row>
    <row r="4" spans="2:18" ht="30" x14ac:dyDescent="0.25">
      <c r="B4" s="61" t="s">
        <v>157</v>
      </c>
      <c r="C4" s="62" t="s">
        <v>174</v>
      </c>
      <c r="D4" s="62" t="s">
        <v>169</v>
      </c>
      <c r="E4" s="62" t="s">
        <v>43</v>
      </c>
      <c r="F4" s="61" t="s">
        <v>165</v>
      </c>
      <c r="H4" s="66">
        <v>2003</v>
      </c>
      <c r="I4" s="69">
        <v>390000</v>
      </c>
      <c r="J4" s="69">
        <f>I4/1.61</f>
        <v>242236.02484472049</v>
      </c>
      <c r="N4" s="69"/>
      <c r="O4" s="69"/>
    </row>
    <row r="5" spans="2:18" x14ac:dyDescent="0.25">
      <c r="D5" s="62" t="s">
        <v>168</v>
      </c>
      <c r="E5" s="62" t="s">
        <v>43</v>
      </c>
      <c r="F5" s="61" t="s">
        <v>165</v>
      </c>
      <c r="H5" s="66">
        <v>2003</v>
      </c>
      <c r="I5" s="69">
        <v>540000</v>
      </c>
      <c r="J5" s="69">
        <f t="shared" ref="J5:J25" si="0">I5/1.61</f>
        <v>335403.72670807451</v>
      </c>
      <c r="N5" s="69"/>
      <c r="O5" s="69"/>
    </row>
    <row r="6" spans="2:18" x14ac:dyDescent="0.25">
      <c r="D6" s="62" t="s">
        <v>171</v>
      </c>
      <c r="E6" s="62" t="s">
        <v>43</v>
      </c>
      <c r="F6" s="61" t="s">
        <v>165</v>
      </c>
      <c r="H6" s="66">
        <v>2003</v>
      </c>
      <c r="I6" s="69">
        <v>285000</v>
      </c>
      <c r="J6" s="69">
        <f t="shared" si="0"/>
        <v>177018.63354037266</v>
      </c>
      <c r="N6" s="69"/>
      <c r="O6" s="69"/>
    </row>
    <row r="7" spans="2:18" x14ac:dyDescent="0.25">
      <c r="D7" s="62" t="s">
        <v>170</v>
      </c>
      <c r="E7" s="62" t="s">
        <v>43</v>
      </c>
      <c r="F7" s="61" t="s">
        <v>165</v>
      </c>
      <c r="H7" s="66">
        <v>2003</v>
      </c>
      <c r="I7" s="69">
        <v>380000</v>
      </c>
      <c r="J7" s="69">
        <f t="shared" si="0"/>
        <v>236024.84472049688</v>
      </c>
      <c r="N7" s="69"/>
      <c r="O7" s="69"/>
    </row>
    <row r="8" spans="2:18" ht="30" x14ac:dyDescent="0.25">
      <c r="D8" s="62" t="s">
        <v>173</v>
      </c>
      <c r="E8" s="62" t="s">
        <v>43</v>
      </c>
      <c r="F8" s="61" t="s">
        <v>165</v>
      </c>
      <c r="H8" s="66">
        <v>2003</v>
      </c>
      <c r="I8" s="69">
        <f>I6*4</f>
        <v>1140000</v>
      </c>
      <c r="J8" s="69">
        <f t="shared" si="0"/>
        <v>708074.53416149062</v>
      </c>
      <c r="N8" s="69"/>
      <c r="O8" s="69"/>
      <c r="R8" s="62" t="s">
        <v>172</v>
      </c>
    </row>
    <row r="9" spans="2:18" x14ac:dyDescent="0.25">
      <c r="I9" s="69"/>
      <c r="J9" s="69">
        <f t="shared" si="0"/>
        <v>0</v>
      </c>
      <c r="N9" s="69"/>
      <c r="O9" s="69"/>
    </row>
    <row r="10" spans="2:18" x14ac:dyDescent="0.25">
      <c r="B10" s="61" t="s">
        <v>152</v>
      </c>
      <c r="D10" s="62" t="s">
        <v>175</v>
      </c>
      <c r="E10" s="62" t="s">
        <v>43</v>
      </c>
      <c r="F10" s="61" t="s">
        <v>165</v>
      </c>
      <c r="H10" s="66">
        <v>2021</v>
      </c>
      <c r="I10" s="69">
        <v>3900000</v>
      </c>
      <c r="J10" s="69">
        <f t="shared" si="0"/>
        <v>2422360.2484472049</v>
      </c>
      <c r="N10" s="69">
        <v>1502</v>
      </c>
      <c r="O10" s="69"/>
      <c r="R10" s="62" t="s">
        <v>177</v>
      </c>
    </row>
    <row r="11" spans="2:18" ht="30" x14ac:dyDescent="0.25">
      <c r="D11" s="62" t="s">
        <v>175</v>
      </c>
      <c r="E11" s="62" t="s">
        <v>176</v>
      </c>
      <c r="F11" s="61" t="s">
        <v>165</v>
      </c>
      <c r="H11" s="66">
        <v>2021</v>
      </c>
      <c r="I11" s="69"/>
      <c r="J11" s="69">
        <f t="shared" si="0"/>
        <v>0</v>
      </c>
      <c r="N11" s="69"/>
      <c r="O11" s="69"/>
      <c r="P11" s="61">
        <v>41.5</v>
      </c>
      <c r="R11" s="62" t="s">
        <v>179</v>
      </c>
    </row>
    <row r="12" spans="2:18" x14ac:dyDescent="0.25">
      <c r="C12" s="62" t="s">
        <v>185</v>
      </c>
      <c r="D12" s="62" t="s">
        <v>181</v>
      </c>
      <c r="E12" s="62" t="s">
        <v>180</v>
      </c>
      <c r="F12" s="61" t="s">
        <v>165</v>
      </c>
      <c r="H12" s="66">
        <v>2021</v>
      </c>
      <c r="I12" s="69">
        <v>2290000</v>
      </c>
      <c r="J12" s="69">
        <f t="shared" si="0"/>
        <v>1422360.2484472049</v>
      </c>
      <c r="N12" s="69"/>
      <c r="O12" s="69"/>
    </row>
    <row r="13" spans="2:18" x14ac:dyDescent="0.25">
      <c r="C13" s="62" t="s">
        <v>185</v>
      </c>
      <c r="D13" s="62" t="s">
        <v>182</v>
      </c>
      <c r="E13" s="62" t="s">
        <v>180</v>
      </c>
      <c r="F13" s="61" t="s">
        <v>165</v>
      </c>
      <c r="H13" s="66">
        <v>2021</v>
      </c>
      <c r="I13" s="69">
        <f>I12*1.2</f>
        <v>2748000</v>
      </c>
      <c r="J13" s="69">
        <f t="shared" si="0"/>
        <v>1706832.2981366459</v>
      </c>
      <c r="N13" s="69"/>
      <c r="O13" s="69"/>
    </row>
    <row r="14" spans="2:18" x14ac:dyDescent="0.25">
      <c r="C14" s="62" t="s">
        <v>185</v>
      </c>
      <c r="D14" s="62" t="s">
        <v>183</v>
      </c>
      <c r="E14" s="62" t="s">
        <v>180</v>
      </c>
      <c r="F14" s="61" t="s">
        <v>165</v>
      </c>
      <c r="H14" s="66">
        <v>2021</v>
      </c>
      <c r="I14" s="69">
        <f>I12*1.5</f>
        <v>3435000</v>
      </c>
      <c r="J14" s="69">
        <f t="shared" si="0"/>
        <v>2133540.3726708074</v>
      </c>
      <c r="N14" s="69"/>
      <c r="O14" s="69"/>
    </row>
    <row r="15" spans="2:18" ht="30" x14ac:dyDescent="0.25">
      <c r="C15" s="62" t="s">
        <v>185</v>
      </c>
      <c r="D15" s="62" t="s">
        <v>186</v>
      </c>
      <c r="I15" s="69"/>
      <c r="J15" s="69">
        <f t="shared" si="0"/>
        <v>0</v>
      </c>
      <c r="N15" s="69"/>
      <c r="O15" s="69"/>
      <c r="R15" s="62" t="s">
        <v>184</v>
      </c>
    </row>
    <row r="16" spans="2:18" x14ac:dyDescent="0.25">
      <c r="I16" s="69"/>
      <c r="J16" s="69">
        <f t="shared" si="0"/>
        <v>0</v>
      </c>
      <c r="N16" s="69"/>
      <c r="O16" s="69"/>
    </row>
    <row r="17" spans="2:18" ht="75" x14ac:dyDescent="0.25">
      <c r="B17" s="61" t="s">
        <v>187</v>
      </c>
      <c r="C17" s="62" t="s">
        <v>188</v>
      </c>
      <c r="D17" s="62" t="s">
        <v>191</v>
      </c>
      <c r="E17" s="62" t="s">
        <v>43</v>
      </c>
      <c r="F17" s="61" t="s">
        <v>165</v>
      </c>
      <c r="H17" s="66">
        <v>2017</v>
      </c>
      <c r="I17" s="69">
        <v>100000</v>
      </c>
      <c r="J17" s="69">
        <f t="shared" si="0"/>
        <v>62111.801242236019</v>
      </c>
      <c r="N17" s="69"/>
      <c r="O17" s="69"/>
      <c r="R17" s="62" t="s">
        <v>194</v>
      </c>
    </row>
    <row r="18" spans="2:18" x14ac:dyDescent="0.25">
      <c r="C18" s="62" t="s">
        <v>188</v>
      </c>
      <c r="D18" s="62" t="s">
        <v>190</v>
      </c>
      <c r="E18" s="62" t="s">
        <v>43</v>
      </c>
      <c r="F18" s="61" t="s">
        <v>165</v>
      </c>
      <c r="H18" s="66">
        <v>2017</v>
      </c>
      <c r="I18" s="69">
        <v>400000</v>
      </c>
      <c r="J18" s="69">
        <f t="shared" si="0"/>
        <v>248447.20496894408</v>
      </c>
      <c r="N18" s="69"/>
      <c r="O18" s="69"/>
    </row>
    <row r="19" spans="2:18" x14ac:dyDescent="0.25">
      <c r="C19" s="62" t="s">
        <v>188</v>
      </c>
      <c r="D19" s="62" t="s">
        <v>192</v>
      </c>
      <c r="E19" s="62" t="s">
        <v>43</v>
      </c>
      <c r="F19" s="61" t="s">
        <v>165</v>
      </c>
      <c r="H19" s="66">
        <v>2017</v>
      </c>
      <c r="I19" s="69">
        <v>3000000</v>
      </c>
      <c r="J19" s="69">
        <f t="shared" si="0"/>
        <v>1863354.0372670807</v>
      </c>
      <c r="N19" s="69"/>
      <c r="O19" s="69"/>
      <c r="R19" s="62" t="s">
        <v>195</v>
      </c>
    </row>
    <row r="20" spans="2:18" x14ac:dyDescent="0.25">
      <c r="C20" s="62" t="s">
        <v>188</v>
      </c>
      <c r="D20" s="62" t="s">
        <v>193</v>
      </c>
      <c r="E20" s="62" t="s">
        <v>43</v>
      </c>
      <c r="F20" s="61" t="s">
        <v>165</v>
      </c>
      <c r="H20" s="66">
        <v>2017</v>
      </c>
      <c r="I20" s="69">
        <v>4500000</v>
      </c>
      <c r="J20" s="69">
        <f t="shared" si="0"/>
        <v>2795031.0559006208</v>
      </c>
      <c r="N20" s="69"/>
      <c r="O20" s="69"/>
      <c r="R20" s="62" t="s">
        <v>198</v>
      </c>
    </row>
    <row r="21" spans="2:18" x14ac:dyDescent="0.25">
      <c r="I21" s="69"/>
      <c r="J21" s="69">
        <f t="shared" si="0"/>
        <v>0</v>
      </c>
      <c r="N21" s="69"/>
      <c r="O21" s="69"/>
    </row>
    <row r="22" spans="2:18" ht="30" x14ac:dyDescent="0.25">
      <c r="C22" s="62" t="s">
        <v>188</v>
      </c>
      <c r="D22" s="62" t="s">
        <v>197</v>
      </c>
      <c r="E22" s="62" t="s">
        <v>189</v>
      </c>
      <c r="F22" s="61" t="s">
        <v>165</v>
      </c>
      <c r="H22" s="66">
        <v>2017</v>
      </c>
      <c r="I22" s="69">
        <v>3560</v>
      </c>
      <c r="J22" s="69">
        <f t="shared" si="0"/>
        <v>2211.1801242236024</v>
      </c>
      <c r="N22" s="69"/>
      <c r="O22" s="69"/>
      <c r="R22" s="62" t="s">
        <v>196</v>
      </c>
    </row>
    <row r="23" spans="2:18" x14ac:dyDescent="0.25">
      <c r="I23" s="69"/>
      <c r="J23" s="69">
        <f t="shared" si="0"/>
        <v>0</v>
      </c>
      <c r="N23" s="69"/>
      <c r="O23" s="69"/>
    </row>
    <row r="24" spans="2:18" ht="30" x14ac:dyDescent="0.25">
      <c r="B24" s="61" t="s">
        <v>199</v>
      </c>
      <c r="C24" s="62" t="s">
        <v>202</v>
      </c>
      <c r="D24" s="62" t="s">
        <v>200</v>
      </c>
      <c r="E24" s="62" t="s">
        <v>43</v>
      </c>
      <c r="F24" s="61" t="s">
        <v>165</v>
      </c>
      <c r="H24" s="66">
        <v>2018</v>
      </c>
      <c r="I24" s="69">
        <v>1400000</v>
      </c>
      <c r="J24" s="69">
        <f t="shared" si="0"/>
        <v>869565.21739130432</v>
      </c>
      <c r="N24" s="69"/>
      <c r="O24" s="69"/>
      <c r="R24" s="62" t="s">
        <v>203</v>
      </c>
    </row>
    <row r="25" spans="2:18" ht="45" x14ac:dyDescent="0.25">
      <c r="D25" s="62" t="s">
        <v>201</v>
      </c>
      <c r="E25" s="62" t="s">
        <v>43</v>
      </c>
      <c r="F25" s="61" t="s">
        <v>165</v>
      </c>
      <c r="H25" s="66">
        <v>2018</v>
      </c>
      <c r="I25" s="69">
        <v>2300000</v>
      </c>
      <c r="J25" s="69">
        <f t="shared" si="0"/>
        <v>1428571.4285714284</v>
      </c>
      <c r="N25" s="69"/>
      <c r="O25" s="69"/>
      <c r="R25" s="62" t="s">
        <v>204</v>
      </c>
    </row>
    <row r="26" spans="2:18" x14ac:dyDescent="0.25">
      <c r="I26" s="69"/>
      <c r="J26" s="69"/>
      <c r="N26" s="69"/>
      <c r="O26" s="69"/>
    </row>
    <row r="27" spans="2:18" ht="30" x14ac:dyDescent="0.25">
      <c r="B27" s="61" t="s">
        <v>205</v>
      </c>
      <c r="C27" s="62" t="s">
        <v>206</v>
      </c>
      <c r="D27" s="62" t="s">
        <v>208</v>
      </c>
      <c r="E27" s="62" t="s">
        <v>155</v>
      </c>
      <c r="F27" s="61" t="s">
        <v>207</v>
      </c>
      <c r="H27" s="66">
        <v>2018</v>
      </c>
      <c r="I27" s="69"/>
      <c r="K27" s="69">
        <v>310000</v>
      </c>
      <c r="N27" s="69"/>
      <c r="O27" s="69"/>
      <c r="R27" s="62" t="s">
        <v>217</v>
      </c>
    </row>
    <row r="28" spans="2:18" x14ac:dyDescent="0.25">
      <c r="D28" s="62" t="s">
        <v>209</v>
      </c>
      <c r="E28" s="62" t="s">
        <v>155</v>
      </c>
      <c r="F28" s="61" t="s">
        <v>207</v>
      </c>
      <c r="H28" s="66">
        <v>2018</v>
      </c>
      <c r="I28" s="69"/>
      <c r="K28" s="69">
        <v>370000</v>
      </c>
      <c r="N28" s="69"/>
      <c r="O28" s="69"/>
      <c r="R28" s="62" t="s">
        <v>212</v>
      </c>
    </row>
    <row r="29" spans="2:18" x14ac:dyDescent="0.25">
      <c r="D29" s="62" t="s">
        <v>210</v>
      </c>
      <c r="E29" s="62" t="s">
        <v>155</v>
      </c>
      <c r="F29" s="61" t="s">
        <v>207</v>
      </c>
      <c r="H29" s="66">
        <v>2018</v>
      </c>
      <c r="I29" s="69"/>
      <c r="K29" s="69">
        <v>440000</v>
      </c>
      <c r="N29" s="69"/>
      <c r="O29" s="69"/>
      <c r="R29" s="62" t="s">
        <v>213</v>
      </c>
    </row>
    <row r="30" spans="2:18" x14ac:dyDescent="0.25">
      <c r="D30" s="62" t="s">
        <v>211</v>
      </c>
      <c r="E30" s="62" t="s">
        <v>155</v>
      </c>
      <c r="F30" s="61" t="s">
        <v>207</v>
      </c>
      <c r="H30" s="66">
        <v>2018</v>
      </c>
      <c r="I30" s="69"/>
      <c r="K30" s="69">
        <v>590000</v>
      </c>
      <c r="N30" s="69"/>
      <c r="O30" s="69"/>
      <c r="R30" s="62" t="s">
        <v>214</v>
      </c>
    </row>
    <row r="31" spans="2:18" x14ac:dyDescent="0.25">
      <c r="D31" s="62" t="s">
        <v>215</v>
      </c>
      <c r="E31" s="62" t="s">
        <v>155</v>
      </c>
      <c r="F31" s="61" t="s">
        <v>207</v>
      </c>
      <c r="H31" s="66">
        <v>2018</v>
      </c>
      <c r="I31" s="69"/>
      <c r="J31" s="69"/>
      <c r="K31" s="69">
        <f>610000</f>
        <v>610000</v>
      </c>
      <c r="N31" s="69"/>
      <c r="O31" s="69"/>
      <c r="R31" s="62" t="s">
        <v>216</v>
      </c>
    </row>
    <row r="32" spans="2:18" x14ac:dyDescent="0.25">
      <c r="I32" s="69"/>
      <c r="J32" s="69"/>
      <c r="N32" s="69"/>
      <c r="O32" s="69"/>
    </row>
    <row r="33" spans="2:18" x14ac:dyDescent="0.25">
      <c r="B33" s="61" t="s">
        <v>218</v>
      </c>
      <c r="C33" s="62" t="s">
        <v>206</v>
      </c>
      <c r="D33" s="62" t="s">
        <v>219</v>
      </c>
      <c r="E33" s="62" t="s">
        <v>155</v>
      </c>
      <c r="F33" s="61" t="s">
        <v>17</v>
      </c>
      <c r="H33" s="66">
        <v>2021</v>
      </c>
      <c r="I33" s="69"/>
      <c r="J33" s="69"/>
      <c r="K33" s="69">
        <v>680000</v>
      </c>
      <c r="N33" s="69"/>
      <c r="O33" s="69"/>
      <c r="R33" s="62" t="s">
        <v>223</v>
      </c>
    </row>
    <row r="34" spans="2:18" x14ac:dyDescent="0.25">
      <c r="D34" s="62" t="s">
        <v>220</v>
      </c>
      <c r="E34" s="62" t="s">
        <v>155</v>
      </c>
      <c r="F34" s="61" t="s">
        <v>17</v>
      </c>
      <c r="H34" s="66">
        <v>2021</v>
      </c>
      <c r="I34" s="69"/>
      <c r="J34" s="69"/>
      <c r="K34" s="69">
        <v>870000</v>
      </c>
      <c r="N34" s="69"/>
      <c r="O34" s="69"/>
      <c r="R34" s="62" t="s">
        <v>224</v>
      </c>
    </row>
    <row r="35" spans="2:18" x14ac:dyDescent="0.25">
      <c r="D35" s="62" t="s">
        <v>221</v>
      </c>
      <c r="E35" s="62" t="s">
        <v>155</v>
      </c>
      <c r="F35" s="61" t="s">
        <v>17</v>
      </c>
      <c r="H35" s="66">
        <v>2021</v>
      </c>
      <c r="I35" s="69"/>
      <c r="J35" s="69"/>
      <c r="K35" s="69">
        <v>1489000</v>
      </c>
      <c r="N35" s="69"/>
      <c r="O35" s="69"/>
      <c r="R35" s="62" t="s">
        <v>225</v>
      </c>
    </row>
    <row r="36" spans="2:18" x14ac:dyDescent="0.25">
      <c r="D36" s="62" t="s">
        <v>222</v>
      </c>
      <c r="E36" s="62" t="s">
        <v>155</v>
      </c>
      <c r="F36" s="61" t="s">
        <v>17</v>
      </c>
      <c r="H36" s="66">
        <v>2021</v>
      </c>
      <c r="K36" s="69">
        <v>2109000</v>
      </c>
      <c r="R36" s="62" t="s">
        <v>226</v>
      </c>
    </row>
    <row r="38" spans="2:18" x14ac:dyDescent="0.25">
      <c r="B38" s="61" t="s">
        <v>227</v>
      </c>
      <c r="C38" s="62" t="s">
        <v>206</v>
      </c>
      <c r="D38" s="62" t="s">
        <v>228</v>
      </c>
      <c r="E38" s="62" t="s">
        <v>155</v>
      </c>
      <c r="F38" s="61" t="s">
        <v>231</v>
      </c>
      <c r="H38" s="66">
        <v>2021</v>
      </c>
      <c r="K38" s="69">
        <v>59197</v>
      </c>
      <c r="R38" s="62" t="s">
        <v>232</v>
      </c>
    </row>
    <row r="39" spans="2:18" x14ac:dyDescent="0.25">
      <c r="D39" s="62" t="s">
        <v>229</v>
      </c>
      <c r="E39" s="62" t="s">
        <v>155</v>
      </c>
      <c r="F39" s="61" t="s">
        <v>231</v>
      </c>
      <c r="H39" s="66">
        <v>2021</v>
      </c>
      <c r="K39" s="69">
        <v>63049</v>
      </c>
      <c r="R39" s="62" t="s">
        <v>233</v>
      </c>
    </row>
    <row r="40" spans="2:18" x14ac:dyDescent="0.25">
      <c r="D40" s="62" t="s">
        <v>230</v>
      </c>
      <c r="E40" s="62" t="s">
        <v>155</v>
      </c>
      <c r="F40" s="61" t="s">
        <v>231</v>
      </c>
      <c r="H40" s="66">
        <v>2021</v>
      </c>
      <c r="K40" s="69">
        <v>67509</v>
      </c>
      <c r="R40" s="62" t="s">
        <v>234</v>
      </c>
    </row>
    <row r="43" spans="2:18" ht="30" x14ac:dyDescent="0.25">
      <c r="B43" s="61" t="s">
        <v>235</v>
      </c>
      <c r="C43" s="62" t="s">
        <v>236</v>
      </c>
      <c r="D43" s="62" t="s">
        <v>238</v>
      </c>
      <c r="E43" s="62" t="s">
        <v>237</v>
      </c>
      <c r="F43" s="61" t="s">
        <v>165</v>
      </c>
      <c r="H43" s="66">
        <v>2024</v>
      </c>
    </row>
    <row r="45" spans="2:18" ht="30" x14ac:dyDescent="0.25">
      <c r="B45" s="61" t="s">
        <v>239</v>
      </c>
      <c r="C45" s="62" t="s">
        <v>240</v>
      </c>
      <c r="D45" s="62" t="s">
        <v>241</v>
      </c>
      <c r="E45" s="62" t="s">
        <v>247</v>
      </c>
      <c r="F45" s="61" t="s">
        <v>165</v>
      </c>
      <c r="H45" s="66">
        <v>2016</v>
      </c>
      <c r="K45" s="69">
        <v>35000</v>
      </c>
      <c r="L45" s="69">
        <v>15000</v>
      </c>
      <c r="M45" s="69">
        <v>12000</v>
      </c>
    </row>
    <row r="46" spans="2:18" x14ac:dyDescent="0.25">
      <c r="D46" s="62" t="s">
        <v>242</v>
      </c>
      <c r="E46" s="62" t="s">
        <v>247</v>
      </c>
      <c r="F46" s="61" t="s">
        <v>165</v>
      </c>
      <c r="H46" s="66">
        <v>2016</v>
      </c>
      <c r="K46" s="69">
        <v>38000</v>
      </c>
      <c r="L46" s="69">
        <v>18000</v>
      </c>
      <c r="M46" s="69">
        <v>12000</v>
      </c>
    </row>
    <row r="47" spans="2:18" x14ac:dyDescent="0.25">
      <c r="D47" s="62" t="s">
        <v>243</v>
      </c>
      <c r="E47" s="62" t="s">
        <v>247</v>
      </c>
      <c r="F47" s="61" t="s">
        <v>165</v>
      </c>
      <c r="H47" s="66">
        <v>2016</v>
      </c>
      <c r="K47" s="69">
        <v>46000</v>
      </c>
      <c r="L47" s="69">
        <v>25000</v>
      </c>
      <c r="M47" s="69">
        <v>12000</v>
      </c>
    </row>
    <row r="49" spans="2:18" x14ac:dyDescent="0.25">
      <c r="D49" s="62" t="s">
        <v>245</v>
      </c>
      <c r="E49" s="62" t="s">
        <v>247</v>
      </c>
      <c r="F49" s="61" t="s">
        <v>165</v>
      </c>
      <c r="H49" s="66">
        <v>2016</v>
      </c>
      <c r="K49" s="69">
        <v>200000</v>
      </c>
      <c r="L49" s="69">
        <v>100000</v>
      </c>
      <c r="M49" s="69">
        <v>30000</v>
      </c>
    </row>
    <row r="50" spans="2:18" x14ac:dyDescent="0.25">
      <c r="D50" s="62" t="s">
        <v>244</v>
      </c>
      <c r="E50" s="62" t="s">
        <v>247</v>
      </c>
      <c r="F50" s="61" t="s">
        <v>165</v>
      </c>
      <c r="H50" s="66">
        <v>2016</v>
      </c>
      <c r="K50" s="69">
        <v>250000</v>
      </c>
      <c r="L50" s="69">
        <v>130000</v>
      </c>
      <c r="M50" s="69">
        <v>30000</v>
      </c>
    </row>
    <row r="51" spans="2:18" x14ac:dyDescent="0.25">
      <c r="D51" s="62" t="s">
        <v>246</v>
      </c>
      <c r="E51" s="62" t="s">
        <v>247</v>
      </c>
      <c r="F51" s="61" t="s">
        <v>165</v>
      </c>
      <c r="H51" s="66">
        <v>2016</v>
      </c>
      <c r="K51" s="69">
        <v>300000</v>
      </c>
      <c r="L51" s="69">
        <v>150000</v>
      </c>
      <c r="M51" s="69">
        <v>30000</v>
      </c>
    </row>
    <row r="53" spans="2:18" x14ac:dyDescent="0.25">
      <c r="B53" s="61" t="s">
        <v>250</v>
      </c>
      <c r="C53" s="62" t="s">
        <v>251</v>
      </c>
      <c r="D53" s="62" t="s">
        <v>252</v>
      </c>
      <c r="F53" s="61" t="s">
        <v>165</v>
      </c>
      <c r="H53" s="66">
        <v>2020</v>
      </c>
      <c r="N53" s="61">
        <v>2500</v>
      </c>
    </row>
    <row r="55" spans="2:18" x14ac:dyDescent="0.25">
      <c r="B55" s="61" t="s">
        <v>253</v>
      </c>
      <c r="C55" s="62" t="s">
        <v>254</v>
      </c>
      <c r="D55" s="62" t="s">
        <v>255</v>
      </c>
      <c r="E55" s="62" t="s">
        <v>247</v>
      </c>
      <c r="F55" s="61" t="s">
        <v>207</v>
      </c>
      <c r="H55" s="66">
        <v>2024</v>
      </c>
      <c r="L55" s="69">
        <v>120000</v>
      </c>
      <c r="M55" s="69">
        <v>260000</v>
      </c>
    </row>
    <row r="56" spans="2:18" x14ac:dyDescent="0.25">
      <c r="D56" s="62" t="s">
        <v>257</v>
      </c>
      <c r="E56" s="62" t="s">
        <v>247</v>
      </c>
      <c r="F56" s="61" t="s">
        <v>207</v>
      </c>
      <c r="H56" s="66">
        <v>2024</v>
      </c>
      <c r="L56" s="69">
        <v>340000</v>
      </c>
      <c r="M56" s="69">
        <v>260000</v>
      </c>
    </row>
    <row r="57" spans="2:18" x14ac:dyDescent="0.25">
      <c r="D57" s="62" t="s">
        <v>256</v>
      </c>
      <c r="E57" s="62" t="s">
        <v>247</v>
      </c>
      <c r="F57" s="61" t="s">
        <v>207</v>
      </c>
      <c r="H57" s="66">
        <v>2024</v>
      </c>
      <c r="L57" s="69">
        <v>675000</v>
      </c>
      <c r="M57" s="69">
        <f>M56</f>
        <v>260000</v>
      </c>
    </row>
    <row r="59" spans="2:18" ht="30" x14ac:dyDescent="0.25">
      <c r="B59" s="61" t="s">
        <v>258</v>
      </c>
      <c r="C59" s="62" t="s">
        <v>259</v>
      </c>
      <c r="D59" s="62" t="s">
        <v>263</v>
      </c>
      <c r="E59" s="62" t="s">
        <v>260</v>
      </c>
      <c r="F59" s="61" t="s">
        <v>207</v>
      </c>
      <c r="H59" s="66">
        <v>2016</v>
      </c>
      <c r="L59" s="69">
        <v>128000</v>
      </c>
      <c r="M59" s="69">
        <v>83000</v>
      </c>
      <c r="R59" s="62" t="s">
        <v>264</v>
      </c>
    </row>
    <row r="60" spans="2:18" x14ac:dyDescent="0.25">
      <c r="D60" s="62" t="s">
        <v>261</v>
      </c>
      <c r="E60" s="62" t="s">
        <v>260</v>
      </c>
      <c r="F60" s="61" t="s">
        <v>207</v>
      </c>
      <c r="H60" s="66">
        <v>2016</v>
      </c>
      <c r="L60" s="69">
        <v>192000</v>
      </c>
      <c r="M60" s="69">
        <v>83000</v>
      </c>
    </row>
    <row r="61" spans="2:18" x14ac:dyDescent="0.25">
      <c r="D61" s="62" t="s">
        <v>222</v>
      </c>
      <c r="E61" s="62" t="s">
        <v>260</v>
      </c>
      <c r="F61" s="61" t="s">
        <v>207</v>
      </c>
      <c r="H61" s="66">
        <v>2016</v>
      </c>
      <c r="L61" s="69">
        <v>321000</v>
      </c>
      <c r="M61" s="69">
        <v>83000</v>
      </c>
    </row>
    <row r="62" spans="2:18" x14ac:dyDescent="0.25">
      <c r="D62" s="62" t="s">
        <v>262</v>
      </c>
      <c r="E62" s="62" t="s">
        <v>260</v>
      </c>
      <c r="F62" s="61" t="s">
        <v>207</v>
      </c>
      <c r="H62" s="66">
        <v>2016</v>
      </c>
      <c r="L62" s="69">
        <v>481000</v>
      </c>
      <c r="M62" s="69">
        <v>83000</v>
      </c>
    </row>
    <row r="64" spans="2:18" x14ac:dyDescent="0.25">
      <c r="B64" s="61" t="s">
        <v>265</v>
      </c>
      <c r="C64" s="62" t="s">
        <v>266</v>
      </c>
      <c r="D64" s="62" t="s">
        <v>269</v>
      </c>
      <c r="E64" s="62" t="s">
        <v>267</v>
      </c>
      <c r="F64" s="61" t="s">
        <v>165</v>
      </c>
      <c r="H64" s="66">
        <v>2014</v>
      </c>
      <c r="O64" s="61">
        <v>746</v>
      </c>
    </row>
    <row r="65" spans="2:15" x14ac:dyDescent="0.25">
      <c r="D65" s="62" t="s">
        <v>268</v>
      </c>
      <c r="E65" s="62" t="s">
        <v>267</v>
      </c>
      <c r="F65" s="61" t="s">
        <v>165</v>
      </c>
      <c r="H65" s="66">
        <v>2014</v>
      </c>
      <c r="O65" s="61">
        <v>3318</v>
      </c>
    </row>
    <row r="66" spans="2:15" x14ac:dyDescent="0.25">
      <c r="D66" s="62" t="s">
        <v>270</v>
      </c>
      <c r="E66" s="62" t="s">
        <v>267</v>
      </c>
      <c r="F66" s="61" t="s">
        <v>165</v>
      </c>
      <c r="H66" s="66">
        <v>2014</v>
      </c>
      <c r="O66" s="61">
        <v>1491</v>
      </c>
    </row>
    <row r="67" spans="2:15" x14ac:dyDescent="0.25">
      <c r="D67" s="62" t="s">
        <v>271</v>
      </c>
      <c r="E67" s="62" t="s">
        <v>267</v>
      </c>
      <c r="F67" s="61" t="s">
        <v>165</v>
      </c>
      <c r="H67" s="66">
        <v>2014</v>
      </c>
      <c r="O67" s="61">
        <v>6636</v>
      </c>
    </row>
    <row r="69" spans="2:15" ht="30" x14ac:dyDescent="0.25">
      <c r="B69" s="61" t="s">
        <v>272</v>
      </c>
      <c r="C69" s="62" t="s">
        <v>206</v>
      </c>
      <c r="D69" s="62" t="s">
        <v>273</v>
      </c>
      <c r="E69" s="62" t="s">
        <v>275</v>
      </c>
      <c r="F69" s="61" t="s">
        <v>165</v>
      </c>
      <c r="H69" s="66">
        <v>2017</v>
      </c>
      <c r="K69" s="69">
        <f>70000</f>
        <v>70000</v>
      </c>
      <c r="L69" s="69">
        <v>30000</v>
      </c>
      <c r="M69" s="69">
        <f>25000+5000</f>
        <v>30000</v>
      </c>
    </row>
    <row r="71" spans="2:15" x14ac:dyDescent="0.25">
      <c r="B71" s="61" t="s">
        <v>276</v>
      </c>
      <c r="C71" s="62" t="s">
        <v>206</v>
      </c>
      <c r="D71" t="s">
        <v>277</v>
      </c>
      <c r="E71" s="62" t="s">
        <v>274</v>
      </c>
      <c r="F71" s="61" t="s">
        <v>165</v>
      </c>
      <c r="H71" s="66">
        <v>2024</v>
      </c>
      <c r="K71" s="69">
        <v>80000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I205"/>
  <sheetViews>
    <sheetView topLeftCell="H17" zoomScale="55" zoomScaleNormal="55" workbookViewId="0">
      <selection activeCell="AA63" sqref="AA63"/>
    </sheetView>
  </sheetViews>
  <sheetFormatPr defaultColWidth="8.85546875" defaultRowHeight="15" x14ac:dyDescent="0.25"/>
  <cols>
    <col min="2" max="2" width="16.140625" customWidth="1"/>
    <col min="3" max="3" width="18.28515625" bestFit="1" customWidth="1"/>
    <col min="4" max="4" width="10.140625" bestFit="1" customWidth="1"/>
    <col min="5" max="5" width="14" customWidth="1"/>
    <col min="6" max="6" width="13.28515625" customWidth="1"/>
    <col min="7" max="7" width="14.85546875" customWidth="1"/>
    <col min="8" max="8" width="13.42578125" customWidth="1"/>
    <col min="9" max="9" width="18.7109375" customWidth="1"/>
    <col min="10" max="10" width="18.42578125" customWidth="1"/>
    <col min="11" max="11" width="18.85546875" customWidth="1"/>
    <col min="12" max="12" width="10.85546875" customWidth="1"/>
    <col min="13" max="13" width="10.7109375" customWidth="1"/>
    <col min="14" max="14" width="12.42578125" customWidth="1"/>
    <col min="15" max="17" width="12.42578125" bestFit="1" customWidth="1"/>
    <col min="18" max="18" width="10.28515625" customWidth="1"/>
    <col min="19" max="19" width="9.7109375" customWidth="1"/>
    <col min="21" max="21" width="8.140625" customWidth="1"/>
    <col min="23" max="23" width="11.85546875" bestFit="1" customWidth="1"/>
    <col min="24" max="24" width="9.140625" bestFit="1" customWidth="1"/>
    <col min="26" max="30" width="10.28515625" bestFit="1" customWidth="1"/>
    <col min="45" max="45" width="11.85546875" bestFit="1" customWidth="1"/>
    <col min="49" max="49" width="10.7109375" bestFit="1" customWidth="1"/>
  </cols>
  <sheetData>
    <row r="1" spans="2:61" x14ac:dyDescent="0.25">
      <c r="B1" t="s">
        <v>596</v>
      </c>
      <c r="C1">
        <v>816</v>
      </c>
      <c r="F1" t="s">
        <v>687</v>
      </c>
      <c r="AI1" s="48" t="s">
        <v>688</v>
      </c>
    </row>
    <row r="2" spans="2:61" x14ac:dyDescent="0.25">
      <c r="B2" t="s">
        <v>597</v>
      </c>
      <c r="C2">
        <v>1.1000000000000001</v>
      </c>
      <c r="G2" s="48" t="s">
        <v>688</v>
      </c>
      <c r="O2" t="s">
        <v>808</v>
      </c>
    </row>
    <row r="3" spans="2:61" x14ac:dyDescent="0.25">
      <c r="B3" t="s">
        <v>598</v>
      </c>
      <c r="C3">
        <v>541.70000000000005</v>
      </c>
      <c r="AI3" t="s">
        <v>797</v>
      </c>
      <c r="AL3" t="s">
        <v>824</v>
      </c>
      <c r="AR3" t="s">
        <v>819</v>
      </c>
      <c r="BA3" t="s">
        <v>828</v>
      </c>
    </row>
    <row r="4" spans="2:61" x14ac:dyDescent="0.25">
      <c r="B4" t="s">
        <v>599</v>
      </c>
      <c r="C4">
        <v>708.8</v>
      </c>
      <c r="T4" t="s">
        <v>814</v>
      </c>
      <c r="U4">
        <v>50</v>
      </c>
      <c r="AI4" t="s">
        <v>5</v>
      </c>
      <c r="AJ4">
        <f>90</f>
        <v>90</v>
      </c>
      <c r="AK4" t="s">
        <v>6</v>
      </c>
      <c r="AR4" t="s">
        <v>821</v>
      </c>
      <c r="AS4">
        <v>35</v>
      </c>
      <c r="AT4" t="s">
        <v>820</v>
      </c>
      <c r="AU4" t="s">
        <v>32</v>
      </c>
    </row>
    <row r="5" spans="2:61" x14ac:dyDescent="0.25">
      <c r="B5" t="s">
        <v>604</v>
      </c>
      <c r="C5">
        <v>402</v>
      </c>
      <c r="AI5" t="s">
        <v>799</v>
      </c>
      <c r="AJ5">
        <f>0.00393</f>
        <v>3.9300000000000003E-3</v>
      </c>
      <c r="AK5" t="s">
        <v>800</v>
      </c>
      <c r="AR5" t="s">
        <v>822</v>
      </c>
      <c r="AS5">
        <f>1/AS4</f>
        <v>2.8571428571428571E-2</v>
      </c>
      <c r="AT5" t="s">
        <v>823</v>
      </c>
    </row>
    <row r="6" spans="2:61" x14ac:dyDescent="0.25">
      <c r="R6" t="s">
        <v>27</v>
      </c>
      <c r="S6">
        <v>90</v>
      </c>
      <c r="AI6" t="s">
        <v>802</v>
      </c>
      <c r="AL6" t="s">
        <v>803</v>
      </c>
      <c r="BH6" t="s">
        <v>861</v>
      </c>
    </row>
    <row r="7" spans="2:61" x14ac:dyDescent="0.25">
      <c r="B7" t="s">
        <v>556</v>
      </c>
      <c r="F7" t="s">
        <v>284</v>
      </c>
      <c r="G7">
        <v>30</v>
      </c>
      <c r="H7" t="s">
        <v>124</v>
      </c>
      <c r="K7" t="s">
        <v>558</v>
      </c>
      <c r="L7">
        <v>50</v>
      </c>
      <c r="M7" t="s">
        <v>559</v>
      </c>
      <c r="O7" t="s">
        <v>809</v>
      </c>
      <c r="R7" t="s">
        <v>812</v>
      </c>
      <c r="S7">
        <v>4.0299999999999997E-3</v>
      </c>
      <c r="AI7" t="s">
        <v>804</v>
      </c>
      <c r="AL7" t="s">
        <v>805</v>
      </c>
      <c r="BH7" t="s">
        <v>862</v>
      </c>
    </row>
    <row r="8" spans="2:61" x14ac:dyDescent="0.25">
      <c r="E8" s="5" t="s">
        <v>285</v>
      </c>
    </row>
    <row r="9" spans="2:61" x14ac:dyDescent="0.25">
      <c r="AI9" s="47" t="s">
        <v>279</v>
      </c>
      <c r="AJ9" s="47" t="s">
        <v>568</v>
      </c>
      <c r="AK9" t="s">
        <v>798</v>
      </c>
      <c r="AL9" t="s">
        <v>801</v>
      </c>
      <c r="AM9" t="s">
        <v>806</v>
      </c>
      <c r="AQ9" s="47" t="s">
        <v>279</v>
      </c>
      <c r="AR9" s="47" t="s">
        <v>568</v>
      </c>
      <c r="AS9" t="s">
        <v>69</v>
      </c>
      <c r="AU9" t="s">
        <v>278</v>
      </c>
      <c r="AV9" t="s">
        <v>280</v>
      </c>
      <c r="AW9" s="11" t="s">
        <v>69</v>
      </c>
      <c r="AX9" t="s">
        <v>825</v>
      </c>
      <c r="BA9" t="s">
        <v>278</v>
      </c>
      <c r="BB9" t="s">
        <v>568</v>
      </c>
      <c r="BC9" t="s">
        <v>29</v>
      </c>
      <c r="BD9" t="s">
        <v>829</v>
      </c>
      <c r="BH9" t="s">
        <v>863</v>
      </c>
      <c r="BI9" t="s">
        <v>864</v>
      </c>
    </row>
    <row r="10" spans="2:61" x14ac:dyDescent="0.25">
      <c r="B10" t="s">
        <v>278</v>
      </c>
      <c r="C10" t="s">
        <v>280</v>
      </c>
      <c r="D10" t="s">
        <v>282</v>
      </c>
      <c r="E10" t="s">
        <v>160</v>
      </c>
      <c r="F10" t="s">
        <v>21</v>
      </c>
      <c r="H10" s="5" t="s">
        <v>595</v>
      </c>
      <c r="I10" t="s">
        <v>290</v>
      </c>
      <c r="J10" s="11" t="s">
        <v>286</v>
      </c>
      <c r="K10" t="s">
        <v>288</v>
      </c>
      <c r="L10" t="s">
        <v>557</v>
      </c>
      <c r="O10" t="s">
        <v>278</v>
      </c>
      <c r="P10" t="s">
        <v>280</v>
      </c>
      <c r="Q10" t="s">
        <v>810</v>
      </c>
      <c r="R10" t="s">
        <v>811</v>
      </c>
      <c r="S10" t="s">
        <v>813</v>
      </c>
      <c r="T10" t="s">
        <v>288</v>
      </c>
      <c r="U10" s="11" t="s">
        <v>815</v>
      </c>
      <c r="V10" t="s">
        <v>816</v>
      </c>
      <c r="W10" s="11" t="s">
        <v>818</v>
      </c>
      <c r="X10" s="11" t="s">
        <v>70</v>
      </c>
      <c r="AU10" s="11" t="s">
        <v>279</v>
      </c>
      <c r="AV10" s="11" t="s">
        <v>281</v>
      </c>
      <c r="AW10" s="11" t="s">
        <v>287</v>
      </c>
      <c r="AX10" s="11" t="s">
        <v>287</v>
      </c>
      <c r="BA10" s="11" t="s">
        <v>279</v>
      </c>
      <c r="BB10" s="11" t="s">
        <v>281</v>
      </c>
      <c r="BC10" s="11" t="s">
        <v>817</v>
      </c>
      <c r="BD10" s="11" t="s">
        <v>287</v>
      </c>
      <c r="BH10" s="11" t="s">
        <v>865</v>
      </c>
      <c r="BI10" s="11" t="s">
        <v>865</v>
      </c>
    </row>
    <row r="11" spans="2:61" x14ac:dyDescent="0.25">
      <c r="B11" s="11" t="s">
        <v>279</v>
      </c>
      <c r="C11" s="11" t="s">
        <v>281</v>
      </c>
      <c r="D11" s="11" t="s">
        <v>26</v>
      </c>
      <c r="E11" s="11" t="s">
        <v>283</v>
      </c>
      <c r="F11" s="11" t="s">
        <v>8</v>
      </c>
      <c r="G11" s="11" t="s">
        <v>113</v>
      </c>
      <c r="H11" s="24" t="s">
        <v>580</v>
      </c>
      <c r="I11" t="s">
        <v>26</v>
      </c>
      <c r="J11" s="11" t="s">
        <v>287</v>
      </c>
      <c r="K11" s="11" t="s">
        <v>289</v>
      </c>
      <c r="L11" s="11" t="s">
        <v>287</v>
      </c>
      <c r="O11" s="11" t="s">
        <v>279</v>
      </c>
      <c r="P11" s="11" t="s">
        <v>281</v>
      </c>
      <c r="Q11" s="11" t="s">
        <v>26</v>
      </c>
      <c r="R11" s="11" t="s">
        <v>287</v>
      </c>
      <c r="S11" s="11" t="s">
        <v>287</v>
      </c>
      <c r="T11" s="11" t="s">
        <v>289</v>
      </c>
      <c r="U11" s="11" t="s">
        <v>287</v>
      </c>
      <c r="V11" s="11" t="s">
        <v>817</v>
      </c>
      <c r="W11" s="11" t="s">
        <v>287</v>
      </c>
      <c r="X11" s="11" t="s">
        <v>287</v>
      </c>
      <c r="AI11" s="32" t="s">
        <v>55</v>
      </c>
      <c r="AJ11" s="32" t="s">
        <v>696</v>
      </c>
      <c r="AK11" t="s">
        <v>697</v>
      </c>
      <c r="AL11" t="s">
        <v>697</v>
      </c>
      <c r="AM11" t="s">
        <v>697</v>
      </c>
      <c r="AQ11" s="32" t="s">
        <v>55</v>
      </c>
      <c r="AR11" s="32" t="s">
        <v>696</v>
      </c>
      <c r="AS11" t="s">
        <v>697</v>
      </c>
      <c r="AU11">
        <v>1</v>
      </c>
      <c r="AV11">
        <v>50</v>
      </c>
      <c r="AW11" s="3">
        <f>$AS$5/(AV11*0.001^2)/1000</f>
        <v>0.5714285714285714</v>
      </c>
      <c r="AX11" s="3">
        <f>AW11*(1+$S$7*($S$6-20))</f>
        <v>0.73262857142857141</v>
      </c>
      <c r="BA11">
        <v>1</v>
      </c>
      <c r="BB11">
        <v>240</v>
      </c>
      <c r="BC11">
        <v>0.16</v>
      </c>
      <c r="BD11" s="12">
        <f>1/(2*PI()*$U$4 * (BC11*0.000001))</f>
        <v>19894.367886486918</v>
      </c>
      <c r="BH11" s="3">
        <f>33000^2*2*PI()*$U$4*BC11*0.000001/1000000</f>
        <v>5.4739110396148559E-2</v>
      </c>
      <c r="BI11" s="4">
        <f>110000^2*2*PI()*$U$4*BC11*0.000001/1000000</f>
        <v>0.60821233773498384</v>
      </c>
    </row>
    <row r="12" spans="2:61" x14ac:dyDescent="0.25">
      <c r="B12">
        <v>1</v>
      </c>
      <c r="C12">
        <v>50</v>
      </c>
      <c r="D12">
        <v>169</v>
      </c>
      <c r="E12">
        <v>6.8</v>
      </c>
      <c r="F12">
        <f t="shared" ref="F12:F21" si="0">D12*$G$7/1000</f>
        <v>5.07</v>
      </c>
      <c r="G12">
        <f>E12*1000</f>
        <v>6800</v>
      </c>
      <c r="H12" s="18">
        <f>E12*$C$2*$C$1/$C$4</f>
        <v>8.6112866817155762</v>
      </c>
      <c r="I12">
        <f>D12</f>
        <v>169</v>
      </c>
      <c r="J12">
        <v>0.64100000000000001</v>
      </c>
      <c r="K12">
        <v>0.62</v>
      </c>
      <c r="L12" s="4">
        <f>2*PI()*$L$7*K12/1000</f>
        <v>0.19477874452256719</v>
      </c>
      <c r="O12">
        <v>1</v>
      </c>
      <c r="P12">
        <v>50</v>
      </c>
      <c r="Q12">
        <v>174</v>
      </c>
      <c r="R12">
        <f>J12</f>
        <v>0.64100000000000001</v>
      </c>
      <c r="S12" s="3">
        <f>R12*(1+$S$7*($S$6-20))</f>
        <v>0.8218261</v>
      </c>
      <c r="T12">
        <f>0.46</f>
        <v>0.46</v>
      </c>
      <c r="U12" s="4">
        <f>2*PI()*$U$4*T12/1000</f>
        <v>0.14451326206513052</v>
      </c>
      <c r="V12">
        <v>0.14000000000000001</v>
      </c>
      <c r="W12" s="1">
        <f>1/(2*PI()*$U$4 * (V12*0.000001))</f>
        <v>22736.420441699331</v>
      </c>
      <c r="X12" s="4">
        <f>U12-W12</f>
        <v>-22736.275928437266</v>
      </c>
      <c r="AI12" s="11">
        <v>1</v>
      </c>
      <c r="AJ12" s="5">
        <v>150</v>
      </c>
      <c r="AK12">
        <v>0.124</v>
      </c>
      <c r="AL12" s="3">
        <f>AK12*(1+$AJ$5*($AJ$4-20))</f>
        <v>0.15811240000000001</v>
      </c>
      <c r="AQ12" s="11">
        <v>1</v>
      </c>
      <c r="AR12" s="5">
        <v>150</v>
      </c>
      <c r="AS12" s="3">
        <f>$AS$5/(AR12*0.001^2)/1000</f>
        <v>0.19047619047619049</v>
      </c>
      <c r="AU12">
        <v>2</v>
      </c>
      <c r="AV12">
        <v>70</v>
      </c>
      <c r="AW12" s="3">
        <f t="shared" ref="AW12:AW21" si="1">$AS$5/(AV12*0.001^2)/1000</f>
        <v>0.40816326530612246</v>
      </c>
      <c r="AX12" s="3">
        <f t="shared" ref="AX12:AX21" si="2">AW12*(1+$S$7*($S$6-20))</f>
        <v>0.52330612244897956</v>
      </c>
      <c r="BA12">
        <v>2</v>
      </c>
      <c r="BB12">
        <v>300</v>
      </c>
      <c r="BC12">
        <v>0.17</v>
      </c>
      <c r="BD12" s="12">
        <f t="shared" ref="BD12:BD19" si="3">1/(2*PI()*$U$4 * (BC12*0.000001))</f>
        <v>18724.110951987685</v>
      </c>
      <c r="BH12" s="3">
        <f t="shared" ref="BH12:BH19" si="4">33000^2*2*PI()*$U$4*BC12*0.000001/1000000</f>
        <v>5.8160304795907843E-2</v>
      </c>
      <c r="BI12" s="4">
        <f t="shared" ref="BI12:BI19" si="5">110000^2*2*PI()*$U$4*BC12*0.000001/1000000</f>
        <v>0.6462256088434204</v>
      </c>
    </row>
    <row r="13" spans="2:61" x14ac:dyDescent="0.25">
      <c r="B13">
        <v>2</v>
      </c>
      <c r="C13">
        <v>70</v>
      </c>
      <c r="D13">
        <v>207</v>
      </c>
      <c r="E13">
        <v>7.12</v>
      </c>
      <c r="F13">
        <f t="shared" si="0"/>
        <v>6.21</v>
      </c>
      <c r="G13">
        <f t="shared" ref="G13:G21" si="6">E13*1000</f>
        <v>7120</v>
      </c>
      <c r="H13" s="18">
        <f t="shared" ref="H13:H21" si="7">E13*$C$2*$C$1/$C$4</f>
        <v>9.0165237020316038</v>
      </c>
      <c r="I13">
        <f t="shared" ref="I13:I21" si="8">D13</f>
        <v>207</v>
      </c>
      <c r="J13">
        <v>0.443</v>
      </c>
      <c r="K13">
        <v>0.59</v>
      </c>
      <c r="L13" s="4">
        <f t="shared" ref="L13:L21" si="9">2*PI()*$L$7*K13/1000</f>
        <v>0.18535396656179778</v>
      </c>
      <c r="O13">
        <v>2</v>
      </c>
      <c r="P13">
        <v>70</v>
      </c>
      <c r="Q13">
        <v>214</v>
      </c>
      <c r="R13">
        <f t="shared" ref="R13:R20" si="10">J13</f>
        <v>0.443</v>
      </c>
      <c r="S13" s="3">
        <f t="shared" ref="S13:S22" si="11">R13*(1+$S$7*($S$6-20))</f>
        <v>0.56797030000000004</v>
      </c>
      <c r="T13">
        <v>0.43</v>
      </c>
      <c r="U13" s="4">
        <f t="shared" ref="U13:U22" si="12">2*PI()*$U$4*T13/1000</f>
        <v>0.13508848410436111</v>
      </c>
      <c r="V13">
        <v>0.16</v>
      </c>
      <c r="W13" s="1">
        <f t="shared" ref="W13:W22" si="13">1/(2*PI()*$U$4 * (V13*0.000001))</f>
        <v>19894.367886486918</v>
      </c>
      <c r="X13" s="4">
        <f t="shared" ref="X13:X22" si="14">U13-W13</f>
        <v>-19894.232798002813</v>
      </c>
      <c r="AI13" s="11">
        <v>2</v>
      </c>
      <c r="AJ13" s="5">
        <v>240</v>
      </c>
      <c r="AK13">
        <v>7.5399999999999995E-2</v>
      </c>
      <c r="AL13" s="3">
        <f t="shared" ref="AL13:AL19" si="15">AK13*(1+$AJ$5*($AJ$4-20))</f>
        <v>9.6142539999999999E-2</v>
      </c>
      <c r="AQ13" s="11">
        <v>2</v>
      </c>
      <c r="AR13" s="5">
        <v>240</v>
      </c>
      <c r="AS13" s="3">
        <f t="shared" ref="AS13:AS19" si="16">$AS$5/(AR13*0.001^2)/1000</f>
        <v>0.11904761904761905</v>
      </c>
      <c r="AU13">
        <v>3</v>
      </c>
      <c r="AV13">
        <v>95</v>
      </c>
      <c r="AW13" s="3">
        <f t="shared" si="1"/>
        <v>0.30075187969924816</v>
      </c>
      <c r="AX13" s="3">
        <f t="shared" si="2"/>
        <v>0.38559398496240604</v>
      </c>
      <c r="BA13">
        <v>3</v>
      </c>
      <c r="BB13">
        <v>400</v>
      </c>
      <c r="BC13">
        <v>0.19</v>
      </c>
      <c r="BD13" s="12">
        <f t="shared" si="3"/>
        <v>16753.151904410035</v>
      </c>
      <c r="BH13" s="3">
        <f t="shared" si="4"/>
        <v>6.5002693595426403E-2</v>
      </c>
      <c r="BI13" s="4">
        <f t="shared" si="5"/>
        <v>0.72225215106029339</v>
      </c>
    </row>
    <row r="14" spans="2:61" x14ac:dyDescent="0.25">
      <c r="B14">
        <v>3</v>
      </c>
      <c r="C14">
        <v>95</v>
      </c>
      <c r="D14">
        <v>247</v>
      </c>
      <c r="E14">
        <v>7.98</v>
      </c>
      <c r="F14">
        <f t="shared" si="0"/>
        <v>7.41</v>
      </c>
      <c r="G14">
        <f t="shared" si="6"/>
        <v>7980</v>
      </c>
      <c r="H14" s="18">
        <f t="shared" si="7"/>
        <v>10.105598194130927</v>
      </c>
      <c r="I14">
        <f t="shared" si="8"/>
        <v>247</v>
      </c>
      <c r="J14">
        <v>0.32</v>
      </c>
      <c r="K14">
        <v>0.56999999999999995</v>
      </c>
      <c r="L14" s="4">
        <f t="shared" si="9"/>
        <v>0.1790707812546182</v>
      </c>
      <c r="O14">
        <v>3</v>
      </c>
      <c r="P14">
        <v>95</v>
      </c>
      <c r="Q14">
        <v>256</v>
      </c>
      <c r="R14">
        <f t="shared" si="10"/>
        <v>0.32</v>
      </c>
      <c r="S14" s="3">
        <f t="shared" si="11"/>
        <v>0.41027200000000003</v>
      </c>
      <c r="T14">
        <v>0.41</v>
      </c>
      <c r="U14" s="4">
        <f t="shared" si="12"/>
        <v>0.1288052987971815</v>
      </c>
      <c r="V14">
        <v>0.17</v>
      </c>
      <c r="W14" s="1">
        <f t="shared" si="13"/>
        <v>18724.110951987685</v>
      </c>
      <c r="X14" s="4">
        <f t="shared" si="14"/>
        <v>-18723.982146688886</v>
      </c>
      <c r="AI14" s="11">
        <v>3</v>
      </c>
      <c r="AJ14" s="5">
        <v>300</v>
      </c>
      <c r="AK14">
        <v>6.0100000000000001E-2</v>
      </c>
      <c r="AL14" s="3">
        <f t="shared" si="15"/>
        <v>7.6633510000000002E-2</v>
      </c>
      <c r="AQ14" s="11">
        <v>3</v>
      </c>
      <c r="AR14" s="5">
        <v>300</v>
      </c>
      <c r="AS14" s="3">
        <f t="shared" si="16"/>
        <v>9.5238095238095247E-2</v>
      </c>
      <c r="AU14">
        <v>4</v>
      </c>
      <c r="AV14">
        <v>120</v>
      </c>
      <c r="AW14" s="3">
        <f t="shared" si="1"/>
        <v>0.23809523809523811</v>
      </c>
      <c r="AX14" s="3">
        <f t="shared" si="2"/>
        <v>0.30526190476190479</v>
      </c>
      <c r="BA14">
        <v>4</v>
      </c>
      <c r="BB14">
        <v>500</v>
      </c>
      <c r="BC14">
        <v>0.21</v>
      </c>
      <c r="BD14" s="12">
        <f t="shared" si="3"/>
        <v>15157.613627799557</v>
      </c>
      <c r="BH14" s="3">
        <f t="shared" si="4"/>
        <v>7.184508239494497E-2</v>
      </c>
      <c r="BI14" s="4">
        <f t="shared" si="5"/>
        <v>0.79827869327716638</v>
      </c>
    </row>
    <row r="15" spans="2:61" x14ac:dyDescent="0.25">
      <c r="B15">
        <v>4</v>
      </c>
      <c r="C15">
        <v>120</v>
      </c>
      <c r="D15">
        <v>281</v>
      </c>
      <c r="E15">
        <v>8.6999999999999993</v>
      </c>
      <c r="F15">
        <f t="shared" si="0"/>
        <v>8.43</v>
      </c>
      <c r="G15">
        <f t="shared" si="6"/>
        <v>8700</v>
      </c>
      <c r="H15" s="18">
        <f t="shared" si="7"/>
        <v>11.017381489841988</v>
      </c>
      <c r="I15">
        <f t="shared" si="8"/>
        <v>281</v>
      </c>
      <c r="J15">
        <v>0.253</v>
      </c>
      <c r="K15">
        <v>0.55000000000000004</v>
      </c>
      <c r="L15" s="4">
        <f t="shared" si="9"/>
        <v>0.17278759594743864</v>
      </c>
      <c r="O15">
        <v>4</v>
      </c>
      <c r="P15">
        <v>120</v>
      </c>
      <c r="Q15">
        <v>293</v>
      </c>
      <c r="R15">
        <f t="shared" si="10"/>
        <v>0.253</v>
      </c>
      <c r="S15" s="3">
        <f t="shared" si="11"/>
        <v>0.32437130000000003</v>
      </c>
      <c r="T15">
        <v>0.39</v>
      </c>
      <c r="U15" s="4">
        <f t="shared" si="12"/>
        <v>0.12252211349000194</v>
      </c>
      <c r="V15">
        <v>0.19</v>
      </c>
      <c r="W15" s="1">
        <f t="shared" si="13"/>
        <v>16753.151904410035</v>
      </c>
      <c r="X15" s="4">
        <f t="shared" si="14"/>
        <v>-16753.029382296547</v>
      </c>
      <c r="AI15" s="11">
        <v>4</v>
      </c>
      <c r="AJ15" s="5">
        <v>400</v>
      </c>
      <c r="AK15">
        <v>4.7E-2</v>
      </c>
      <c r="AL15" s="3">
        <f t="shared" si="15"/>
        <v>5.9929700000000009E-2</v>
      </c>
      <c r="AQ15" s="11">
        <v>4</v>
      </c>
      <c r="AR15" s="5">
        <v>400</v>
      </c>
      <c r="AS15" s="3">
        <f t="shared" si="16"/>
        <v>7.1428571428571425E-2</v>
      </c>
      <c r="AU15">
        <v>5</v>
      </c>
      <c r="AV15">
        <v>150</v>
      </c>
      <c r="AW15" s="3">
        <f t="shared" si="1"/>
        <v>0.19047619047619049</v>
      </c>
      <c r="AX15" s="3">
        <f t="shared" si="2"/>
        <v>0.24420952380952385</v>
      </c>
      <c r="BA15">
        <v>5</v>
      </c>
      <c r="BB15">
        <v>630</v>
      </c>
      <c r="BC15">
        <v>0.24</v>
      </c>
      <c r="BD15" s="12">
        <f t="shared" si="3"/>
        <v>13262.911924324611</v>
      </c>
      <c r="BH15" s="3">
        <f t="shared" si="4"/>
        <v>8.2108665594222821E-2</v>
      </c>
      <c r="BI15" s="4">
        <f t="shared" si="5"/>
        <v>0.91231850660247582</v>
      </c>
    </row>
    <row r="16" spans="2:61" x14ac:dyDescent="0.25">
      <c r="B16">
        <v>5</v>
      </c>
      <c r="C16">
        <v>150</v>
      </c>
      <c r="D16">
        <v>313</v>
      </c>
      <c r="E16">
        <v>12.77</v>
      </c>
      <c r="F16">
        <f t="shared" si="0"/>
        <v>9.39</v>
      </c>
      <c r="G16">
        <f t="shared" si="6"/>
        <v>12770</v>
      </c>
      <c r="H16" s="18">
        <f t="shared" si="7"/>
        <v>16.171489841986457</v>
      </c>
      <c r="I16">
        <f t="shared" si="8"/>
        <v>313</v>
      </c>
      <c r="J16">
        <v>0.20599999999999999</v>
      </c>
      <c r="K16">
        <v>0.54</v>
      </c>
      <c r="L16" s="4">
        <f t="shared" si="9"/>
        <v>0.16964600329384885</v>
      </c>
      <c r="O16">
        <v>5</v>
      </c>
      <c r="P16">
        <v>150</v>
      </c>
      <c r="Q16">
        <v>327</v>
      </c>
      <c r="R16">
        <f t="shared" si="10"/>
        <v>0.20599999999999999</v>
      </c>
      <c r="S16" s="3">
        <f t="shared" si="11"/>
        <v>0.26411259999999998</v>
      </c>
      <c r="T16">
        <v>0.38</v>
      </c>
      <c r="U16" s="4">
        <f t="shared" si="12"/>
        <v>0.11938052083641215</v>
      </c>
      <c r="V16">
        <v>0.2</v>
      </c>
      <c r="W16" s="1">
        <f t="shared" si="13"/>
        <v>15915.494309189537</v>
      </c>
      <c r="X16" s="4">
        <f t="shared" si="14"/>
        <v>-15915.3749286687</v>
      </c>
      <c r="AI16" s="11">
        <v>5</v>
      </c>
      <c r="AJ16" s="5">
        <v>630</v>
      </c>
      <c r="AK16">
        <v>2.8299999999999999E-2</v>
      </c>
      <c r="AL16" s="3">
        <f t="shared" si="15"/>
        <v>3.6085329999999999E-2</v>
      </c>
      <c r="AQ16" s="11">
        <v>5</v>
      </c>
      <c r="AR16" s="5">
        <v>630</v>
      </c>
      <c r="AS16" s="3">
        <f t="shared" si="16"/>
        <v>4.5351473922902501E-2</v>
      </c>
      <c r="AU16">
        <v>6</v>
      </c>
      <c r="AV16">
        <v>185</v>
      </c>
      <c r="AW16" s="3">
        <f t="shared" si="1"/>
        <v>0.15444015444015444</v>
      </c>
      <c r="AX16" s="3">
        <f t="shared" si="2"/>
        <v>0.19800772200772201</v>
      </c>
      <c r="BA16">
        <v>6</v>
      </c>
      <c r="BB16">
        <v>800</v>
      </c>
      <c r="BC16">
        <v>0.27</v>
      </c>
      <c r="BD16" s="12">
        <f t="shared" si="3"/>
        <v>11789.255043844099</v>
      </c>
      <c r="BH16" s="3">
        <f t="shared" si="4"/>
        <v>9.2372248793500686E-2</v>
      </c>
      <c r="BI16" s="4">
        <f t="shared" si="5"/>
        <v>1.0263583199277853</v>
      </c>
    </row>
    <row r="17" spans="2:61" x14ac:dyDescent="0.25">
      <c r="B17">
        <v>6</v>
      </c>
      <c r="C17">
        <v>185</v>
      </c>
      <c r="D17">
        <v>354</v>
      </c>
      <c r="E17">
        <v>13.23</v>
      </c>
      <c r="F17">
        <f t="shared" si="0"/>
        <v>10.62</v>
      </c>
      <c r="G17">
        <f t="shared" si="6"/>
        <v>13230</v>
      </c>
      <c r="H17" s="18">
        <f t="shared" si="7"/>
        <v>16.754018058690747</v>
      </c>
      <c r="I17">
        <f t="shared" si="8"/>
        <v>354</v>
      </c>
      <c r="J17">
        <v>0.16400000000000001</v>
      </c>
      <c r="K17">
        <v>0.53</v>
      </c>
      <c r="L17" s="4">
        <f t="shared" si="9"/>
        <v>0.16650441064025903</v>
      </c>
      <c r="O17">
        <v>6</v>
      </c>
      <c r="P17">
        <v>185</v>
      </c>
      <c r="Q17">
        <v>371</v>
      </c>
      <c r="R17">
        <f t="shared" si="10"/>
        <v>0.16400000000000001</v>
      </c>
      <c r="S17" s="3">
        <f t="shared" si="11"/>
        <v>0.21026440000000002</v>
      </c>
      <c r="T17">
        <v>0.37</v>
      </c>
      <c r="U17" s="4">
        <f t="shared" si="12"/>
        <v>0.11623892818282235</v>
      </c>
      <c r="V17">
        <v>0.21</v>
      </c>
      <c r="W17" s="1">
        <f t="shared" si="13"/>
        <v>15157.613627799557</v>
      </c>
      <c r="X17" s="4">
        <f t="shared" si="14"/>
        <v>-15157.497388871374</v>
      </c>
      <c r="AI17" s="11">
        <v>6</v>
      </c>
      <c r="AJ17" s="5">
        <v>800</v>
      </c>
      <c r="AK17">
        <v>2.2100000000000002E-2</v>
      </c>
      <c r="AL17" s="3">
        <f t="shared" si="15"/>
        <v>2.8179710000000004E-2</v>
      </c>
      <c r="AQ17" s="11">
        <v>6</v>
      </c>
      <c r="AR17" s="5">
        <v>800</v>
      </c>
      <c r="AS17" s="3">
        <f t="shared" si="16"/>
        <v>3.5714285714285712E-2</v>
      </c>
      <c r="AU17">
        <v>7</v>
      </c>
      <c r="AV17">
        <v>240</v>
      </c>
      <c r="AW17" s="3">
        <f t="shared" si="1"/>
        <v>0.11904761904761905</v>
      </c>
      <c r="AX17" s="3">
        <f t="shared" si="2"/>
        <v>0.15263095238095239</v>
      </c>
      <c r="BA17">
        <v>7</v>
      </c>
      <c r="BB17">
        <v>1000</v>
      </c>
      <c r="BC17">
        <v>0.28000000000000003</v>
      </c>
      <c r="BD17" s="12">
        <f t="shared" si="3"/>
        <v>11368.210220849665</v>
      </c>
      <c r="BH17" s="3">
        <f t="shared" si="4"/>
        <v>9.5793443193259969E-2</v>
      </c>
      <c r="BI17" s="4">
        <f t="shared" si="5"/>
        <v>1.0643715910362219</v>
      </c>
    </row>
    <row r="18" spans="2:61" x14ac:dyDescent="0.25">
      <c r="B18">
        <v>7</v>
      </c>
      <c r="C18">
        <v>240</v>
      </c>
      <c r="D18">
        <v>408</v>
      </c>
      <c r="E18">
        <v>14.89</v>
      </c>
      <c r="F18">
        <f t="shared" si="0"/>
        <v>12.24</v>
      </c>
      <c r="G18">
        <f t="shared" si="6"/>
        <v>14890</v>
      </c>
      <c r="H18" s="18">
        <f t="shared" si="7"/>
        <v>18.856185101580138</v>
      </c>
      <c r="I18">
        <f t="shared" si="8"/>
        <v>408</v>
      </c>
      <c r="J18">
        <v>0.125</v>
      </c>
      <c r="K18">
        <v>0.5</v>
      </c>
      <c r="L18" s="4">
        <f t="shared" si="9"/>
        <v>0.15707963267948966</v>
      </c>
      <c r="O18">
        <v>7</v>
      </c>
      <c r="P18">
        <v>240</v>
      </c>
      <c r="Q18">
        <v>432</v>
      </c>
      <c r="R18">
        <f t="shared" si="10"/>
        <v>0.125</v>
      </c>
      <c r="S18" s="3">
        <f t="shared" si="11"/>
        <v>0.1602625</v>
      </c>
      <c r="T18">
        <v>0.36</v>
      </c>
      <c r="U18" s="4">
        <f t="shared" si="12"/>
        <v>0.11309733552923255</v>
      </c>
      <c r="V18">
        <v>0.24</v>
      </c>
      <c r="W18" s="1">
        <f t="shared" si="13"/>
        <v>13262.911924324611</v>
      </c>
      <c r="X18" s="4">
        <f t="shared" si="14"/>
        <v>-13262.798826989083</v>
      </c>
      <c r="AI18" s="11">
        <v>7</v>
      </c>
      <c r="AJ18" s="5">
        <v>1200</v>
      </c>
      <c r="AK18">
        <v>1.5100000000000001E-2</v>
      </c>
      <c r="AL18" s="3">
        <f t="shared" si="15"/>
        <v>1.9254010000000002E-2</v>
      </c>
      <c r="AQ18" s="11">
        <v>7</v>
      </c>
      <c r="AR18" s="5">
        <v>1200</v>
      </c>
      <c r="AS18" s="3">
        <f t="shared" si="16"/>
        <v>2.3809523809523812E-2</v>
      </c>
      <c r="AU18">
        <v>8</v>
      </c>
      <c r="AV18">
        <v>300</v>
      </c>
      <c r="AW18" s="3">
        <f t="shared" si="1"/>
        <v>9.5238095238095247E-2</v>
      </c>
      <c r="AX18" s="3">
        <f t="shared" si="2"/>
        <v>0.12210476190476192</v>
      </c>
      <c r="BA18">
        <v>8</v>
      </c>
      <c r="BB18">
        <v>1200</v>
      </c>
      <c r="BC18">
        <v>0.28999999999999998</v>
      </c>
      <c r="BD18" s="12">
        <f t="shared" si="3"/>
        <v>10976.202971854853</v>
      </c>
      <c r="BH18" s="3">
        <f t="shared" si="4"/>
        <v>9.9214637593019225E-2</v>
      </c>
      <c r="BI18" s="4">
        <f t="shared" si="5"/>
        <v>1.1023848621446581</v>
      </c>
    </row>
    <row r="19" spans="2:61" x14ac:dyDescent="0.25">
      <c r="B19">
        <v>8</v>
      </c>
      <c r="C19">
        <v>300</v>
      </c>
      <c r="D19">
        <v>458</v>
      </c>
      <c r="E19">
        <v>17.5</v>
      </c>
      <c r="F19">
        <f t="shared" si="0"/>
        <v>13.74</v>
      </c>
      <c r="G19">
        <f t="shared" si="6"/>
        <v>17500</v>
      </c>
      <c r="H19" s="18">
        <f t="shared" si="7"/>
        <v>22.161399548532732</v>
      </c>
      <c r="I19">
        <f t="shared" si="8"/>
        <v>458</v>
      </c>
      <c r="J19">
        <v>0.1</v>
      </c>
      <c r="K19">
        <v>0.49</v>
      </c>
      <c r="L19" s="4">
        <f t="shared" si="9"/>
        <v>0.15393804002589989</v>
      </c>
      <c r="O19">
        <v>8</v>
      </c>
      <c r="P19">
        <v>300</v>
      </c>
      <c r="Q19">
        <v>491</v>
      </c>
      <c r="R19">
        <f t="shared" si="10"/>
        <v>0.1</v>
      </c>
      <c r="S19" s="3">
        <f t="shared" si="11"/>
        <v>0.12821000000000002</v>
      </c>
      <c r="T19">
        <v>0.34</v>
      </c>
      <c r="U19" s="4">
        <f t="shared" si="12"/>
        <v>0.10681415022205297</v>
      </c>
      <c r="V19">
        <v>0.26</v>
      </c>
      <c r="W19" s="1">
        <f t="shared" si="13"/>
        <v>12242.687930145796</v>
      </c>
      <c r="X19" s="4">
        <f t="shared" si="14"/>
        <v>-12242.581115995574</v>
      </c>
      <c r="AI19" s="32">
        <v>8</v>
      </c>
      <c r="AJ19" s="22">
        <v>1600</v>
      </c>
      <c r="AK19">
        <v>1.1299999999999999E-2</v>
      </c>
      <c r="AL19" s="3">
        <f t="shared" si="15"/>
        <v>1.440863E-2</v>
      </c>
      <c r="AQ19" s="32">
        <v>8</v>
      </c>
      <c r="AR19" s="22">
        <v>1600</v>
      </c>
      <c r="AS19" s="3">
        <f t="shared" si="16"/>
        <v>1.7857142857142856E-2</v>
      </c>
      <c r="AU19">
        <v>9</v>
      </c>
      <c r="AV19">
        <v>400</v>
      </c>
      <c r="AW19" s="3">
        <f t="shared" si="1"/>
        <v>7.1428571428571425E-2</v>
      </c>
      <c r="AX19" s="3">
        <f t="shared" si="2"/>
        <v>9.1578571428571426E-2</v>
      </c>
      <c r="BA19">
        <v>9</v>
      </c>
      <c r="BB19">
        <v>1600</v>
      </c>
      <c r="BC19">
        <v>0.33</v>
      </c>
      <c r="BD19" s="12">
        <f t="shared" si="3"/>
        <v>9645.7541267815359</v>
      </c>
      <c r="BH19" s="3">
        <f t="shared" si="4"/>
        <v>0.11289941519205639</v>
      </c>
      <c r="BI19" s="4">
        <f t="shared" si="5"/>
        <v>1.2544379465784041</v>
      </c>
    </row>
    <row r="20" spans="2:61" x14ac:dyDescent="0.25">
      <c r="B20">
        <v>9</v>
      </c>
      <c r="C20">
        <v>400</v>
      </c>
      <c r="D20">
        <v>519</v>
      </c>
      <c r="E20">
        <v>21.09</v>
      </c>
      <c r="F20">
        <f t="shared" si="0"/>
        <v>15.57</v>
      </c>
      <c r="G20">
        <f t="shared" si="6"/>
        <v>21090</v>
      </c>
      <c r="H20" s="18">
        <f t="shared" si="7"/>
        <v>26.707652370203164</v>
      </c>
      <c r="I20">
        <f t="shared" si="8"/>
        <v>519</v>
      </c>
      <c r="J20">
        <v>7.7799999999999994E-2</v>
      </c>
      <c r="K20">
        <v>0.47</v>
      </c>
      <c r="L20" s="4">
        <f t="shared" si="9"/>
        <v>0.14765485471872028</v>
      </c>
      <c r="O20">
        <v>9</v>
      </c>
      <c r="P20">
        <v>400</v>
      </c>
      <c r="Q20">
        <v>564</v>
      </c>
      <c r="R20">
        <f t="shared" si="10"/>
        <v>7.7799999999999994E-2</v>
      </c>
      <c r="S20" s="3">
        <f t="shared" si="11"/>
        <v>9.9747379999999997E-2</v>
      </c>
      <c r="T20">
        <v>0.33</v>
      </c>
      <c r="U20" s="4">
        <f t="shared" si="12"/>
        <v>0.10367255756846318</v>
      </c>
      <c r="V20">
        <v>0.28999999999999998</v>
      </c>
      <c r="W20" s="1">
        <f t="shared" si="13"/>
        <v>10976.202971854853</v>
      </c>
      <c r="X20" s="4">
        <f t="shared" si="14"/>
        <v>-10976.099299297284</v>
      </c>
      <c r="AU20">
        <v>10</v>
      </c>
      <c r="AV20">
        <v>500</v>
      </c>
      <c r="AW20" s="3">
        <f t="shared" si="1"/>
        <v>5.7142857142857141E-2</v>
      </c>
      <c r="AX20" s="3">
        <f t="shared" si="2"/>
        <v>7.3262857142857143E-2</v>
      </c>
    </row>
    <row r="21" spans="2:61" x14ac:dyDescent="0.25">
      <c r="B21">
        <v>10</v>
      </c>
      <c r="C21">
        <v>500</v>
      </c>
      <c r="D21">
        <v>585</v>
      </c>
      <c r="E21">
        <v>23.77</v>
      </c>
      <c r="F21">
        <f t="shared" si="0"/>
        <v>17.55</v>
      </c>
      <c r="G21">
        <f t="shared" si="6"/>
        <v>23770</v>
      </c>
      <c r="H21" s="18">
        <f t="shared" si="7"/>
        <v>30.101512415349891</v>
      </c>
      <c r="I21">
        <f t="shared" si="8"/>
        <v>585</v>
      </c>
      <c r="J21">
        <v>6.5000000000000002E-2</v>
      </c>
      <c r="K21">
        <v>0.46</v>
      </c>
      <c r="L21" s="4">
        <f t="shared" si="9"/>
        <v>0.14451326206513052</v>
      </c>
      <c r="O21">
        <v>10</v>
      </c>
      <c r="P21">
        <v>500</v>
      </c>
      <c r="Q21">
        <v>646</v>
      </c>
      <c r="R21">
        <v>6.0499999999999998E-2</v>
      </c>
      <c r="S21" s="3">
        <f t="shared" si="11"/>
        <v>7.7567049999999998E-2</v>
      </c>
      <c r="T21">
        <v>0.32</v>
      </c>
      <c r="U21" s="4">
        <f t="shared" si="12"/>
        <v>0.10053096491487339</v>
      </c>
      <c r="V21">
        <v>0.31</v>
      </c>
      <c r="W21" s="1">
        <f t="shared" si="13"/>
        <v>10268.060844638409</v>
      </c>
      <c r="X21" s="4">
        <f t="shared" si="14"/>
        <v>-10267.960313673493</v>
      </c>
      <c r="AU21">
        <v>11</v>
      </c>
      <c r="AV21">
        <v>630</v>
      </c>
      <c r="AW21" s="3">
        <f t="shared" si="1"/>
        <v>4.5351473922902501E-2</v>
      </c>
      <c r="AX21" s="3">
        <f t="shared" si="2"/>
        <v>5.8145124716553295E-2</v>
      </c>
    </row>
    <row r="22" spans="2:61" x14ac:dyDescent="0.25">
      <c r="O22">
        <v>11</v>
      </c>
      <c r="P22">
        <v>630</v>
      </c>
      <c r="Q22">
        <v>743</v>
      </c>
      <c r="R22">
        <v>4.6899999999999997E-2</v>
      </c>
      <c r="S22" s="3">
        <f t="shared" si="11"/>
        <v>6.0130489999999995E-2</v>
      </c>
      <c r="T22">
        <v>0.3</v>
      </c>
      <c r="U22" s="4">
        <f t="shared" si="12"/>
        <v>9.4247779607693802E-2</v>
      </c>
      <c r="V22">
        <v>0.35</v>
      </c>
      <c r="W22" s="1">
        <f t="shared" si="13"/>
        <v>9094.5681766797334</v>
      </c>
      <c r="X22" s="4">
        <f t="shared" si="14"/>
        <v>-9094.4739289001263</v>
      </c>
    </row>
    <row r="51" spans="2:10" x14ac:dyDescent="0.25">
      <c r="J51" t="s">
        <v>609</v>
      </c>
    </row>
    <row r="52" spans="2:10" ht="17.25" customHeight="1" x14ac:dyDescent="0.25">
      <c r="J52" t="s">
        <v>592</v>
      </c>
    </row>
    <row r="61" spans="2:10" x14ac:dyDescent="0.25">
      <c r="B61" t="s">
        <v>227</v>
      </c>
    </row>
    <row r="62" spans="2:10" x14ac:dyDescent="0.25">
      <c r="B62" t="s">
        <v>284</v>
      </c>
      <c r="C62">
        <v>33</v>
      </c>
      <c r="D62" t="s">
        <v>124</v>
      </c>
    </row>
    <row r="63" spans="2:10" x14ac:dyDescent="0.25">
      <c r="B63" t="s">
        <v>565</v>
      </c>
      <c r="C63" s="14" t="s">
        <v>566</v>
      </c>
    </row>
    <row r="64" spans="2:10" x14ac:dyDescent="0.25">
      <c r="I64" t="s">
        <v>285</v>
      </c>
    </row>
    <row r="65" spans="2:17" x14ac:dyDescent="0.25">
      <c r="B65" t="s">
        <v>11</v>
      </c>
      <c r="C65" t="s">
        <v>563</v>
      </c>
      <c r="D65" t="s">
        <v>282</v>
      </c>
      <c r="E65" t="s">
        <v>577</v>
      </c>
      <c r="F65" t="s">
        <v>69</v>
      </c>
      <c r="G65" t="s">
        <v>70</v>
      </c>
      <c r="H65" t="s">
        <v>29</v>
      </c>
      <c r="J65" s="24" t="s">
        <v>595</v>
      </c>
    </row>
    <row r="66" spans="2:17" x14ac:dyDescent="0.25">
      <c r="B66" t="s">
        <v>279</v>
      </c>
      <c r="C66" t="s">
        <v>281</v>
      </c>
      <c r="D66" t="s">
        <v>564</v>
      </c>
      <c r="E66" t="s">
        <v>578</v>
      </c>
      <c r="F66" t="s">
        <v>287</v>
      </c>
      <c r="G66" t="s">
        <v>287</v>
      </c>
      <c r="H66" t="s">
        <v>113</v>
      </c>
      <c r="I66" t="s">
        <v>283</v>
      </c>
      <c r="J66" s="24" t="s">
        <v>580</v>
      </c>
    </row>
    <row r="67" spans="2:17" x14ac:dyDescent="0.25">
      <c r="B67" t="s">
        <v>560</v>
      </c>
      <c r="C67">
        <v>150</v>
      </c>
      <c r="D67">
        <f>335</f>
        <v>335</v>
      </c>
      <c r="E67">
        <f>D67*$C$62*1000/1000000</f>
        <v>11.055</v>
      </c>
      <c r="F67">
        <f>0.159</f>
        <v>0.159</v>
      </c>
      <c r="G67">
        <v>0.11799999999999999</v>
      </c>
      <c r="H67">
        <v>59197</v>
      </c>
      <c r="I67">
        <f>H67/1000/3</f>
        <v>19.732333333333333</v>
      </c>
      <c r="J67" s="151">
        <f>I67*$C$2*$C$1/$C$4</f>
        <v>24.988349887133189</v>
      </c>
    </row>
    <row r="68" spans="2:17" x14ac:dyDescent="0.25">
      <c r="B68" t="s">
        <v>561</v>
      </c>
      <c r="C68">
        <v>240</v>
      </c>
      <c r="D68">
        <v>435</v>
      </c>
      <c r="E68">
        <f t="shared" ref="E68:E69" si="17">D68*$C$62*1000/1000000</f>
        <v>14.355</v>
      </c>
      <c r="F68">
        <v>9.7799999999999998E-2</v>
      </c>
      <c r="G68">
        <v>0.109</v>
      </c>
      <c r="H68">
        <v>63049</v>
      </c>
      <c r="I68">
        <f t="shared" ref="I68:I69" si="18">H68/1000/3</f>
        <v>21.016333333333332</v>
      </c>
      <c r="J68" s="151">
        <f t="shared" ref="J68:J69" si="19">I68*$C$2*$C$1/$C$4</f>
        <v>26.614363431151244</v>
      </c>
    </row>
    <row r="69" spans="2:17" x14ac:dyDescent="0.25">
      <c r="B69" t="s">
        <v>562</v>
      </c>
      <c r="C69">
        <v>300</v>
      </c>
      <c r="D69">
        <v>490</v>
      </c>
      <c r="E69">
        <f t="shared" si="17"/>
        <v>16.170000000000002</v>
      </c>
      <c r="F69">
        <v>7.8799999999999995E-2</v>
      </c>
      <c r="G69">
        <v>0.105</v>
      </c>
      <c r="H69">
        <v>67509</v>
      </c>
      <c r="I69">
        <f t="shared" si="18"/>
        <v>22.503</v>
      </c>
      <c r="J69" s="151">
        <f t="shared" si="19"/>
        <v>28.49702708803612</v>
      </c>
    </row>
    <row r="74" spans="2:17" x14ac:dyDescent="0.25">
      <c r="B74" t="s">
        <v>567</v>
      </c>
    </row>
    <row r="76" spans="2:17" x14ac:dyDescent="0.25">
      <c r="B76" t="s">
        <v>284</v>
      </c>
      <c r="C76">
        <v>20</v>
      </c>
      <c r="D76" t="s">
        <v>124</v>
      </c>
    </row>
    <row r="77" spans="2:17" x14ac:dyDescent="0.25">
      <c r="B77" t="s">
        <v>31</v>
      </c>
      <c r="C77" s="14" t="s">
        <v>569</v>
      </c>
    </row>
    <row r="78" spans="2:17" ht="15.75" x14ac:dyDescent="0.25">
      <c r="B78" t="s">
        <v>11</v>
      </c>
      <c r="C78" t="s">
        <v>568</v>
      </c>
      <c r="D78" t="s">
        <v>576</v>
      </c>
      <c r="E78" t="s">
        <v>570</v>
      </c>
      <c r="F78" t="s">
        <v>594</v>
      </c>
      <c r="G78" s="24" t="s">
        <v>595</v>
      </c>
      <c r="J78" s="148" t="s">
        <v>572</v>
      </c>
      <c r="K78" s="149"/>
      <c r="L78" s="148" t="s">
        <v>573</v>
      </c>
      <c r="M78" s="149"/>
      <c r="N78" s="148" t="s">
        <v>574</v>
      </c>
      <c r="O78" s="149"/>
      <c r="P78" s="148" t="s">
        <v>650</v>
      </c>
      <c r="Q78" s="149"/>
    </row>
    <row r="79" spans="2:17" x14ac:dyDescent="0.25">
      <c r="B79" t="s">
        <v>279</v>
      </c>
      <c r="C79" t="s">
        <v>281</v>
      </c>
      <c r="D79" t="s">
        <v>26</v>
      </c>
      <c r="E79" t="s">
        <v>571</v>
      </c>
      <c r="F79" t="s">
        <v>283</v>
      </c>
      <c r="G79" s="24" t="s">
        <v>580</v>
      </c>
      <c r="J79" s="148" t="s">
        <v>571</v>
      </c>
      <c r="K79" s="148" t="s">
        <v>575</v>
      </c>
      <c r="L79" s="150" t="s">
        <v>571</v>
      </c>
      <c r="M79" s="148" t="s">
        <v>575</v>
      </c>
      <c r="N79" s="150" t="s">
        <v>571</v>
      </c>
      <c r="O79" s="148" t="s">
        <v>575</v>
      </c>
      <c r="P79" s="150" t="s">
        <v>571</v>
      </c>
      <c r="Q79" s="148" t="s">
        <v>575</v>
      </c>
    </row>
    <row r="80" spans="2:17" x14ac:dyDescent="0.25">
      <c r="B80">
        <v>1</v>
      </c>
      <c r="C80">
        <v>150</v>
      </c>
      <c r="D80" s="12">
        <f>E80*1000000/($C$76*1000)</f>
        <v>482.57223409413302</v>
      </c>
      <c r="E80" s="154">
        <v>9.6514446818826602</v>
      </c>
      <c r="F80">
        <f>15</f>
        <v>15</v>
      </c>
      <c r="G80" s="151">
        <f>F80*$C$2*$C$1/$C$3</f>
        <v>24.855085840871329</v>
      </c>
      <c r="I80">
        <v>150</v>
      </c>
      <c r="J80" s="152">
        <v>9.6514446818826602</v>
      </c>
      <c r="K80" s="153">
        <v>150.62761506276101</v>
      </c>
      <c r="L80" s="153">
        <v>56.727622445294401</v>
      </c>
      <c r="M80" s="153">
        <v>186.331938633193</v>
      </c>
      <c r="N80" s="153">
        <v>13.256315557391201</v>
      </c>
      <c r="O80" s="153">
        <v>149.511854951185</v>
      </c>
      <c r="P80" s="153">
        <v>80.975930947378401</v>
      </c>
      <c r="Q80" s="153">
        <v>241.004184100418</v>
      </c>
    </row>
    <row r="81" spans="2:17" x14ac:dyDescent="0.25">
      <c r="B81">
        <v>2</v>
      </c>
      <c r="C81">
        <v>240</v>
      </c>
      <c r="D81" s="12">
        <f t="shared" ref="D81:D83" si="20">E81*1000000/($C$76*1000)</f>
        <v>593.86092505132501</v>
      </c>
      <c r="E81" s="154">
        <v>11.877218501026499</v>
      </c>
      <c r="F81">
        <v>18</v>
      </c>
      <c r="G81" s="151">
        <f t="shared" ref="G81:G95" si="21">F81*$C$2*$C$1/$C$3</f>
        <v>29.826103009045596</v>
      </c>
      <c r="I81">
        <v>240</v>
      </c>
      <c r="J81" s="152">
        <v>11.877218501026499</v>
      </c>
      <c r="K81" s="153">
        <v>241.004184100418</v>
      </c>
      <c r="L81" s="153">
        <v>63.350472781399098</v>
      </c>
      <c r="M81" s="153">
        <v>239.88842398884199</v>
      </c>
      <c r="N81" s="153">
        <v>16.282675190499202</v>
      </c>
      <c r="O81" s="153">
        <v>237.65690376569</v>
      </c>
      <c r="P81" s="153">
        <v>88.6021672722338</v>
      </c>
      <c r="Q81" s="153">
        <v>302.370990237098</v>
      </c>
    </row>
    <row r="82" spans="2:17" x14ac:dyDescent="0.25">
      <c r="B82">
        <v>3</v>
      </c>
      <c r="C82">
        <v>300</v>
      </c>
      <c r="D82" s="12">
        <f t="shared" si="20"/>
        <v>674.74355674473998</v>
      </c>
      <c r="E82" s="154">
        <v>13.494871134894799</v>
      </c>
      <c r="F82">
        <v>25</v>
      </c>
      <c r="G82" s="151">
        <f t="shared" si="21"/>
        <v>41.425143068118885</v>
      </c>
      <c r="I82">
        <v>300</v>
      </c>
      <c r="J82" s="152">
        <v>13.494871134894799</v>
      </c>
      <c r="K82" s="153">
        <v>302.370990237098</v>
      </c>
      <c r="L82" s="153">
        <v>69.974719812922601</v>
      </c>
      <c r="M82" s="153">
        <v>299.02370990237102</v>
      </c>
      <c r="N82" s="153">
        <v>18.101731303735299</v>
      </c>
      <c r="O82" s="153">
        <v>303.48675034867398</v>
      </c>
      <c r="P82" s="153">
        <v>132.388568646582</v>
      </c>
      <c r="Q82" s="153">
        <v>797.76847977684702</v>
      </c>
    </row>
    <row r="83" spans="2:17" ht="15.75" x14ac:dyDescent="0.25">
      <c r="B83">
        <v>4</v>
      </c>
      <c r="C83">
        <v>400</v>
      </c>
      <c r="D83" s="12">
        <f t="shared" si="20"/>
        <v>766.14330494051001</v>
      </c>
      <c r="E83" s="154">
        <v>15.3228660988102</v>
      </c>
      <c r="F83">
        <v>30</v>
      </c>
      <c r="G83" s="151">
        <f t="shared" si="21"/>
        <v>49.710171681742658</v>
      </c>
      <c r="I83">
        <v>400</v>
      </c>
      <c r="J83" s="152">
        <v>15.3228660988102</v>
      </c>
      <c r="K83" s="153">
        <v>403.90516039051602</v>
      </c>
      <c r="L83" s="153">
        <v>111.559091190243</v>
      </c>
      <c r="M83" s="153">
        <v>798.88423988842305</v>
      </c>
      <c r="N83" s="153">
        <v>20.329739835548999</v>
      </c>
      <c r="O83" s="153">
        <v>402.78940027893998</v>
      </c>
      <c r="P83" s="155"/>
      <c r="Q83" s="155"/>
    </row>
    <row r="84" spans="2:17" ht="15.75" x14ac:dyDescent="0.25">
      <c r="B84">
        <v>5</v>
      </c>
      <c r="C84">
        <v>630</v>
      </c>
      <c r="D84" s="12">
        <f>E84*1000000/($C$76*1000)</f>
        <v>909.16491580919512</v>
      </c>
      <c r="E84" s="154">
        <v>18.183298316183901</v>
      </c>
      <c r="F84">
        <v>40</v>
      </c>
      <c r="G84" s="151">
        <f t="shared" si="21"/>
        <v>66.28022890899021</v>
      </c>
      <c r="I84">
        <v>500</v>
      </c>
      <c r="J84" s="152">
        <v>16.5488853372919</v>
      </c>
      <c r="K84" s="153">
        <v>500.97629009762801</v>
      </c>
      <c r="L84" s="155"/>
      <c r="M84" s="155"/>
      <c r="N84" s="153">
        <v>21.9571693373478</v>
      </c>
      <c r="O84" s="153">
        <v>503.20781032078099</v>
      </c>
      <c r="P84" s="155"/>
      <c r="Q84" s="155"/>
    </row>
    <row r="85" spans="2:17" ht="15.75" x14ac:dyDescent="0.25">
      <c r="B85">
        <v>6</v>
      </c>
      <c r="C85">
        <v>800</v>
      </c>
      <c r="D85" s="29">
        <f>51.463*C85^0.4475</f>
        <v>1024.7734584440643</v>
      </c>
      <c r="F85">
        <v>50</v>
      </c>
      <c r="G85" s="151">
        <f t="shared" si="21"/>
        <v>82.85028613623777</v>
      </c>
      <c r="I85">
        <v>630</v>
      </c>
      <c r="J85" s="152">
        <v>18.183298316183901</v>
      </c>
      <c r="K85" s="153">
        <v>629.28870292886995</v>
      </c>
      <c r="L85" s="155"/>
      <c r="M85" s="155"/>
      <c r="N85" s="153">
        <v>23.985450424296101</v>
      </c>
      <c r="O85" s="153">
        <v>604.74198047419702</v>
      </c>
      <c r="P85" s="155"/>
      <c r="Q85" s="155"/>
    </row>
    <row r="86" spans="2:17" x14ac:dyDescent="0.25">
      <c r="B86" s="6"/>
      <c r="C86" s="156">
        <v>1200</v>
      </c>
      <c r="D86" s="157">
        <f>51.463*C86^0.4475</f>
        <v>1228.6514771347722</v>
      </c>
      <c r="E86" s="156"/>
      <c r="F86" s="156"/>
      <c r="G86" s="158">
        <f>0.0886*C86+11.925</f>
        <v>118.24499999999999</v>
      </c>
    </row>
    <row r="87" spans="2:17" x14ac:dyDescent="0.25">
      <c r="B87" s="6"/>
      <c r="C87" s="156">
        <v>1600</v>
      </c>
      <c r="D87" s="156"/>
      <c r="E87" s="156"/>
      <c r="F87" s="156"/>
      <c r="G87" s="158">
        <f>0.0886*C87+11.925</f>
        <v>153.685</v>
      </c>
    </row>
    <row r="88" spans="2:17" x14ac:dyDescent="0.25">
      <c r="G88" s="151"/>
    </row>
    <row r="89" spans="2:17" x14ac:dyDescent="0.25">
      <c r="B89" t="s">
        <v>284</v>
      </c>
      <c r="C89">
        <v>110</v>
      </c>
      <c r="D89" t="s">
        <v>124</v>
      </c>
      <c r="G89" s="151"/>
    </row>
    <row r="90" spans="2:17" x14ac:dyDescent="0.25">
      <c r="B90" t="s">
        <v>31</v>
      </c>
      <c r="C90" s="14" t="s">
        <v>569</v>
      </c>
      <c r="G90" s="151"/>
    </row>
    <row r="91" spans="2:17" x14ac:dyDescent="0.25">
      <c r="B91" t="s">
        <v>11</v>
      </c>
      <c r="C91" t="s">
        <v>568</v>
      </c>
      <c r="D91" t="s">
        <v>576</v>
      </c>
      <c r="E91" t="s">
        <v>570</v>
      </c>
      <c r="F91" t="s">
        <v>29</v>
      </c>
      <c r="G91" s="151" t="s">
        <v>595</v>
      </c>
    </row>
    <row r="92" spans="2:17" x14ac:dyDescent="0.25">
      <c r="B92" t="s">
        <v>279</v>
      </c>
      <c r="C92" t="s">
        <v>281</v>
      </c>
      <c r="D92" t="s">
        <v>26</v>
      </c>
      <c r="E92" t="s">
        <v>571</v>
      </c>
      <c r="F92" t="s">
        <v>283</v>
      </c>
      <c r="G92" s="151" t="s">
        <v>580</v>
      </c>
    </row>
    <row r="93" spans="2:17" x14ac:dyDescent="0.25">
      <c r="B93">
        <v>1</v>
      </c>
      <c r="C93">
        <v>800</v>
      </c>
      <c r="D93" s="12">
        <f>E93*1000000/(C89*1000)</f>
        <v>1014.1735562749362</v>
      </c>
      <c r="E93" s="150">
        <v>111.559091190243</v>
      </c>
      <c r="F93">
        <v>100</v>
      </c>
      <c r="G93" s="151">
        <f t="shared" si="21"/>
        <v>165.70057227247554</v>
      </c>
    </row>
    <row r="94" spans="2:17" x14ac:dyDescent="0.25">
      <c r="B94">
        <v>2</v>
      </c>
      <c r="C94">
        <v>1200</v>
      </c>
      <c r="D94" s="29">
        <f>51.463*C94^0.4475</f>
        <v>1228.6514771347722</v>
      </c>
      <c r="F94">
        <v>130</v>
      </c>
      <c r="G94" s="151">
        <f t="shared" si="21"/>
        <v>215.41074395421819</v>
      </c>
    </row>
    <row r="95" spans="2:17" x14ac:dyDescent="0.25">
      <c r="B95">
        <v>3</v>
      </c>
      <c r="C95">
        <v>1600</v>
      </c>
      <c r="D95" s="29">
        <f>51.463*C95^0.4475</f>
        <v>1397.4580885749604</v>
      </c>
      <c r="F95">
        <v>150</v>
      </c>
      <c r="G95" s="151">
        <f t="shared" si="21"/>
        <v>248.55085840871328</v>
      </c>
    </row>
    <row r="96" spans="2:17" x14ac:dyDescent="0.25">
      <c r="C96" s="157">
        <v>630</v>
      </c>
      <c r="D96" s="159"/>
      <c r="E96" s="159"/>
      <c r="F96" s="159"/>
      <c r="G96" s="160">
        <f>0.1036*C96+85.612</f>
        <v>150.88</v>
      </c>
    </row>
    <row r="97" spans="2:8" x14ac:dyDescent="0.25">
      <c r="C97" s="157">
        <v>400</v>
      </c>
      <c r="D97" s="159"/>
      <c r="E97" s="159"/>
      <c r="F97" s="159"/>
      <c r="G97" s="160">
        <f>0.1036*C97+85.612</f>
        <v>127.05199999999999</v>
      </c>
    </row>
    <row r="98" spans="2:8" x14ac:dyDescent="0.25">
      <c r="C98" s="157">
        <v>300</v>
      </c>
      <c r="G98" s="160">
        <f t="shared" ref="G98:G99" si="22">0.1036*C98+85.612</f>
        <v>116.69199999999999</v>
      </c>
    </row>
    <row r="99" spans="2:8" x14ac:dyDescent="0.25">
      <c r="C99" s="157">
        <v>150</v>
      </c>
      <c r="G99" s="160">
        <f t="shared" si="22"/>
        <v>101.15199999999999</v>
      </c>
    </row>
    <row r="101" spans="2:8" x14ac:dyDescent="0.25">
      <c r="B101" t="s">
        <v>694</v>
      </c>
    </row>
    <row r="102" spans="2:8" x14ac:dyDescent="0.25">
      <c r="B102" t="s">
        <v>284</v>
      </c>
      <c r="C102">
        <v>20</v>
      </c>
      <c r="D102">
        <v>110</v>
      </c>
      <c r="E102" t="s">
        <v>124</v>
      </c>
      <c r="G102">
        <v>66</v>
      </c>
      <c r="H102" t="s">
        <v>124</v>
      </c>
    </row>
    <row r="103" spans="2:8" x14ac:dyDescent="0.25">
      <c r="B103" t="s">
        <v>568</v>
      </c>
      <c r="C103" s="11" t="s">
        <v>689</v>
      </c>
      <c r="D103" s="11" t="s">
        <v>690</v>
      </c>
      <c r="E103" t="s">
        <v>691</v>
      </c>
      <c r="F103" t="s">
        <v>692</v>
      </c>
    </row>
    <row r="104" spans="2:8" x14ac:dyDescent="0.25">
      <c r="B104" t="s">
        <v>281</v>
      </c>
      <c r="C104" s="11" t="s">
        <v>693</v>
      </c>
      <c r="D104" s="11" t="s">
        <v>693</v>
      </c>
      <c r="E104" s="11" t="s">
        <v>3</v>
      </c>
      <c r="F104" s="11" t="s">
        <v>693</v>
      </c>
    </row>
    <row r="105" spans="2:8" x14ac:dyDescent="0.25">
      <c r="B105">
        <v>150</v>
      </c>
      <c r="C105" s="1">
        <f>G80</f>
        <v>24.855085840871329</v>
      </c>
      <c r="D105" s="1">
        <f>G99</f>
        <v>101.15199999999999</v>
      </c>
      <c r="E105" s="1">
        <f t="shared" ref="E105:E106" si="23">D105/C105</f>
        <v>4.0696701128936423</v>
      </c>
      <c r="F105" s="1">
        <f t="shared" ref="F105:F106" si="24">D105-C105</f>
        <v>76.296914159128661</v>
      </c>
    </row>
    <row r="106" spans="2:8" x14ac:dyDescent="0.25">
      <c r="B106">
        <v>300</v>
      </c>
      <c r="C106" s="1">
        <f t="shared" ref="C106:C111" si="25">G82</f>
        <v>41.425143068118885</v>
      </c>
      <c r="D106" s="1">
        <f>G98</f>
        <v>116.69199999999999</v>
      </c>
      <c r="E106" s="1">
        <f t="shared" si="23"/>
        <v>2.8169365597147946</v>
      </c>
      <c r="F106" s="1">
        <f t="shared" si="24"/>
        <v>75.266856931881108</v>
      </c>
    </row>
    <row r="107" spans="2:8" x14ac:dyDescent="0.25">
      <c r="B107">
        <v>400</v>
      </c>
      <c r="C107" s="1">
        <f t="shared" si="25"/>
        <v>49.710171681742658</v>
      </c>
      <c r="D107" s="1">
        <f>G97</f>
        <v>127.05199999999999</v>
      </c>
      <c r="E107" s="1">
        <f>D107/C107</f>
        <v>2.5558551841948902</v>
      </c>
      <c r="F107" s="1">
        <f>D107-C107</f>
        <v>77.341828318257342</v>
      </c>
    </row>
    <row r="108" spans="2:8" x14ac:dyDescent="0.25">
      <c r="B108">
        <v>630</v>
      </c>
      <c r="C108" s="1">
        <f t="shared" si="25"/>
        <v>66.28022890899021</v>
      </c>
      <c r="D108" s="1">
        <f>G96</f>
        <v>150.88</v>
      </c>
      <c r="E108" s="1">
        <f t="shared" ref="E108:E111" si="26">D108/C108</f>
        <v>2.2763952762923352</v>
      </c>
      <c r="F108" s="1">
        <f t="shared" ref="F108:F111" si="27">D108-C108</f>
        <v>84.599771091009785</v>
      </c>
    </row>
    <row r="109" spans="2:8" x14ac:dyDescent="0.25">
      <c r="B109" s="5">
        <v>800</v>
      </c>
      <c r="C109" s="18">
        <f t="shared" si="25"/>
        <v>82.85028613623777</v>
      </c>
      <c r="D109" s="18">
        <f>G93</f>
        <v>165.70057227247554</v>
      </c>
      <c r="E109" s="18">
        <f t="shared" si="26"/>
        <v>2</v>
      </c>
      <c r="F109" s="18">
        <f t="shared" si="27"/>
        <v>82.85028613623777</v>
      </c>
      <c r="G109" s="18">
        <f>C109+F109*(G102-C102)/(D102-C102)</f>
        <v>125.19598793920375</v>
      </c>
    </row>
    <row r="110" spans="2:8" x14ac:dyDescent="0.25">
      <c r="B110">
        <v>1200</v>
      </c>
      <c r="C110" s="1">
        <f t="shared" si="25"/>
        <v>118.24499999999999</v>
      </c>
      <c r="D110" s="1">
        <f>G94</f>
        <v>215.41074395421819</v>
      </c>
      <c r="E110" s="1">
        <f t="shared" si="26"/>
        <v>1.8217323688461939</v>
      </c>
      <c r="F110" s="1">
        <f t="shared" si="27"/>
        <v>97.1657439542182</v>
      </c>
    </row>
    <row r="111" spans="2:8" x14ac:dyDescent="0.25">
      <c r="B111">
        <v>1600</v>
      </c>
      <c r="C111" s="1">
        <f t="shared" si="25"/>
        <v>153.685</v>
      </c>
      <c r="D111" s="1">
        <f>G95</f>
        <v>248.55085840871328</v>
      </c>
      <c r="E111" s="1">
        <f t="shared" si="26"/>
        <v>1.6172746748785716</v>
      </c>
      <c r="F111" s="1">
        <f t="shared" si="27"/>
        <v>94.865858408713279</v>
      </c>
    </row>
    <row r="113" spans="2:10" x14ac:dyDescent="0.25">
      <c r="B113" t="s">
        <v>582</v>
      </c>
    </row>
    <row r="114" spans="2:10" x14ac:dyDescent="0.25">
      <c r="B114" t="s">
        <v>11</v>
      </c>
      <c r="C114" t="s">
        <v>29</v>
      </c>
      <c r="D114" s="24" t="s">
        <v>595</v>
      </c>
    </row>
    <row r="115" spans="2:10" x14ac:dyDescent="0.25">
      <c r="B115" t="s">
        <v>279</v>
      </c>
      <c r="C115" t="s">
        <v>580</v>
      </c>
      <c r="D115" s="24" t="s">
        <v>580</v>
      </c>
    </row>
    <row r="116" spans="2:10" x14ac:dyDescent="0.25">
      <c r="B116" t="s">
        <v>579</v>
      </c>
      <c r="C116">
        <v>10</v>
      </c>
      <c r="D116" s="151">
        <f>C116*$C$1/$C$3</f>
        <v>15.063688388406867</v>
      </c>
    </row>
    <row r="117" spans="2:10" x14ac:dyDescent="0.25">
      <c r="B117" t="s">
        <v>581</v>
      </c>
      <c r="C117">
        <f>C116*3</f>
        <v>30</v>
      </c>
      <c r="D117" s="151">
        <f>C117*$C$1/$C$3</f>
        <v>45.1910651652206</v>
      </c>
    </row>
    <row r="121" spans="2:10" x14ac:dyDescent="0.25">
      <c r="B121" t="s">
        <v>583</v>
      </c>
      <c r="G121" t="s">
        <v>558</v>
      </c>
      <c r="H121">
        <v>50</v>
      </c>
      <c r="I121" t="s">
        <v>559</v>
      </c>
    </row>
    <row r="122" spans="2:10" x14ac:dyDescent="0.25">
      <c r="B122" t="s">
        <v>284</v>
      </c>
      <c r="D122">
        <v>36</v>
      </c>
      <c r="E122" t="s">
        <v>124</v>
      </c>
    </row>
    <row r="123" spans="2:10" x14ac:dyDescent="0.25">
      <c r="B123" t="s">
        <v>11</v>
      </c>
      <c r="C123" t="s">
        <v>568</v>
      </c>
      <c r="D123" t="s">
        <v>576</v>
      </c>
      <c r="E123" t="s">
        <v>593</v>
      </c>
      <c r="F123" t="s">
        <v>69</v>
      </c>
      <c r="G123" t="s">
        <v>154</v>
      </c>
      <c r="H123" t="s">
        <v>70</v>
      </c>
      <c r="J123" t="s">
        <v>610</v>
      </c>
    </row>
    <row r="124" spans="2:10" x14ac:dyDescent="0.25">
      <c r="B124" t="s">
        <v>279</v>
      </c>
      <c r="C124" t="s">
        <v>281</v>
      </c>
      <c r="D124" t="s">
        <v>26</v>
      </c>
      <c r="E124" t="s">
        <v>571</v>
      </c>
      <c r="F124" t="s">
        <v>287</v>
      </c>
      <c r="G124" t="s">
        <v>289</v>
      </c>
      <c r="H124" t="s">
        <v>287</v>
      </c>
      <c r="J124" t="s">
        <v>611</v>
      </c>
    </row>
    <row r="125" spans="2:10" x14ac:dyDescent="0.25">
      <c r="B125">
        <v>1</v>
      </c>
      <c r="C125" s="12">
        <v>53.5</v>
      </c>
      <c r="D125">
        <v>300</v>
      </c>
      <c r="E125">
        <f>D125*$D$122*1000/1000000</f>
        <v>10.8</v>
      </c>
      <c r="F125">
        <v>0.253</v>
      </c>
      <c r="G125">
        <v>0.39800000000000002</v>
      </c>
      <c r="H125">
        <f>2*PI()*$H$121*G125/1000</f>
        <v>0.12503538761287378</v>
      </c>
      <c r="J125" s="3">
        <f>(F125+H125)*D125^2/1000000</f>
        <v>3.4023184885158639E-2</v>
      </c>
    </row>
    <row r="126" spans="2:10" x14ac:dyDescent="0.25">
      <c r="B126">
        <v>2</v>
      </c>
      <c r="C126">
        <v>107</v>
      </c>
      <c r="D126">
        <v>440</v>
      </c>
      <c r="E126">
        <f>D126*$D$122*1000/1000000</f>
        <v>15.84</v>
      </c>
      <c r="F126">
        <v>0.125</v>
      </c>
      <c r="G126">
        <v>0.35899999999999999</v>
      </c>
      <c r="H126">
        <f t="shared" ref="H126:H129" si="28">2*PI()*$H$121*G126/1000</f>
        <v>0.11278317626387357</v>
      </c>
      <c r="J126" s="3">
        <f t="shared" ref="J126:J129" si="29">(F126+H126)*D126^2/1000000</f>
        <v>4.6034822924685928E-2</v>
      </c>
    </row>
    <row r="127" spans="2:10" x14ac:dyDescent="0.25">
      <c r="B127">
        <v>3</v>
      </c>
      <c r="C127" s="12">
        <f>500*0.5067</f>
        <v>253.35000000000002</v>
      </c>
      <c r="D127">
        <v>640</v>
      </c>
      <c r="E127">
        <f>D127*$D$122*1000/1000000</f>
        <v>23.04</v>
      </c>
      <c r="F127">
        <v>6.0999999999999999E-2</v>
      </c>
      <c r="G127">
        <v>0.317</v>
      </c>
      <c r="H127">
        <f t="shared" si="28"/>
        <v>9.9588487118796448E-2</v>
      </c>
      <c r="J127" s="3">
        <f t="shared" si="29"/>
        <v>6.577704432385903E-2</v>
      </c>
    </row>
    <row r="128" spans="2:10" x14ac:dyDescent="0.25">
      <c r="B128">
        <v>4</v>
      </c>
      <c r="C128" s="12">
        <f>1000*0.5067</f>
        <v>506.70000000000005</v>
      </c>
      <c r="D128">
        <v>830</v>
      </c>
      <c r="E128">
        <f>D128*$D$122*1000/1000000</f>
        <v>29.88</v>
      </c>
      <c r="F128">
        <v>3.6999999999999998E-2</v>
      </c>
      <c r="G128">
        <v>0.29099999999999998</v>
      </c>
      <c r="H128">
        <f t="shared" si="28"/>
        <v>9.1420346219462975E-2</v>
      </c>
      <c r="J128" s="3">
        <f t="shared" si="29"/>
        <v>8.8468776510588043E-2</v>
      </c>
    </row>
    <row r="129" spans="2:39" x14ac:dyDescent="0.25">
      <c r="B129">
        <v>5</v>
      </c>
      <c r="C129" s="12">
        <f>1250*0.5067</f>
        <v>633.375</v>
      </c>
      <c r="D129">
        <v>935</v>
      </c>
      <c r="E129">
        <f>D129*$D$122*1000/1000000</f>
        <v>33.659999999999997</v>
      </c>
      <c r="F129">
        <v>2.9000000000000001E-2</v>
      </c>
      <c r="G129">
        <v>0.28399999999999997</v>
      </c>
      <c r="H129">
        <f t="shared" si="28"/>
        <v>8.9221231361950121E-2</v>
      </c>
      <c r="J129" s="3">
        <f t="shared" si="29"/>
        <v>0.10335195598740084</v>
      </c>
    </row>
    <row r="131" spans="2:39" x14ac:dyDescent="0.25">
      <c r="B131" t="s">
        <v>607</v>
      </c>
    </row>
    <row r="132" spans="2:39" x14ac:dyDescent="0.25">
      <c r="F132" t="s">
        <v>605</v>
      </c>
      <c r="G132">
        <f>0.0992</f>
        <v>9.9199999999999997E-2</v>
      </c>
    </row>
    <row r="133" spans="2:39" x14ac:dyDescent="0.25">
      <c r="B133" t="s">
        <v>284</v>
      </c>
      <c r="C133">
        <v>22</v>
      </c>
      <c r="E133">
        <v>33</v>
      </c>
      <c r="F133" t="s">
        <v>124</v>
      </c>
    </row>
    <row r="134" spans="2:39" x14ac:dyDescent="0.25">
      <c r="B134" t="s">
        <v>600</v>
      </c>
      <c r="C134" t="s">
        <v>576</v>
      </c>
      <c r="D134" t="s">
        <v>601</v>
      </c>
      <c r="E134" s="24" t="s">
        <v>595</v>
      </c>
      <c r="F134" t="s">
        <v>600</v>
      </c>
      <c r="G134" t="s">
        <v>576</v>
      </c>
      <c r="H134" t="s">
        <v>603</v>
      </c>
      <c r="I134" s="24" t="s">
        <v>595</v>
      </c>
    </row>
    <row r="135" spans="2:39" ht="15.75" x14ac:dyDescent="0.25">
      <c r="B135" t="s">
        <v>571</v>
      </c>
      <c r="C135" t="s">
        <v>26</v>
      </c>
      <c r="D135" t="s">
        <v>602</v>
      </c>
      <c r="E135" s="24" t="s">
        <v>606</v>
      </c>
      <c r="F135" t="s">
        <v>571</v>
      </c>
      <c r="G135" t="s">
        <v>26</v>
      </c>
      <c r="H135" t="s">
        <v>602</v>
      </c>
      <c r="I135" s="24" t="s">
        <v>606</v>
      </c>
      <c r="Y135" s="148" t="s">
        <v>640</v>
      </c>
      <c r="Z135" s="149"/>
      <c r="AB135" s="148" t="s">
        <v>641</v>
      </c>
      <c r="AC135" s="149"/>
      <c r="AE135" s="148" t="s">
        <v>642</v>
      </c>
      <c r="AF135" s="149"/>
      <c r="AH135" s="148" t="s">
        <v>643</v>
      </c>
      <c r="AI135" s="149"/>
      <c r="AK135" s="148" t="s">
        <v>644</v>
      </c>
      <c r="AL135" s="149"/>
    </row>
    <row r="136" spans="2:39" x14ac:dyDescent="0.25">
      <c r="B136" s="1">
        <v>11.1070765274536</v>
      </c>
      <c r="C136" s="12">
        <f>B136*1000000/$C$133/1000/SQRT(3)</f>
        <v>291.4851646834141</v>
      </c>
      <c r="D136" s="1">
        <v>1.4126506024096299</v>
      </c>
      <c r="E136" s="21">
        <f>D136*1000000*$G$132*$C$1/$C$5/1000</f>
        <v>284.453012048191</v>
      </c>
      <c r="F136" s="1">
        <v>17.832396780799002</v>
      </c>
      <c r="G136" s="12">
        <f>F136*1000000/$E$133/1000/SQRT(3)</f>
        <v>311.9860327785006</v>
      </c>
      <c r="H136" s="1">
        <v>1.62349397590361</v>
      </c>
      <c r="I136" s="21">
        <f>H136*1000000*$G$132*$C$1/$C$5/1000</f>
        <v>326.90868548822067</v>
      </c>
      <c r="Y136" t="s">
        <v>646</v>
      </c>
      <c r="Z136">
        <v>22</v>
      </c>
      <c r="AB136" t="s">
        <v>646</v>
      </c>
      <c r="AC136">
        <v>33</v>
      </c>
      <c r="AE136" t="s">
        <v>646</v>
      </c>
      <c r="AF136">
        <v>66</v>
      </c>
      <c r="AH136" t="s">
        <v>646</v>
      </c>
      <c r="AI136">
        <v>132</v>
      </c>
      <c r="AK136" t="s">
        <v>646</v>
      </c>
      <c r="AL136">
        <v>220</v>
      </c>
    </row>
    <row r="137" spans="2:39" x14ac:dyDescent="0.25">
      <c r="B137" s="1">
        <v>13.088718510405201</v>
      </c>
      <c r="C137" s="12">
        <f t="shared" ref="C137:C144" si="30">B137*1000000/$C$133/1000/SQRT(3)</f>
        <v>343.48977978771279</v>
      </c>
      <c r="D137" s="1">
        <v>1.6024096385542099</v>
      </c>
      <c r="E137" s="21">
        <f t="shared" ref="E137:E144" si="31">D137*1000000*$G$132*$C$1/$C$5/1000</f>
        <v>322.66311814421726</v>
      </c>
      <c r="F137" s="1">
        <v>19.814038763750599</v>
      </c>
      <c r="G137" s="12">
        <f t="shared" ref="G137:G144" si="32">F137*1000000/$E$133/1000/SQRT(3)</f>
        <v>346.65577618136626</v>
      </c>
      <c r="H137" s="1">
        <v>1.81325301204819</v>
      </c>
      <c r="I137" s="21">
        <f t="shared" ref="I137:I144" si="33">H137*1000000*$G$132*$C$1/$C$5/1000</f>
        <v>365.11879158424688</v>
      </c>
      <c r="Y137" s="148" t="s">
        <v>571</v>
      </c>
      <c r="Z137" s="150" t="s">
        <v>645</v>
      </c>
      <c r="AA137" t="s">
        <v>647</v>
      </c>
      <c r="AB137" s="148" t="s">
        <v>571</v>
      </c>
      <c r="AC137" s="150" t="s">
        <v>645</v>
      </c>
      <c r="AE137" s="148" t="s">
        <v>571</v>
      </c>
      <c r="AF137" s="150" t="s">
        <v>645</v>
      </c>
      <c r="AH137" s="148" t="s">
        <v>571</v>
      </c>
      <c r="AI137" s="150" t="s">
        <v>645</v>
      </c>
      <c r="AK137" s="148" t="s">
        <v>571</v>
      </c>
      <c r="AL137" s="150" t="s">
        <v>645</v>
      </c>
    </row>
    <row r="138" spans="2:39" x14ac:dyDescent="0.25">
      <c r="B138" s="1">
        <v>17.048430877660799</v>
      </c>
      <c r="C138" s="12">
        <f t="shared" si="30"/>
        <v>447.40527983991774</v>
      </c>
      <c r="D138" s="1">
        <v>1.8554216867469799</v>
      </c>
      <c r="E138" s="21">
        <f t="shared" si="31"/>
        <v>373.60992627225158</v>
      </c>
      <c r="F138" s="1">
        <v>25.751821515310201</v>
      </c>
      <c r="G138" s="12">
        <f t="shared" si="32"/>
        <v>450.54003284810727</v>
      </c>
      <c r="H138" s="1">
        <v>2.1295180722891498</v>
      </c>
      <c r="I138" s="21">
        <f t="shared" si="33"/>
        <v>428.80230174428925</v>
      </c>
      <c r="Y138" s="152">
        <v>44.926351405631898</v>
      </c>
      <c r="Z138" s="153">
        <v>9.2211395330154602</v>
      </c>
      <c r="AA138" s="1">
        <f>Y138*1000000/($Z$136*1000)</f>
        <v>2042.1068820741773</v>
      </c>
      <c r="AB138" s="153">
        <v>67.727408051490201</v>
      </c>
      <c r="AC138" s="153">
        <v>9.60165018217217</v>
      </c>
      <c r="AD138" s="1">
        <f>AB138*1000000/($AC$136*1000)</f>
        <v>2052.3456985300063</v>
      </c>
      <c r="AE138" s="153">
        <v>134.66091402702099</v>
      </c>
      <c r="AF138" s="153">
        <v>10.306635225624101</v>
      </c>
      <c r="AG138" s="1">
        <f>AE138*1000000/($AF$136*1000)</f>
        <v>2040.3168791972878</v>
      </c>
      <c r="AH138" s="153">
        <v>229.22504761049601</v>
      </c>
      <c r="AI138" s="153">
        <v>10.845992448479</v>
      </c>
      <c r="AJ138" s="1">
        <f>AH138*1000000/($AI$136*1000)</f>
        <v>1736.5533909886062</v>
      </c>
      <c r="AK138" s="153">
        <v>376.64793750856501</v>
      </c>
      <c r="AL138" s="153">
        <v>11.681938255211101</v>
      </c>
      <c r="AM138">
        <f>AK138*1000000/($AL$136*1000)</f>
        <v>1712.0360795843865</v>
      </c>
    </row>
    <row r="139" spans="2:39" x14ac:dyDescent="0.25">
      <c r="B139" s="1">
        <v>19.033049192818599</v>
      </c>
      <c r="C139" s="12">
        <f t="shared" si="30"/>
        <v>499.48800340787301</v>
      </c>
      <c r="D139" s="1">
        <v>2.1506024096385499</v>
      </c>
      <c r="E139" s="21">
        <f t="shared" si="31"/>
        <v>433.0478690882926</v>
      </c>
      <c r="F139" s="1">
        <v>28.921020048573698</v>
      </c>
      <c r="G139" s="12">
        <f t="shared" si="32"/>
        <v>505.9866275843209</v>
      </c>
      <c r="H139" s="1">
        <v>2.38253012048192</v>
      </c>
      <c r="I139" s="21">
        <f t="shared" si="33"/>
        <v>479.74910987232357</v>
      </c>
      <c r="Y139" s="152">
        <v>41.469096889132501</v>
      </c>
      <c r="Z139" s="153">
        <v>7.39291536909358</v>
      </c>
      <c r="AA139" s="1">
        <f t="shared" ref="AA139:AA142" si="34">Y139*1000000/($Z$136*1000)</f>
        <v>1884.9589495060227</v>
      </c>
      <c r="AB139" s="153">
        <v>62.825062732440799</v>
      </c>
      <c r="AC139" s="153">
        <v>8.0464290946208408</v>
      </c>
      <c r="AD139" s="1">
        <f t="shared" ref="AD139:AD142" si="35">AB139*1000000/($AC$136*1000)</f>
        <v>1903.7897797709334</v>
      </c>
      <c r="AE139" s="153">
        <v>126.865551738314</v>
      </c>
      <c r="AF139" s="153">
        <v>9.2155491392305695</v>
      </c>
      <c r="AG139" s="1">
        <f t="shared" ref="AG139:AG142" si="36">AE139*1000000/($AF$136*1000)</f>
        <v>1922.2053293683939</v>
      </c>
      <c r="AH139" s="153">
        <v>219.503527666069</v>
      </c>
      <c r="AI139" s="153">
        <v>10.1371040531536</v>
      </c>
      <c r="AJ139" s="1">
        <f t="shared" ref="AJ139:AJ142" si="37">AH139*1000000/($AI$136*1000)</f>
        <v>1662.9055126217349</v>
      </c>
      <c r="AK139" s="153">
        <v>366.92736268565699</v>
      </c>
      <c r="AL139" s="153">
        <v>11.0003402437468</v>
      </c>
      <c r="AM139">
        <f t="shared" ref="AM139:AM142" si="38">AK139*1000000/($AL$136*1000)</f>
        <v>1667.851648571168</v>
      </c>
    </row>
    <row r="140" spans="2:39" x14ac:dyDescent="0.25">
      <c r="B140" s="1">
        <v>23.7957759893328</v>
      </c>
      <c r="C140" s="12">
        <f t="shared" si="30"/>
        <v>624.4771669553329</v>
      </c>
      <c r="D140" s="1">
        <v>2.8463855421686701</v>
      </c>
      <c r="E140" s="21">
        <f t="shared" si="31"/>
        <v>573.15159144038751</v>
      </c>
      <c r="F140" s="1">
        <v>36.451140530501398</v>
      </c>
      <c r="G140" s="12">
        <f t="shared" si="32"/>
        <v>637.72956962284422</v>
      </c>
      <c r="H140" s="1">
        <v>3.0993975903614399</v>
      </c>
      <c r="I140" s="21">
        <f t="shared" si="33"/>
        <v>624.09839956842177</v>
      </c>
      <c r="Y140" s="152">
        <v>38.014677737189999</v>
      </c>
      <c r="Z140" s="153">
        <v>5.6465623567550196</v>
      </c>
      <c r="AA140" s="1">
        <f t="shared" si="34"/>
        <v>1727.939897145</v>
      </c>
      <c r="AB140" s="153">
        <v>56.452108329828498</v>
      </c>
      <c r="AC140" s="153">
        <v>6.0273707191902197</v>
      </c>
      <c r="AD140" s="1">
        <f t="shared" si="35"/>
        <v>1710.6699493887425</v>
      </c>
      <c r="AE140" s="153">
        <v>111.750223284958</v>
      </c>
      <c r="AF140" s="153">
        <v>6.7604400485792402</v>
      </c>
      <c r="AG140" s="1">
        <f t="shared" si="36"/>
        <v>1693.1852012872423</v>
      </c>
      <c r="AH140" s="153">
        <v>196.61930032653899</v>
      </c>
      <c r="AI140" s="153">
        <v>7.3550396242196801</v>
      </c>
      <c r="AJ140" s="1">
        <f t="shared" si="37"/>
        <v>1489.5401539889317</v>
      </c>
      <c r="AK140" s="153">
        <v>326.09622282184898</v>
      </c>
      <c r="AL140" s="153">
        <v>8.0011766762911503</v>
      </c>
      <c r="AM140">
        <f t="shared" si="38"/>
        <v>1482.2555582811317</v>
      </c>
    </row>
    <row r="141" spans="2:39" x14ac:dyDescent="0.25">
      <c r="B141" s="1">
        <v>31.7330587170817</v>
      </c>
      <c r="C141" s="12">
        <f t="shared" si="30"/>
        <v>832.77681784169636</v>
      </c>
      <c r="D141" s="1">
        <v>3.98493975903614</v>
      </c>
      <c r="E141" s="21">
        <f t="shared" si="31"/>
        <v>802.41222801654283</v>
      </c>
      <c r="F141" s="1">
        <v>47.554645459307501</v>
      </c>
      <c r="G141" s="12">
        <f t="shared" si="32"/>
        <v>831.99052597419393</v>
      </c>
      <c r="H141" s="1">
        <v>4.3855421686746903</v>
      </c>
      <c r="I141" s="21">
        <f t="shared" si="33"/>
        <v>883.07800755259677</v>
      </c>
      <c r="Y141" s="152">
        <v>31.653064792805701</v>
      </c>
      <c r="Z141" s="153">
        <v>3.9549885876576498</v>
      </c>
      <c r="AA141" s="1">
        <f t="shared" si="34"/>
        <v>1438.7756724002591</v>
      </c>
      <c r="AB141" s="153">
        <v>47.182356471483303</v>
      </c>
      <c r="AC141" s="153">
        <v>4.3632858094729503</v>
      </c>
      <c r="AD141" s="1">
        <f t="shared" si="35"/>
        <v>1429.7683779237366</v>
      </c>
      <c r="AE141" s="153">
        <v>95.693553798679602</v>
      </c>
      <c r="AF141" s="153">
        <v>5.1241086322673901</v>
      </c>
      <c r="AG141" s="1">
        <f t="shared" si="36"/>
        <v>1449.9023302830244</v>
      </c>
      <c r="AH141" s="153">
        <v>173.77476809080699</v>
      </c>
      <c r="AI141" s="153">
        <v>5.7191713174521404</v>
      </c>
      <c r="AJ141" s="1">
        <f t="shared" si="37"/>
        <v>1316.4755158394469</v>
      </c>
      <c r="AK141" s="153">
        <v>287.73657573022399</v>
      </c>
      <c r="AL141" s="153">
        <v>6.3663669056248899</v>
      </c>
      <c r="AM141">
        <f t="shared" si="38"/>
        <v>1307.8935260464727</v>
      </c>
    </row>
    <row r="142" spans="2:39" x14ac:dyDescent="0.25">
      <c r="B142" s="1">
        <v>37.313681603885897</v>
      </c>
      <c r="C142" s="12">
        <f t="shared" si="30"/>
        <v>979.23018720270511</v>
      </c>
      <c r="D142" s="1">
        <v>5.6506024096385499</v>
      </c>
      <c r="E142" s="21">
        <f t="shared" si="31"/>
        <v>1137.8120481927701</v>
      </c>
      <c r="F142" s="1">
        <v>55.506214581646702</v>
      </c>
      <c r="G142" s="12">
        <f t="shared" si="32"/>
        <v>971.10690698214717</v>
      </c>
      <c r="H142" s="1">
        <v>6.0301204819276997</v>
      </c>
      <c r="I142" s="21">
        <f t="shared" si="33"/>
        <v>1214.2322603848206</v>
      </c>
      <c r="Y142" s="152">
        <v>24.826452061073699</v>
      </c>
      <c r="Z142" s="153">
        <v>2.8365459588966599</v>
      </c>
      <c r="AA142" s="1">
        <f t="shared" si="34"/>
        <v>1128.4750936851681</v>
      </c>
      <c r="AB142" s="153">
        <v>36.471294296664198</v>
      </c>
      <c r="AC142" s="153">
        <v>3.0813655115706502</v>
      </c>
      <c r="AD142" s="1">
        <f t="shared" si="35"/>
        <v>1105.1907362625516</v>
      </c>
      <c r="AE142" s="153">
        <v>73.823441849035703</v>
      </c>
      <c r="AF142" s="153">
        <v>3.62462608629904</v>
      </c>
      <c r="AG142" s="1">
        <f t="shared" si="36"/>
        <v>1118.5369977126622</v>
      </c>
      <c r="AH142" s="153">
        <v>137.84124793845299</v>
      </c>
      <c r="AI142" s="153">
        <v>4.13877691824226</v>
      </c>
      <c r="AJ142" s="1">
        <f t="shared" si="37"/>
        <v>1044.2518783216135</v>
      </c>
      <c r="AK142" s="153">
        <v>258.125918539976</v>
      </c>
      <c r="AL142" s="153">
        <v>5.3586405372070702</v>
      </c>
      <c r="AM142">
        <f t="shared" si="38"/>
        <v>1173.2996297271636</v>
      </c>
    </row>
    <row r="143" spans="2:39" x14ac:dyDescent="0.25">
      <c r="B143" s="1">
        <v>41.317443687794601</v>
      </c>
      <c r="C143" s="12">
        <f t="shared" si="30"/>
        <v>1084.3016925170646</v>
      </c>
      <c r="D143" s="1">
        <v>7.4638554216867403</v>
      </c>
      <c r="E143" s="21">
        <f t="shared" si="31"/>
        <v>1502.9308397770169</v>
      </c>
      <c r="F143" s="1">
        <v>62.678579932377701</v>
      </c>
      <c r="G143" s="12">
        <f t="shared" si="32"/>
        <v>1096.5907574661135</v>
      </c>
      <c r="H143" s="1">
        <v>8.0753012048192705</v>
      </c>
      <c r="I143" s="21">
        <f t="shared" si="33"/>
        <v>1626.0522927531003</v>
      </c>
    </row>
    <row r="144" spans="2:39" x14ac:dyDescent="0.25">
      <c r="B144" s="1">
        <v>44.530096671270002</v>
      </c>
      <c r="C144" s="12">
        <f t="shared" si="30"/>
        <v>1168.611968190809</v>
      </c>
      <c r="D144" s="1">
        <v>9.2560240963855396</v>
      </c>
      <c r="E144" s="21">
        <f t="shared" si="31"/>
        <v>1863.8040640172626</v>
      </c>
      <c r="F144" s="1">
        <v>67.069265203104905</v>
      </c>
      <c r="G144" s="12">
        <f t="shared" si="32"/>
        <v>1173.4078278594855</v>
      </c>
      <c r="H144" s="1">
        <v>9.5933734939758999</v>
      </c>
      <c r="I144" s="21">
        <f t="shared" si="33"/>
        <v>1931.7331415213084</v>
      </c>
    </row>
    <row r="146" spans="2:30" x14ac:dyDescent="0.25">
      <c r="Y146" t="s">
        <v>649</v>
      </c>
      <c r="Z146">
        <v>2050</v>
      </c>
      <c r="AA146">
        <v>1900</v>
      </c>
      <c r="AB146">
        <v>1720</v>
      </c>
      <c r="AC146">
        <v>1450</v>
      </c>
      <c r="AD146">
        <v>1120</v>
      </c>
    </row>
    <row r="147" spans="2:30" x14ac:dyDescent="0.25">
      <c r="Y147" t="s">
        <v>646</v>
      </c>
      <c r="Z147" t="s">
        <v>648</v>
      </c>
      <c r="AA147" t="s">
        <v>648</v>
      </c>
      <c r="AB147" t="s">
        <v>648</v>
      </c>
      <c r="AC147" t="s">
        <v>648</v>
      </c>
      <c r="AD147" t="s">
        <v>648</v>
      </c>
    </row>
    <row r="148" spans="2:30" x14ac:dyDescent="0.25">
      <c r="B148" t="s">
        <v>608</v>
      </c>
      <c r="Y148">
        <v>22</v>
      </c>
      <c r="Z148" s="1">
        <f>Z138</f>
        <v>9.2211395330154602</v>
      </c>
      <c r="AA148" s="1">
        <f>Z139</f>
        <v>7.39291536909358</v>
      </c>
      <c r="AB148" s="1">
        <f>Z140</f>
        <v>5.6465623567550196</v>
      </c>
      <c r="AC148" s="1">
        <f>Z141</f>
        <v>3.9549885876576498</v>
      </c>
      <c r="AD148" s="1">
        <f>Z142</f>
        <v>2.8365459588966599</v>
      </c>
    </row>
    <row r="149" spans="2:30" x14ac:dyDescent="0.25">
      <c r="Y149">
        <v>33</v>
      </c>
      <c r="Z149" s="1">
        <f>AC138</f>
        <v>9.60165018217217</v>
      </c>
      <c r="AA149" s="1">
        <f>AC139</f>
        <v>8.0464290946208408</v>
      </c>
      <c r="AB149" s="1">
        <f>AC140</f>
        <v>6.0273707191902197</v>
      </c>
      <c r="AC149" s="1">
        <f>AC141</f>
        <v>4.3632858094729503</v>
      </c>
      <c r="AD149" s="1">
        <f>AC142</f>
        <v>3.0813655115706502</v>
      </c>
    </row>
    <row r="150" spans="2:30" x14ac:dyDescent="0.25">
      <c r="B150" t="s">
        <v>284</v>
      </c>
      <c r="C150">
        <v>33</v>
      </c>
      <c r="D150" t="s">
        <v>124</v>
      </c>
      <c r="Y150">
        <v>66</v>
      </c>
      <c r="Z150" s="1">
        <f>AF138</f>
        <v>10.306635225624101</v>
      </c>
      <c r="AA150" s="1">
        <f>AF139</f>
        <v>9.2155491392305695</v>
      </c>
      <c r="AB150" s="1">
        <f>AF140</f>
        <v>6.7604400485792402</v>
      </c>
      <c r="AC150" s="1">
        <f>AF141</f>
        <v>5.1241086322673901</v>
      </c>
      <c r="AD150" s="1">
        <f>AF142</f>
        <v>3.62462608629904</v>
      </c>
    </row>
    <row r="151" spans="2:30" x14ac:dyDescent="0.25">
      <c r="Y151">
        <v>132</v>
      </c>
      <c r="AB151" s="1">
        <f>AI138</f>
        <v>10.845992448479</v>
      </c>
      <c r="AC151" s="1">
        <f>AI140</f>
        <v>7.3550396242196801</v>
      </c>
      <c r="AD151" s="1">
        <f>AI142</f>
        <v>4.13877691824226</v>
      </c>
    </row>
    <row r="152" spans="2:30" x14ac:dyDescent="0.25">
      <c r="B152" t="s">
        <v>11</v>
      </c>
      <c r="C152" t="s">
        <v>280</v>
      </c>
      <c r="D152" t="s">
        <v>590</v>
      </c>
      <c r="E152" t="s">
        <v>576</v>
      </c>
      <c r="F152" t="s">
        <v>69</v>
      </c>
      <c r="G152" t="s">
        <v>70</v>
      </c>
      <c r="I152" t="s">
        <v>29</v>
      </c>
      <c r="J152" t="s">
        <v>29</v>
      </c>
      <c r="Y152">
        <v>220</v>
      </c>
      <c r="AB152" s="1">
        <f>AL138</f>
        <v>11.681938255211101</v>
      </c>
      <c r="AC152" s="1">
        <f>AL140</f>
        <v>8.0011766762911503</v>
      </c>
      <c r="AD152" s="1">
        <f>AL142</f>
        <v>5.3586405372070702</v>
      </c>
    </row>
    <row r="153" spans="2:30" x14ac:dyDescent="0.25">
      <c r="B153" t="s">
        <v>279</v>
      </c>
      <c r="C153" t="s">
        <v>281</v>
      </c>
      <c r="D153" t="s">
        <v>578</v>
      </c>
      <c r="E153" t="s">
        <v>26</v>
      </c>
      <c r="F153" t="s">
        <v>287</v>
      </c>
      <c r="G153" t="s">
        <v>287</v>
      </c>
      <c r="I153" t="s">
        <v>591</v>
      </c>
      <c r="J153" t="s">
        <v>283</v>
      </c>
    </row>
    <row r="154" spans="2:30" x14ac:dyDescent="0.25">
      <c r="B154">
        <v>1</v>
      </c>
      <c r="C154" t="s">
        <v>584</v>
      </c>
      <c r="D154" s="12">
        <f>18.2</f>
        <v>18.2</v>
      </c>
      <c r="E154" s="12">
        <f>1000000*D154/($C$150*1000)</f>
        <v>551.5151515151515</v>
      </c>
      <c r="F154">
        <v>0.14000000000000001</v>
      </c>
      <c r="G154">
        <v>0.11</v>
      </c>
      <c r="I154">
        <f>0.31</f>
        <v>0.31</v>
      </c>
      <c r="J154" s="12">
        <f>I154*1000000/1000/3</f>
        <v>103.33333333333333</v>
      </c>
    </row>
    <row r="155" spans="2:30" x14ac:dyDescent="0.25">
      <c r="B155">
        <v>2</v>
      </c>
      <c r="C155" t="s">
        <v>560</v>
      </c>
      <c r="D155" s="12">
        <v>20.3</v>
      </c>
      <c r="E155" s="12">
        <f t="shared" ref="E155:E163" si="39">1000000*D155/($C$150*1000)</f>
        <v>615.15151515151513</v>
      </c>
      <c r="F155">
        <v>0.11</v>
      </c>
      <c r="G155">
        <v>0.11</v>
      </c>
      <c r="I155">
        <v>0.32</v>
      </c>
      <c r="J155" s="12">
        <f t="shared" ref="J155:J167" si="40">I155*1000000/1000/3</f>
        <v>106.66666666666667</v>
      </c>
    </row>
    <row r="156" spans="2:30" x14ac:dyDescent="0.25">
      <c r="B156">
        <v>3</v>
      </c>
      <c r="C156" t="s">
        <v>585</v>
      </c>
      <c r="D156" s="12">
        <v>22.8</v>
      </c>
      <c r="E156" s="12">
        <f t="shared" si="39"/>
        <v>690.90909090909088</v>
      </c>
      <c r="F156">
        <v>0.09</v>
      </c>
      <c r="G156">
        <v>0.11</v>
      </c>
      <c r="I156">
        <v>0.34</v>
      </c>
      <c r="J156" s="12">
        <f t="shared" si="40"/>
        <v>113.33333333333333</v>
      </c>
    </row>
    <row r="157" spans="2:30" x14ac:dyDescent="0.25">
      <c r="B157">
        <v>4</v>
      </c>
      <c r="C157" t="s">
        <v>561</v>
      </c>
      <c r="D157" s="12">
        <v>26.2</v>
      </c>
      <c r="E157" s="12">
        <f t="shared" si="39"/>
        <v>793.93939393939399</v>
      </c>
      <c r="F157">
        <v>7.0000000000000007E-2</v>
      </c>
      <c r="G157">
        <v>0.1</v>
      </c>
      <c r="I157">
        <v>0.37</v>
      </c>
      <c r="J157" s="12">
        <f t="shared" si="40"/>
        <v>123.33333333333333</v>
      </c>
    </row>
    <row r="158" spans="2:30" x14ac:dyDescent="0.25">
      <c r="B158">
        <v>5</v>
      </c>
      <c r="C158" t="s">
        <v>562</v>
      </c>
      <c r="D158" s="12">
        <v>30.4</v>
      </c>
      <c r="E158" s="12">
        <f t="shared" si="39"/>
        <v>921.21212121212125</v>
      </c>
      <c r="F158">
        <v>0.06</v>
      </c>
      <c r="G158">
        <v>0.1</v>
      </c>
      <c r="I158">
        <v>0.4</v>
      </c>
      <c r="J158" s="12">
        <f t="shared" si="40"/>
        <v>133.33333333333334</v>
      </c>
    </row>
    <row r="159" spans="2:30" x14ac:dyDescent="0.25">
      <c r="B159">
        <v>6</v>
      </c>
      <c r="C159" t="s">
        <v>586</v>
      </c>
      <c r="D159" s="12">
        <v>33.9</v>
      </c>
      <c r="E159" s="12">
        <f t="shared" si="39"/>
        <v>1027.2727272727273</v>
      </c>
      <c r="F159">
        <v>0.04</v>
      </c>
      <c r="G159">
        <v>0.1</v>
      </c>
      <c r="I159">
        <v>0.44</v>
      </c>
      <c r="J159" s="12">
        <f t="shared" si="40"/>
        <v>146.66666666666666</v>
      </c>
    </row>
    <row r="160" spans="2:30" x14ac:dyDescent="0.25">
      <c r="B160">
        <v>7</v>
      </c>
      <c r="C160" t="s">
        <v>587</v>
      </c>
      <c r="D160" s="12">
        <v>38</v>
      </c>
      <c r="E160" s="12">
        <f t="shared" si="39"/>
        <v>1151.5151515151515</v>
      </c>
      <c r="F160">
        <v>0.03</v>
      </c>
      <c r="G160">
        <v>0.09</v>
      </c>
      <c r="I160">
        <v>0.49</v>
      </c>
      <c r="J160" s="12">
        <f t="shared" si="40"/>
        <v>163.33333333333334</v>
      </c>
    </row>
    <row r="161" spans="2:11" x14ac:dyDescent="0.25">
      <c r="B161">
        <v>8</v>
      </c>
      <c r="C161" t="s">
        <v>588</v>
      </c>
      <c r="D161" s="12">
        <v>40.4</v>
      </c>
      <c r="E161" s="12">
        <f t="shared" si="39"/>
        <v>1224.2424242424242</v>
      </c>
      <c r="F161">
        <v>0.03</v>
      </c>
      <c r="G161">
        <v>0.09</v>
      </c>
      <c r="I161">
        <v>0.52</v>
      </c>
      <c r="J161" s="12">
        <f t="shared" si="40"/>
        <v>173.33333333333334</v>
      </c>
    </row>
    <row r="162" spans="2:11" x14ac:dyDescent="0.25">
      <c r="B162">
        <v>9</v>
      </c>
      <c r="C162" t="s">
        <v>589</v>
      </c>
      <c r="D162" s="12">
        <v>44.3</v>
      </c>
      <c r="E162" s="12">
        <f t="shared" si="39"/>
        <v>1342.4242424242425</v>
      </c>
      <c r="F162">
        <v>0.02</v>
      </c>
      <c r="G162">
        <v>0.09</v>
      </c>
      <c r="I162">
        <v>0.59</v>
      </c>
      <c r="J162" s="12">
        <f t="shared" si="40"/>
        <v>196.66666666666666</v>
      </c>
    </row>
    <row r="163" spans="2:11" x14ac:dyDescent="0.25">
      <c r="E163">
        <f t="shared" si="39"/>
        <v>0</v>
      </c>
    </row>
    <row r="164" spans="2:11" x14ac:dyDescent="0.25">
      <c r="B164" t="s">
        <v>284</v>
      </c>
      <c r="C164">
        <v>220</v>
      </c>
      <c r="D164" t="s">
        <v>124</v>
      </c>
    </row>
    <row r="165" spans="2:11" x14ac:dyDescent="0.25">
      <c r="B165" t="s">
        <v>11</v>
      </c>
      <c r="C165" t="s">
        <v>280</v>
      </c>
      <c r="D165" t="s">
        <v>590</v>
      </c>
      <c r="E165" t="s">
        <v>576</v>
      </c>
      <c r="F165" t="s">
        <v>69</v>
      </c>
      <c r="G165" t="s">
        <v>70</v>
      </c>
      <c r="I165" t="s">
        <v>29</v>
      </c>
      <c r="J165" t="s">
        <v>29</v>
      </c>
    </row>
    <row r="166" spans="2:11" x14ac:dyDescent="0.25">
      <c r="B166" t="s">
        <v>279</v>
      </c>
      <c r="C166" t="s">
        <v>281</v>
      </c>
      <c r="D166" t="s">
        <v>578</v>
      </c>
      <c r="E166" t="s">
        <v>26</v>
      </c>
      <c r="F166" t="s">
        <v>287</v>
      </c>
      <c r="G166" t="s">
        <v>287</v>
      </c>
      <c r="I166" t="s">
        <v>591</v>
      </c>
      <c r="J166" t="s">
        <v>283</v>
      </c>
    </row>
    <row r="167" spans="2:11" x14ac:dyDescent="0.25">
      <c r="B167">
        <v>1</v>
      </c>
      <c r="C167" t="s">
        <v>586</v>
      </c>
      <c r="D167">
        <v>200</v>
      </c>
      <c r="E167" s="12">
        <f>1000000*D167/($C$164*1000)</f>
        <v>909.09090909090912</v>
      </c>
      <c r="F167">
        <v>0.04</v>
      </c>
      <c r="G167">
        <v>0.1</v>
      </c>
      <c r="I167">
        <v>0.61</v>
      </c>
      <c r="J167" s="12">
        <f t="shared" si="40"/>
        <v>203.33333333333334</v>
      </c>
    </row>
    <row r="171" spans="2:11" x14ac:dyDescent="0.25">
      <c r="B171" t="s">
        <v>651</v>
      </c>
    </row>
    <row r="173" spans="2:11" x14ac:dyDescent="0.25">
      <c r="B173" t="s">
        <v>652</v>
      </c>
      <c r="C173">
        <v>220</v>
      </c>
      <c r="D173" t="s">
        <v>124</v>
      </c>
      <c r="E173" t="s">
        <v>566</v>
      </c>
    </row>
    <row r="174" spans="2:11" x14ac:dyDescent="0.25">
      <c r="C174" t="s">
        <v>280</v>
      </c>
      <c r="D174" t="s">
        <v>590</v>
      </c>
      <c r="E174" t="s">
        <v>564</v>
      </c>
      <c r="J174" t="s">
        <v>29</v>
      </c>
    </row>
    <row r="175" spans="2:11" x14ac:dyDescent="0.25">
      <c r="B175" t="s">
        <v>279</v>
      </c>
      <c r="C175" t="s">
        <v>281</v>
      </c>
      <c r="D175" t="s">
        <v>578</v>
      </c>
      <c r="E175" t="s">
        <v>26</v>
      </c>
      <c r="J175" t="s">
        <v>846</v>
      </c>
      <c r="K175" s="11" t="s">
        <v>847</v>
      </c>
    </row>
    <row r="176" spans="2:11" x14ac:dyDescent="0.25">
      <c r="B176">
        <v>1</v>
      </c>
      <c r="C176">
        <v>500</v>
      </c>
      <c r="D176">
        <v>273</v>
      </c>
      <c r="E176" s="12">
        <f>1000000*D176/($C$173*1000)</f>
        <v>1240.909090909091</v>
      </c>
      <c r="J176" s="12">
        <v>232.8</v>
      </c>
      <c r="K176" s="12">
        <f>J176*$C$2*$C$1/$C$3</f>
        <v>385.7509322503231</v>
      </c>
    </row>
    <row r="177" spans="2:16" x14ac:dyDescent="0.25">
      <c r="B177">
        <v>2</v>
      </c>
      <c r="C177">
        <v>630</v>
      </c>
      <c r="D177">
        <v>297</v>
      </c>
      <c r="E177" s="12">
        <f t="shared" ref="E177:E179" si="41">1000000*D177/($C$173*1000)</f>
        <v>1350</v>
      </c>
      <c r="J177" s="12">
        <v>266</v>
      </c>
      <c r="K177" s="12">
        <f t="shared" ref="K177:K179" si="42">J177*$C$2*$C$1/$C$3</f>
        <v>440.76352224478489</v>
      </c>
    </row>
    <row r="178" spans="2:16" x14ac:dyDescent="0.25">
      <c r="B178">
        <v>3</v>
      </c>
      <c r="C178">
        <v>800</v>
      </c>
      <c r="D178">
        <v>314</v>
      </c>
      <c r="E178" s="12">
        <f t="shared" si="41"/>
        <v>1427.2727272727273</v>
      </c>
      <c r="J178" s="12">
        <v>299.3</v>
      </c>
      <c r="K178" s="12">
        <f t="shared" si="42"/>
        <v>495.94181281151924</v>
      </c>
    </row>
    <row r="179" spans="2:16" x14ac:dyDescent="0.25">
      <c r="B179">
        <v>4</v>
      </c>
      <c r="C179">
        <v>1000</v>
      </c>
      <c r="D179">
        <v>348</v>
      </c>
      <c r="E179" s="12">
        <f t="shared" si="41"/>
        <v>1581.8181818181818</v>
      </c>
      <c r="J179" s="12">
        <v>367.3</v>
      </c>
      <c r="K179" s="12">
        <f t="shared" si="42"/>
        <v>608.61820195680264</v>
      </c>
    </row>
    <row r="184" spans="2:16" x14ac:dyDescent="0.25">
      <c r="B184" t="s">
        <v>695</v>
      </c>
      <c r="D184" t="s">
        <v>646</v>
      </c>
      <c r="E184">
        <v>20</v>
      </c>
      <c r="F184">
        <v>33</v>
      </c>
      <c r="G184">
        <v>66</v>
      </c>
      <c r="H184">
        <v>110</v>
      </c>
      <c r="I184">
        <v>33</v>
      </c>
      <c r="J184">
        <v>66</v>
      </c>
      <c r="K184">
        <v>110</v>
      </c>
    </row>
    <row r="185" spans="2:16" x14ac:dyDescent="0.25">
      <c r="B185" s="47" t="s">
        <v>279</v>
      </c>
      <c r="C185" s="47" t="s">
        <v>568</v>
      </c>
      <c r="D185" s="47" t="s">
        <v>698</v>
      </c>
      <c r="E185" s="165" t="s">
        <v>719</v>
      </c>
      <c r="F185" s="47"/>
      <c r="G185" s="8"/>
      <c r="H185" s="47"/>
      <c r="I185" s="165" t="s">
        <v>155</v>
      </c>
      <c r="J185" s="8"/>
      <c r="K185" s="47"/>
      <c r="L185" s="47"/>
      <c r="M185" s="11"/>
      <c r="N185" s="11"/>
    </row>
    <row r="186" spans="2:16" s="11" customFormat="1" x14ac:dyDescent="0.25">
      <c r="B186" s="47"/>
      <c r="C186" s="47" t="s">
        <v>568</v>
      </c>
      <c r="D186" s="47" t="s">
        <v>698</v>
      </c>
      <c r="E186" s="47" t="s">
        <v>830</v>
      </c>
      <c r="F186" s="47" t="s">
        <v>831</v>
      </c>
      <c r="G186" s="47" t="s">
        <v>832</v>
      </c>
      <c r="H186" s="47" t="s">
        <v>833</v>
      </c>
      <c r="I186" s="47" t="s">
        <v>834</v>
      </c>
      <c r="J186" s="47" t="s">
        <v>835</v>
      </c>
      <c r="K186" s="47" t="s">
        <v>836</v>
      </c>
      <c r="L186" s="47" t="s">
        <v>69</v>
      </c>
      <c r="M186" s="47" t="s">
        <v>154</v>
      </c>
      <c r="N186" s="47" t="s">
        <v>843</v>
      </c>
      <c r="O186" s="47" t="s">
        <v>844</v>
      </c>
      <c r="P186" s="173" t="s">
        <v>70</v>
      </c>
    </row>
    <row r="187" spans="2:16" x14ac:dyDescent="0.25">
      <c r="B187" s="32" t="s">
        <v>55</v>
      </c>
      <c r="C187" s="32" t="s">
        <v>281</v>
      </c>
      <c r="D187" s="32" t="s">
        <v>26</v>
      </c>
      <c r="E187" s="32" t="s">
        <v>571</v>
      </c>
      <c r="F187" s="32" t="s">
        <v>571</v>
      </c>
      <c r="G187" s="32" t="s">
        <v>571</v>
      </c>
      <c r="H187" s="32" t="s">
        <v>571</v>
      </c>
      <c r="I187" s="32" t="s">
        <v>580</v>
      </c>
      <c r="J187" s="32" t="s">
        <v>580</v>
      </c>
      <c r="K187" s="32" t="s">
        <v>580</v>
      </c>
      <c r="L187" s="32" t="s">
        <v>287</v>
      </c>
      <c r="M187" s="32" t="s">
        <v>289</v>
      </c>
      <c r="N187" s="32" t="s">
        <v>817</v>
      </c>
      <c r="O187" s="32" t="s">
        <v>817</v>
      </c>
      <c r="P187" s="174" t="s">
        <v>287</v>
      </c>
    </row>
    <row r="188" spans="2:16" x14ac:dyDescent="0.25">
      <c r="B188" s="11">
        <v>1</v>
      </c>
      <c r="C188" s="5">
        <v>150</v>
      </c>
      <c r="D188" s="12">
        <f>D80</f>
        <v>482.57223409413302</v>
      </c>
      <c r="E188" s="21">
        <f>E80</f>
        <v>9.6514446818826602</v>
      </c>
      <c r="F188" s="12">
        <f>$D188*(F$184*1000)/1000000</f>
        <v>15.92488372510639</v>
      </c>
      <c r="G188" s="12">
        <f>$D188*(G$184*1000)/1000000</f>
        <v>31.849767450212781</v>
      </c>
      <c r="H188" s="12">
        <f>$D188*(H$184*1000)/1000000</f>
        <v>53.082945750354632</v>
      </c>
      <c r="I188" s="21">
        <f t="shared" ref="I188:I195" si="43">G80</f>
        <v>24.855085840871329</v>
      </c>
      <c r="J188" s="12">
        <f t="shared" ref="J188:J195" si="44">I188+$F$109*($J$184-$C$102)/($D$102-$C$102)</f>
        <v>67.200787643837302</v>
      </c>
      <c r="K188" s="12">
        <f t="shared" ref="K188:K193" si="45">I188+$F$109*($K$184-$C$102)/($D$102-$C$102)</f>
        <v>107.7053719771091</v>
      </c>
      <c r="L188" s="164">
        <f>S16</f>
        <v>0.26411259999999998</v>
      </c>
      <c r="M188" s="5">
        <f>V16</f>
        <v>0.2</v>
      </c>
      <c r="N188" s="13">
        <f>V16</f>
        <v>0.2</v>
      </c>
      <c r="O188" s="4">
        <f>0.0183*C188^0.394</f>
        <v>0.13177439950006162</v>
      </c>
      <c r="P188" s="175">
        <v>0.11799999999999999</v>
      </c>
    </row>
    <row r="189" spans="2:16" x14ac:dyDescent="0.25">
      <c r="B189" s="11">
        <v>2</v>
      </c>
      <c r="C189" s="5">
        <v>240</v>
      </c>
      <c r="D189" s="12">
        <f t="shared" ref="D189:D192" si="46">D81</f>
        <v>593.86092505132501</v>
      </c>
      <c r="E189" s="21">
        <f t="shared" ref="E189:E192" si="47">E81</f>
        <v>11.877218501026499</v>
      </c>
      <c r="F189" s="12">
        <f t="shared" ref="F189:F195" si="48">D189*(F$184*1000)/1000000</f>
        <v>19.597410526693725</v>
      </c>
      <c r="G189" s="12">
        <f t="shared" ref="G189:H192" si="49">$D189*(G$184*1000)/1000000</f>
        <v>39.19482105338745</v>
      </c>
      <c r="H189" s="12">
        <f t="shared" si="49"/>
        <v>65.324701755645748</v>
      </c>
      <c r="I189" s="21">
        <f t="shared" si="43"/>
        <v>29.826103009045596</v>
      </c>
      <c r="J189" s="12">
        <f t="shared" si="44"/>
        <v>72.171804812011572</v>
      </c>
      <c r="K189" s="12">
        <f t="shared" si="45"/>
        <v>112.67638914528337</v>
      </c>
      <c r="L189" s="164">
        <f>S18</f>
        <v>0.1602625</v>
      </c>
      <c r="M189" s="5">
        <f>T18</f>
        <v>0.36</v>
      </c>
      <c r="N189" s="13">
        <f t="shared" ref="N189:N192" si="50">V17</f>
        <v>0.21</v>
      </c>
      <c r="O189" s="5">
        <f>BC11</f>
        <v>0.16</v>
      </c>
      <c r="P189" s="175">
        <v>0.109</v>
      </c>
    </row>
    <row r="190" spans="2:16" x14ac:dyDescent="0.25">
      <c r="B190" s="11">
        <v>3</v>
      </c>
      <c r="C190" s="5">
        <v>300</v>
      </c>
      <c r="D190" s="12">
        <f t="shared" si="46"/>
        <v>674.74355674473998</v>
      </c>
      <c r="E190" s="21">
        <f t="shared" si="47"/>
        <v>13.494871134894799</v>
      </c>
      <c r="F190" s="12">
        <f t="shared" si="48"/>
        <v>22.266537372576419</v>
      </c>
      <c r="G190" s="12">
        <f t="shared" si="49"/>
        <v>44.533074745152838</v>
      </c>
      <c r="H190" s="12">
        <f t="shared" si="49"/>
        <v>74.221791241921395</v>
      </c>
      <c r="I190" s="21">
        <f t="shared" si="43"/>
        <v>41.425143068118885</v>
      </c>
      <c r="J190" s="12">
        <f t="shared" si="44"/>
        <v>83.770844871084847</v>
      </c>
      <c r="K190" s="12">
        <f t="shared" si="45"/>
        <v>124.27542920435666</v>
      </c>
      <c r="L190" s="164">
        <f>S19</f>
        <v>0.12821000000000002</v>
      </c>
      <c r="M190" s="5">
        <f>T19</f>
        <v>0.34</v>
      </c>
      <c r="N190" s="13">
        <f t="shared" si="50"/>
        <v>0.24</v>
      </c>
      <c r="O190" s="5">
        <f>BC12</f>
        <v>0.17</v>
      </c>
      <c r="P190" s="175">
        <v>0.105</v>
      </c>
    </row>
    <row r="191" spans="2:16" x14ac:dyDescent="0.25">
      <c r="B191" s="11">
        <v>4</v>
      </c>
      <c r="C191" s="5">
        <v>400</v>
      </c>
      <c r="D191" s="12">
        <f t="shared" si="46"/>
        <v>766.14330494051001</v>
      </c>
      <c r="E191" s="21">
        <f t="shared" si="47"/>
        <v>15.3228660988102</v>
      </c>
      <c r="F191" s="12">
        <f t="shared" si="48"/>
        <v>25.282729063036829</v>
      </c>
      <c r="G191" s="12">
        <f t="shared" si="49"/>
        <v>50.565458126073658</v>
      </c>
      <c r="H191" s="12">
        <f t="shared" si="49"/>
        <v>84.275763543456108</v>
      </c>
      <c r="I191" s="21">
        <f t="shared" si="43"/>
        <v>49.710171681742658</v>
      </c>
      <c r="J191" s="12">
        <f>I191+$F$109*($J$184-$C$102)/($D$102-$C$102)</f>
        <v>92.055873484708627</v>
      </c>
      <c r="K191" s="12">
        <f t="shared" si="45"/>
        <v>132.56045781798042</v>
      </c>
      <c r="L191" s="164">
        <f>S20</f>
        <v>9.9747379999999997E-2</v>
      </c>
      <c r="M191" s="13">
        <f>U20</f>
        <v>0.10367255756846318</v>
      </c>
      <c r="N191" s="13">
        <f t="shared" si="50"/>
        <v>0.26</v>
      </c>
      <c r="O191" s="5">
        <f>BC13</f>
        <v>0.19</v>
      </c>
      <c r="P191" s="176">
        <f>0.2744*C191^-0.168</f>
        <v>0.10028547329613213</v>
      </c>
    </row>
    <row r="192" spans="2:16" x14ac:dyDescent="0.25">
      <c r="B192" s="11">
        <v>5</v>
      </c>
      <c r="C192" s="5">
        <v>630</v>
      </c>
      <c r="D192" s="12">
        <f t="shared" si="46"/>
        <v>909.16491580919512</v>
      </c>
      <c r="E192" s="21">
        <f t="shared" si="47"/>
        <v>18.183298316183901</v>
      </c>
      <c r="F192" s="12">
        <f t="shared" si="48"/>
        <v>30.00244222170344</v>
      </c>
      <c r="G192" s="12">
        <f t="shared" si="49"/>
        <v>60.00488444340688</v>
      </c>
      <c r="H192" s="12">
        <f t="shared" si="49"/>
        <v>100.00814073901147</v>
      </c>
      <c r="I192" s="21">
        <f t="shared" si="43"/>
        <v>66.28022890899021</v>
      </c>
      <c r="J192" s="12">
        <f t="shared" si="44"/>
        <v>108.62593071195619</v>
      </c>
      <c r="K192" s="12">
        <f t="shared" si="45"/>
        <v>149.13051504522798</v>
      </c>
      <c r="L192" s="164">
        <f>S22</f>
        <v>6.0130489999999995E-2</v>
      </c>
      <c r="M192" s="5">
        <f>T22</f>
        <v>0.3</v>
      </c>
      <c r="N192" s="13">
        <f t="shared" si="50"/>
        <v>0.28999999999999998</v>
      </c>
      <c r="O192" s="5">
        <f>BC15</f>
        <v>0.24</v>
      </c>
      <c r="P192" s="176">
        <f>0.2744*C192^-0.168</f>
        <v>9.2916939106977611E-2</v>
      </c>
    </row>
    <row r="193" spans="2:16" x14ac:dyDescent="0.25">
      <c r="B193" s="11">
        <v>6</v>
      </c>
      <c r="C193" s="5">
        <v>800</v>
      </c>
      <c r="D193" s="12">
        <f>D93</f>
        <v>1014.1735562749362</v>
      </c>
      <c r="F193" s="12">
        <f t="shared" si="48"/>
        <v>33.467727357072896</v>
      </c>
      <c r="G193" s="12">
        <f>$D193*(G$184*1000)/1000000</f>
        <v>66.935454714145791</v>
      </c>
      <c r="H193" s="21">
        <f>E93</f>
        <v>111.559091190243</v>
      </c>
      <c r="I193" s="21">
        <f t="shared" si="43"/>
        <v>82.85028613623777</v>
      </c>
      <c r="J193" s="12">
        <f t="shared" si="44"/>
        <v>125.19598793920375</v>
      </c>
      <c r="K193" s="21">
        <f t="shared" si="45"/>
        <v>165.70057227247554</v>
      </c>
      <c r="L193" s="3">
        <f>43.108*C193^(-1.018)</f>
        <v>4.7776272973446408E-2</v>
      </c>
      <c r="M193" s="4">
        <f>0.864*C193^-0.159</f>
        <v>0.29848494740429604</v>
      </c>
      <c r="N193" s="4">
        <f>0.0344*C193^0.3547</f>
        <v>0.36837017547037842</v>
      </c>
      <c r="O193" s="5">
        <f t="shared" ref="O193" si="51">BC16</f>
        <v>0.27</v>
      </c>
      <c r="P193" s="176">
        <f>0.2744*C193^-0.168</f>
        <v>8.9261666178628463E-2</v>
      </c>
    </row>
    <row r="194" spans="2:16" x14ac:dyDescent="0.25">
      <c r="B194" s="11">
        <v>7</v>
      </c>
      <c r="C194" s="5">
        <v>1200</v>
      </c>
      <c r="D194" s="12">
        <f t="shared" ref="D194:D195" si="52">51.643*C194^0.4475</f>
        <v>1232.948880431981</v>
      </c>
      <c r="F194" s="12">
        <f t="shared" si="48"/>
        <v>40.687313054255377</v>
      </c>
      <c r="G194" s="12">
        <f>$D194*(G$184*1000)/1000000</f>
        <v>81.374626108510753</v>
      </c>
      <c r="H194" s="12">
        <f>$D194*(H$184*1000)/1000000</f>
        <v>135.62437684751791</v>
      </c>
      <c r="I194" s="12">
        <f t="shared" si="43"/>
        <v>118.24499999999999</v>
      </c>
      <c r="J194" s="12">
        <f t="shared" si="44"/>
        <v>160.59070180296595</v>
      </c>
      <c r="K194" s="21">
        <f>G94</f>
        <v>215.41074395421819</v>
      </c>
      <c r="L194" s="3">
        <f t="shared" ref="L194:L195" si="53">43.108*C194^(-1.018)</f>
        <v>3.1619235536148114E-2</v>
      </c>
      <c r="M194" s="4">
        <f t="shared" ref="M194:M195" si="54">0.864*C194^-0.159</f>
        <v>0.27984910632236099</v>
      </c>
      <c r="N194" s="4">
        <f t="shared" ref="N194:N195" si="55">0.0344*C194^0.3547</f>
        <v>0.42534764297511984</v>
      </c>
      <c r="O194" s="5">
        <f>BC18</f>
        <v>0.28999999999999998</v>
      </c>
      <c r="P194" s="176">
        <f>0.2744*C194^-0.168</f>
        <v>8.3383795126124358E-2</v>
      </c>
    </row>
    <row r="195" spans="2:16" x14ac:dyDescent="0.25">
      <c r="B195" s="32">
        <v>8</v>
      </c>
      <c r="C195" s="22">
        <v>1600</v>
      </c>
      <c r="D195" s="44">
        <f t="shared" si="52"/>
        <v>1402.3459197535449</v>
      </c>
      <c r="E195" s="20"/>
      <c r="F195" s="44">
        <f t="shared" si="48"/>
        <v>46.277415351866985</v>
      </c>
      <c r="G195" s="44">
        <f>$D195*(G$184*1000)/1000000</f>
        <v>92.55483070373397</v>
      </c>
      <c r="H195" s="44">
        <f>$D195*(H$184*1000)/1000000</f>
        <v>154.25805117288994</v>
      </c>
      <c r="I195" s="44">
        <f t="shared" si="43"/>
        <v>153.685</v>
      </c>
      <c r="J195" s="44">
        <f t="shared" si="44"/>
        <v>196.03070180296598</v>
      </c>
      <c r="K195" s="38">
        <f>G95</f>
        <v>248.55085840871328</v>
      </c>
      <c r="L195" s="33">
        <f t="shared" si="53"/>
        <v>2.359194417261247E-2</v>
      </c>
      <c r="M195" s="34">
        <f t="shared" si="54"/>
        <v>0.26733675072995261</v>
      </c>
      <c r="N195" s="34">
        <f t="shared" si="55"/>
        <v>0.47104218234624534</v>
      </c>
      <c r="O195" s="22">
        <f>BC19</f>
        <v>0.33</v>
      </c>
      <c r="P195" s="177">
        <f>0.2744*C195^-0.168</f>
        <v>7.9449642975282286E-2</v>
      </c>
    </row>
    <row r="196" spans="2:16" x14ac:dyDescent="0.25">
      <c r="C196" s="161" t="s">
        <v>699</v>
      </c>
      <c r="D196" s="161" t="s">
        <v>0</v>
      </c>
      <c r="E196" s="161" t="s">
        <v>1</v>
      </c>
      <c r="F196" s="161"/>
      <c r="G196" s="161"/>
      <c r="H196" s="161" t="s">
        <v>700</v>
      </c>
      <c r="I196" s="161" t="s">
        <v>701</v>
      </c>
      <c r="J196" s="161" t="s">
        <v>707</v>
      </c>
      <c r="K196" s="161" t="s">
        <v>707</v>
      </c>
      <c r="L196" s="161" t="s">
        <v>59</v>
      </c>
      <c r="M196" s="161" t="s">
        <v>35</v>
      </c>
      <c r="N196" s="161" t="s">
        <v>36</v>
      </c>
      <c r="O196" s="161" t="s">
        <v>842</v>
      </c>
      <c r="P196" s="178" t="s">
        <v>837</v>
      </c>
    </row>
    <row r="197" spans="2:16" x14ac:dyDescent="0.25">
      <c r="B197" s="162" t="s">
        <v>702</v>
      </c>
      <c r="C197" s="163" t="s">
        <v>807</v>
      </c>
      <c r="P197" s="97" t="s">
        <v>838</v>
      </c>
    </row>
    <row r="198" spans="2:16" x14ac:dyDescent="0.25">
      <c r="B198" s="162" t="s">
        <v>703</v>
      </c>
      <c r="C198" s="163" t="s">
        <v>704</v>
      </c>
    </row>
    <row r="199" spans="2:16" x14ac:dyDescent="0.25">
      <c r="B199" s="162" t="s">
        <v>705</v>
      </c>
      <c r="C199" s="163" t="s">
        <v>706</v>
      </c>
    </row>
    <row r="200" spans="2:16" x14ac:dyDescent="0.25">
      <c r="B200" s="162" t="s">
        <v>708</v>
      </c>
      <c r="C200" s="163" t="s">
        <v>709</v>
      </c>
    </row>
    <row r="201" spans="2:16" x14ac:dyDescent="0.25">
      <c r="B201" s="162" t="s">
        <v>710</v>
      </c>
      <c r="C201" s="163" t="s">
        <v>711</v>
      </c>
    </row>
    <row r="202" spans="2:16" x14ac:dyDescent="0.25">
      <c r="B202" s="162" t="s">
        <v>712</v>
      </c>
      <c r="C202" s="163" t="s">
        <v>827</v>
      </c>
    </row>
    <row r="203" spans="2:16" x14ac:dyDescent="0.25">
      <c r="B203" s="162" t="s">
        <v>826</v>
      </c>
      <c r="C203" s="163" t="s">
        <v>839</v>
      </c>
    </row>
    <row r="204" spans="2:16" x14ac:dyDescent="0.25">
      <c r="B204" s="162" t="s">
        <v>840</v>
      </c>
      <c r="C204" s="163" t="s">
        <v>839</v>
      </c>
    </row>
    <row r="205" spans="2:16" x14ac:dyDescent="0.25">
      <c r="B205" s="162" t="s">
        <v>841</v>
      </c>
      <c r="C205" s="163" t="s">
        <v>845</v>
      </c>
    </row>
  </sheetData>
  <hyperlinks>
    <hyperlink ref="G2" r:id="rId1"/>
    <hyperlink ref="AI1" r:id="rId2"/>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U100"/>
  <sheetViews>
    <sheetView zoomScale="55" zoomScaleNormal="55" workbookViewId="0">
      <selection activeCell="G34" sqref="G34"/>
    </sheetView>
  </sheetViews>
  <sheetFormatPr defaultColWidth="11.42578125" defaultRowHeight="15" x14ac:dyDescent="0.25"/>
  <cols>
    <col min="2" max="2" width="31.85546875" customWidth="1"/>
    <col min="3" max="3" width="17.42578125" customWidth="1"/>
    <col min="4" max="4" width="22.140625" customWidth="1"/>
    <col min="5" max="5" width="14.7109375" bestFit="1" customWidth="1"/>
    <col min="8" max="8" width="20.42578125" bestFit="1" customWidth="1"/>
    <col min="9" max="9" width="14.28515625" customWidth="1"/>
    <col min="10" max="10" width="14.42578125" customWidth="1"/>
    <col min="11" max="11" width="13.85546875" bestFit="1" customWidth="1"/>
    <col min="12" max="12" width="15.140625" customWidth="1"/>
    <col min="16" max="16" width="13.85546875" customWidth="1"/>
    <col min="18" max="18" width="13.140625" customWidth="1"/>
    <col min="19" max="19" width="13.7109375" bestFit="1" customWidth="1"/>
  </cols>
  <sheetData>
    <row r="5" spans="2:14" x14ac:dyDescent="0.25">
      <c r="C5" t="s">
        <v>720</v>
      </c>
      <c r="D5" t="s">
        <v>721</v>
      </c>
      <c r="E5" t="s">
        <v>722</v>
      </c>
      <c r="F5" t="s">
        <v>723</v>
      </c>
      <c r="G5" s="166" t="s">
        <v>724</v>
      </c>
      <c r="H5" s="166" t="s">
        <v>725</v>
      </c>
      <c r="I5" s="166" t="s">
        <v>726</v>
      </c>
      <c r="J5" s="166" t="s">
        <v>727</v>
      </c>
      <c r="K5" s="11" t="s">
        <v>734</v>
      </c>
      <c r="L5" s="11" t="s">
        <v>735</v>
      </c>
      <c r="M5" s="11" t="s">
        <v>736</v>
      </c>
      <c r="N5" s="11" t="s">
        <v>737</v>
      </c>
    </row>
    <row r="6" spans="2:14" x14ac:dyDescent="0.25">
      <c r="B6" t="s">
        <v>728</v>
      </c>
      <c r="C6">
        <v>1617</v>
      </c>
      <c r="D6">
        <v>1378</v>
      </c>
      <c r="E6">
        <v>1335</v>
      </c>
      <c r="F6">
        <v>1311</v>
      </c>
      <c r="G6" s="166">
        <v>20.6</v>
      </c>
      <c r="H6" s="166">
        <v>208.7</v>
      </c>
      <c r="I6" s="166">
        <v>585</v>
      </c>
      <c r="J6" s="166">
        <v>1714</v>
      </c>
      <c r="K6" s="1">
        <f>$J6/G6</f>
        <v>83.203883495145632</v>
      </c>
      <c r="L6" s="1">
        <f t="shared" ref="L6:N11" si="0">$J6/H6</f>
        <v>8.2127455678006704</v>
      </c>
      <c r="M6" s="1">
        <f t="shared" si="0"/>
        <v>2.9299145299145297</v>
      </c>
      <c r="N6" s="1">
        <f t="shared" si="0"/>
        <v>1</v>
      </c>
    </row>
    <row r="7" spans="2:14" x14ac:dyDescent="0.25">
      <c r="B7" t="s">
        <v>729</v>
      </c>
      <c r="C7">
        <v>1617</v>
      </c>
      <c r="D7">
        <v>1449</v>
      </c>
      <c r="E7">
        <v>1442</v>
      </c>
      <c r="F7">
        <v>1439</v>
      </c>
      <c r="G7" s="166">
        <v>20.6</v>
      </c>
      <c r="H7" s="166">
        <v>208.7</v>
      </c>
      <c r="I7" s="166">
        <v>585</v>
      </c>
      <c r="J7" s="166">
        <v>1714</v>
      </c>
      <c r="K7" s="1">
        <f t="shared" ref="K7:K11" si="1">$J7/G7</f>
        <v>83.203883495145632</v>
      </c>
      <c r="L7" s="1">
        <f t="shared" si="0"/>
        <v>8.2127455678006704</v>
      </c>
      <c r="M7" s="1">
        <f t="shared" si="0"/>
        <v>2.9299145299145297</v>
      </c>
      <c r="N7" s="1">
        <f t="shared" si="0"/>
        <v>1</v>
      </c>
    </row>
    <row r="8" spans="2:14" x14ac:dyDescent="0.25">
      <c r="B8" t="s">
        <v>730</v>
      </c>
      <c r="C8">
        <v>1678</v>
      </c>
      <c r="D8">
        <v>1359</v>
      </c>
      <c r="E8">
        <v>1289</v>
      </c>
      <c r="F8">
        <v>1241</v>
      </c>
      <c r="G8" s="166">
        <v>21.9</v>
      </c>
      <c r="H8" s="166">
        <v>222.4</v>
      </c>
      <c r="I8" s="166">
        <v>623.4</v>
      </c>
      <c r="J8" s="166">
        <v>1826.4</v>
      </c>
      <c r="K8" s="1">
        <f t="shared" si="1"/>
        <v>83.397260273972606</v>
      </c>
      <c r="L8" s="1">
        <f t="shared" si="0"/>
        <v>8.2122302158273381</v>
      </c>
      <c r="M8" s="1">
        <f t="shared" si="0"/>
        <v>2.9297401347449474</v>
      </c>
      <c r="N8" s="1">
        <f t="shared" si="0"/>
        <v>1</v>
      </c>
    </row>
    <row r="9" spans="2:14" x14ac:dyDescent="0.25">
      <c r="B9" t="s">
        <v>731</v>
      </c>
      <c r="C9">
        <v>814</v>
      </c>
      <c r="D9">
        <v>686</v>
      </c>
      <c r="E9">
        <v>666</v>
      </c>
      <c r="F9">
        <v>659</v>
      </c>
      <c r="G9" s="166">
        <v>21.9</v>
      </c>
      <c r="H9" s="166">
        <v>222.8</v>
      </c>
      <c r="I9" s="166">
        <v>624.5</v>
      </c>
      <c r="J9" s="166">
        <v>1829.7</v>
      </c>
      <c r="K9" s="1">
        <f t="shared" si="1"/>
        <v>83.547945205479465</v>
      </c>
      <c r="L9" s="1">
        <f t="shared" si="0"/>
        <v>8.2122980251346505</v>
      </c>
      <c r="M9" s="1">
        <f t="shared" si="0"/>
        <v>2.9298638911128903</v>
      </c>
      <c r="N9" s="1">
        <f t="shared" si="0"/>
        <v>1</v>
      </c>
    </row>
    <row r="10" spans="2:14" x14ac:dyDescent="0.25">
      <c r="B10" t="s">
        <v>732</v>
      </c>
      <c r="C10">
        <v>814</v>
      </c>
      <c r="D10">
        <v>709</v>
      </c>
      <c r="E10">
        <v>697</v>
      </c>
      <c r="F10">
        <v>695</v>
      </c>
      <c r="G10" s="166">
        <v>21.9</v>
      </c>
      <c r="H10" s="166">
        <v>222.8</v>
      </c>
      <c r="I10" s="166">
        <v>624.5</v>
      </c>
      <c r="J10" s="166">
        <v>1829.7</v>
      </c>
      <c r="K10" s="1">
        <f t="shared" si="1"/>
        <v>83.547945205479465</v>
      </c>
      <c r="L10" s="1">
        <f t="shared" si="0"/>
        <v>8.2122980251346505</v>
      </c>
      <c r="M10" s="1">
        <f t="shared" si="0"/>
        <v>2.9298638911128903</v>
      </c>
      <c r="N10" s="1">
        <f t="shared" si="0"/>
        <v>1</v>
      </c>
    </row>
    <row r="11" spans="2:14" x14ac:dyDescent="0.25">
      <c r="B11" t="s">
        <v>733</v>
      </c>
      <c r="C11">
        <v>818</v>
      </c>
      <c r="D11">
        <v>678</v>
      </c>
      <c r="E11">
        <v>653</v>
      </c>
      <c r="F11">
        <v>643</v>
      </c>
      <c r="G11" s="166">
        <v>21.9</v>
      </c>
      <c r="H11" s="166">
        <v>222.4</v>
      </c>
      <c r="I11" s="166">
        <v>623.4</v>
      </c>
      <c r="J11" s="166">
        <v>1826.4</v>
      </c>
      <c r="K11" s="1">
        <f t="shared" si="1"/>
        <v>83.397260273972606</v>
      </c>
      <c r="L11" s="1">
        <f t="shared" si="0"/>
        <v>8.2122302158273381</v>
      </c>
      <c r="M11" s="1">
        <f t="shared" si="0"/>
        <v>2.9297401347449474</v>
      </c>
      <c r="N11" s="1">
        <f t="shared" si="0"/>
        <v>1</v>
      </c>
    </row>
    <row r="13" spans="2:14" x14ac:dyDescent="0.25">
      <c r="B13" s="8"/>
      <c r="C13" s="8"/>
      <c r="D13" s="47" t="s">
        <v>788</v>
      </c>
      <c r="E13" s="47" t="s">
        <v>163</v>
      </c>
      <c r="F13" s="47" t="s">
        <v>785</v>
      </c>
      <c r="G13" s="47" t="s">
        <v>784</v>
      </c>
      <c r="H13" s="46" t="s">
        <v>783</v>
      </c>
      <c r="I13" s="46">
        <v>21</v>
      </c>
      <c r="J13" s="46">
        <v>210</v>
      </c>
      <c r="K13" s="46">
        <v>600</v>
      </c>
      <c r="L13" s="46">
        <v>1750</v>
      </c>
    </row>
    <row r="14" spans="2:14" x14ac:dyDescent="0.25">
      <c r="H14" s="14" t="s">
        <v>779</v>
      </c>
      <c r="I14" s="52">
        <f>ROUND(K6,0)</f>
        <v>83</v>
      </c>
      <c r="J14" s="52">
        <f>ROUND(L6, 0)</f>
        <v>8</v>
      </c>
      <c r="K14" s="52">
        <f>ROUND(M6, 0)</f>
        <v>3</v>
      </c>
      <c r="L14" s="14">
        <v>1</v>
      </c>
    </row>
    <row r="15" spans="2:14" x14ac:dyDescent="0.25">
      <c r="B15" s="20"/>
      <c r="C15" s="20"/>
      <c r="D15" s="32"/>
      <c r="E15" s="32"/>
      <c r="F15" s="32"/>
      <c r="G15" s="32"/>
      <c r="H15" s="37" t="s">
        <v>782</v>
      </c>
      <c r="I15" s="32"/>
      <c r="J15" s="32"/>
      <c r="K15" s="32"/>
      <c r="L15" s="32" t="s">
        <v>741</v>
      </c>
    </row>
    <row r="16" spans="2:14" x14ac:dyDescent="0.25">
      <c r="B16" t="s">
        <v>728</v>
      </c>
      <c r="D16" s="11" t="s">
        <v>417</v>
      </c>
      <c r="E16" s="11">
        <v>2020</v>
      </c>
      <c r="F16" s="11" t="s">
        <v>739</v>
      </c>
      <c r="G16" s="11" t="s">
        <v>3</v>
      </c>
      <c r="I16" s="167">
        <f t="shared" ref="I16:K17" si="2">C6/$L16-1</f>
        <v>0.23340961098398161</v>
      </c>
      <c r="J16" s="167">
        <f t="shared" si="2"/>
        <v>5.1106025934401167E-2</v>
      </c>
      <c r="K16" s="167">
        <f t="shared" si="2"/>
        <v>1.8306636155606348E-2</v>
      </c>
      <c r="L16">
        <f>F6</f>
        <v>1311</v>
      </c>
    </row>
    <row r="17" spans="2:12" x14ac:dyDescent="0.25">
      <c r="B17" t="s">
        <v>729</v>
      </c>
      <c r="D17" s="11" t="s">
        <v>417</v>
      </c>
      <c r="E17" s="11">
        <v>2020</v>
      </c>
      <c r="F17" s="11" t="s">
        <v>740</v>
      </c>
      <c r="G17" s="11" t="s">
        <v>3</v>
      </c>
      <c r="I17" s="167">
        <f t="shared" si="2"/>
        <v>0.12369701181375947</v>
      </c>
      <c r="J17" s="167">
        <f t="shared" si="2"/>
        <v>6.9492703266156308E-3</v>
      </c>
      <c r="K17" s="167">
        <f t="shared" si="2"/>
        <v>2.0847810979847115E-3</v>
      </c>
      <c r="L17">
        <f>F7</f>
        <v>1439</v>
      </c>
    </row>
    <row r="18" spans="2:12" x14ac:dyDescent="0.25">
      <c r="D18" s="11"/>
      <c r="E18" s="11"/>
      <c r="F18" s="11"/>
      <c r="G18" s="11"/>
      <c r="I18" s="55"/>
      <c r="J18" s="55"/>
      <c r="K18" s="55"/>
    </row>
    <row r="19" spans="2:12" x14ac:dyDescent="0.25">
      <c r="B19" t="s">
        <v>731</v>
      </c>
      <c r="D19" s="11" t="s">
        <v>417</v>
      </c>
      <c r="E19" s="11">
        <v>2050</v>
      </c>
      <c r="F19" s="11" t="s">
        <v>739</v>
      </c>
      <c r="G19" s="11" t="s">
        <v>3</v>
      </c>
      <c r="I19" s="167">
        <f t="shared" ref="I19:K20" si="3">C9/$L19-1</f>
        <v>0.23520485584218509</v>
      </c>
      <c r="J19" s="167">
        <f t="shared" si="3"/>
        <v>4.0971168437025751E-2</v>
      </c>
      <c r="K19" s="167">
        <f t="shared" si="3"/>
        <v>1.0622154779969639E-2</v>
      </c>
      <c r="L19">
        <f>F9</f>
        <v>659</v>
      </c>
    </row>
    <row r="20" spans="2:12" x14ac:dyDescent="0.25">
      <c r="B20" t="s">
        <v>732</v>
      </c>
      <c r="D20" s="11" t="s">
        <v>417</v>
      </c>
      <c r="E20" s="11">
        <v>2050</v>
      </c>
      <c r="F20" s="11" t="s">
        <v>740</v>
      </c>
      <c r="G20" s="11" t="s">
        <v>3</v>
      </c>
      <c r="I20" s="167">
        <f t="shared" si="3"/>
        <v>0.17122302158273373</v>
      </c>
      <c r="J20" s="167">
        <f t="shared" si="3"/>
        <v>2.0143884892086295E-2</v>
      </c>
      <c r="K20" s="167">
        <f t="shared" si="3"/>
        <v>2.8776978417266452E-3</v>
      </c>
      <c r="L20">
        <f>F10</f>
        <v>695</v>
      </c>
    </row>
    <row r="21" spans="2:12" x14ac:dyDescent="0.25">
      <c r="D21" s="11"/>
      <c r="E21" s="11"/>
      <c r="F21" s="11"/>
      <c r="G21" s="11"/>
      <c r="I21" s="55"/>
      <c r="J21" s="55"/>
      <c r="K21" s="55"/>
    </row>
    <row r="22" spans="2:12" x14ac:dyDescent="0.25">
      <c r="B22" t="s">
        <v>730</v>
      </c>
      <c r="D22" s="11" t="s">
        <v>416</v>
      </c>
      <c r="E22" s="11">
        <v>2020</v>
      </c>
      <c r="F22" s="11" t="s">
        <v>739</v>
      </c>
      <c r="G22" s="11" t="s">
        <v>738</v>
      </c>
      <c r="I22" s="167">
        <f>C8/$L22-1</f>
        <v>0.35213537469782441</v>
      </c>
      <c r="J22" s="167">
        <f>D8/$L22-1</f>
        <v>9.5084609186140145E-2</v>
      </c>
      <c r="K22" s="167">
        <f>E8/$L22-1</f>
        <v>3.8678485092667136E-2</v>
      </c>
      <c r="L22">
        <f>F8</f>
        <v>1241</v>
      </c>
    </row>
    <row r="23" spans="2:12" x14ac:dyDescent="0.25">
      <c r="B23" t="s">
        <v>733</v>
      </c>
      <c r="D23" s="11" t="s">
        <v>416</v>
      </c>
      <c r="E23" s="11">
        <v>2050</v>
      </c>
      <c r="F23" s="11" t="s">
        <v>739</v>
      </c>
      <c r="G23" s="11" t="s">
        <v>738</v>
      </c>
      <c r="I23" s="169">
        <f>C11/$L23-1</f>
        <v>0.27216174183514785</v>
      </c>
      <c r="J23" s="169">
        <f>D11/$L23-1</f>
        <v>5.4432348367029482E-2</v>
      </c>
      <c r="K23" s="169">
        <f>E11/$L23-1</f>
        <v>1.5552099533437058E-2</v>
      </c>
      <c r="L23">
        <f>F11</f>
        <v>643</v>
      </c>
    </row>
    <row r="25" spans="2:12" x14ac:dyDescent="0.25">
      <c r="D25" s="11" t="s">
        <v>780</v>
      </c>
      <c r="E25" s="11">
        <v>2020</v>
      </c>
      <c r="F25" s="11" t="s">
        <v>3</v>
      </c>
      <c r="G25" s="11" t="s">
        <v>3</v>
      </c>
      <c r="H25" s="11" t="s">
        <v>786</v>
      </c>
      <c r="I25" s="7">
        <f>I46</f>
        <v>0.75648852453809434</v>
      </c>
      <c r="J25" s="7">
        <f>J46</f>
        <v>0.23196739210559292</v>
      </c>
      <c r="K25" s="7">
        <f>K46</f>
        <v>9.7007171619042376E-2</v>
      </c>
      <c r="L25" s="12">
        <f>E39</f>
        <v>309.96951629533231</v>
      </c>
    </row>
    <row r="26" spans="2:12" x14ac:dyDescent="0.25">
      <c r="B26" s="20"/>
      <c r="C26" s="20"/>
      <c r="D26" s="32" t="s">
        <v>780</v>
      </c>
      <c r="E26" s="32">
        <v>2020</v>
      </c>
      <c r="F26" s="32" t="s">
        <v>3</v>
      </c>
      <c r="G26" s="32" t="s">
        <v>3</v>
      </c>
      <c r="H26" s="32" t="s">
        <v>787</v>
      </c>
      <c r="I26" s="36">
        <f>I43</f>
        <v>0.4699853000249552</v>
      </c>
      <c r="J26" s="36">
        <f>J43</f>
        <v>0.14411489512193332</v>
      </c>
      <c r="K26" s="36">
        <f>K43</f>
        <v>6.026786022403452E-2</v>
      </c>
      <c r="L26" s="44">
        <f>E45</f>
        <v>509.50015690141919</v>
      </c>
    </row>
    <row r="29" spans="2:12" x14ac:dyDescent="0.25">
      <c r="I29">
        <f>$L$13/I13</f>
        <v>83.333333333333329</v>
      </c>
      <c r="J29">
        <f>$L$13/J13</f>
        <v>8.3333333333333339</v>
      </c>
      <c r="K29">
        <f>$L$13/K13</f>
        <v>2.9166666666666665</v>
      </c>
    </row>
    <row r="34" spans="2:21" x14ac:dyDescent="0.25">
      <c r="S34" t="s">
        <v>774</v>
      </c>
      <c r="T34">
        <v>1.1000000000000001</v>
      </c>
    </row>
    <row r="35" spans="2:21" x14ac:dyDescent="0.25">
      <c r="B35" t="s">
        <v>742</v>
      </c>
      <c r="D35" t="s">
        <v>751</v>
      </c>
      <c r="E35">
        <v>10000</v>
      </c>
      <c r="F35" t="s">
        <v>752</v>
      </c>
      <c r="S35" t="s">
        <v>776</v>
      </c>
      <c r="T35">
        <v>596.20000000000005</v>
      </c>
    </row>
    <row r="36" spans="2:21" x14ac:dyDescent="0.25">
      <c r="B36" t="s">
        <v>759</v>
      </c>
      <c r="E36" s="28">
        <f>E35*365</f>
        <v>3650000</v>
      </c>
      <c r="F36" t="s">
        <v>9</v>
      </c>
      <c r="S36" t="s">
        <v>596</v>
      </c>
      <c r="T36">
        <v>816</v>
      </c>
    </row>
    <row r="37" spans="2:21" x14ac:dyDescent="0.25">
      <c r="E37" s="40">
        <f>E36/1000</f>
        <v>3650</v>
      </c>
      <c r="F37" t="s">
        <v>64</v>
      </c>
      <c r="P37" t="s">
        <v>767</v>
      </c>
    </row>
    <row r="38" spans="2:21" x14ac:dyDescent="0.25">
      <c r="B38" t="s">
        <v>743</v>
      </c>
      <c r="H38" t="s">
        <v>42</v>
      </c>
      <c r="I38">
        <v>0.67</v>
      </c>
      <c r="S38" s="11" t="s">
        <v>60</v>
      </c>
      <c r="T38" s="11" t="s">
        <v>775</v>
      </c>
      <c r="U38" s="11" t="s">
        <v>54</v>
      </c>
    </row>
    <row r="39" spans="2:21" x14ac:dyDescent="0.25">
      <c r="D39" t="s">
        <v>758</v>
      </c>
      <c r="E39" s="12">
        <f>T44</f>
        <v>309.96951629533231</v>
      </c>
      <c r="F39" t="s">
        <v>53</v>
      </c>
      <c r="I39" t="s">
        <v>753</v>
      </c>
      <c r="P39" t="s">
        <v>769</v>
      </c>
      <c r="Q39" s="3">
        <v>53.328551575738501</v>
      </c>
      <c r="R39" t="s">
        <v>768</v>
      </c>
      <c r="S39" s="12">
        <f>Q39</f>
        <v>53.328551575738501</v>
      </c>
      <c r="T39" s="12">
        <f>S39*$T$34</f>
        <v>58.661406733312354</v>
      </c>
      <c r="U39" s="2">
        <f>T39/$T$44</f>
        <v>0.18924895400817746</v>
      </c>
    </row>
    <row r="40" spans="2:21" x14ac:dyDescent="0.25">
      <c r="H40" s="14" t="s">
        <v>44</v>
      </c>
      <c r="I40" s="28">
        <f>I13</f>
        <v>21</v>
      </c>
      <c r="J40" s="28">
        <f>J13</f>
        <v>210</v>
      </c>
      <c r="K40" s="28">
        <f>K13</f>
        <v>600</v>
      </c>
      <c r="L40" s="28">
        <f>L13</f>
        <v>1750</v>
      </c>
      <c r="M40" s="134">
        <f>E37</f>
        <v>3650</v>
      </c>
      <c r="N40" t="s">
        <v>64</v>
      </c>
      <c r="Q40" s="3">
        <v>74.0440220558568</v>
      </c>
      <c r="R40" t="s">
        <v>770</v>
      </c>
      <c r="S40" s="12">
        <f>Q40-Q39</f>
        <v>20.715470480118299</v>
      </c>
      <c r="T40" s="12">
        <f t="shared" ref="T40:T44" si="4">S40*$T$34</f>
        <v>22.787017528130132</v>
      </c>
      <c r="U40" s="2">
        <f t="shared" ref="U40:U44" si="5">T40/$T$44</f>
        <v>7.3513737094131379E-2</v>
      </c>
    </row>
    <row r="41" spans="2:21" x14ac:dyDescent="0.25">
      <c r="D41" s="14" t="s">
        <v>748</v>
      </c>
      <c r="E41" s="12">
        <f>T39</f>
        <v>58.661406733312354</v>
      </c>
      <c r="F41" t="s">
        <v>53</v>
      </c>
      <c r="H41" s="14" t="s">
        <v>748</v>
      </c>
      <c r="I41" s="28">
        <f t="shared" ref="I41:K41" si="6">$M$41*($M$40/I40)^(1-$I$38)</f>
        <v>321.79311765940139</v>
      </c>
      <c r="J41" s="28">
        <f t="shared" si="6"/>
        <v>150.51394935366812</v>
      </c>
      <c r="K41" s="28">
        <f t="shared" si="6"/>
        <v>106.4435146466938</v>
      </c>
      <c r="L41" s="28">
        <f>$M$41*($M$40/L40)^(1-$I$38)</f>
        <v>74.766415961372033</v>
      </c>
      <c r="M41" s="134">
        <f>E41</f>
        <v>58.661406733312354</v>
      </c>
      <c r="N41" t="s">
        <v>60</v>
      </c>
      <c r="Q41" s="3">
        <v>76.549961895369094</v>
      </c>
      <c r="R41" t="s">
        <v>771</v>
      </c>
      <c r="S41" s="12">
        <f t="shared" ref="S41:S43" si="7">Q41-Q40</f>
        <v>2.505939839512294</v>
      </c>
      <c r="T41" s="12">
        <f t="shared" si="4"/>
        <v>2.7565338234635237</v>
      </c>
      <c r="U41" s="2">
        <f t="shared" si="5"/>
        <v>8.8929190728457234E-3</v>
      </c>
    </row>
    <row r="42" spans="2:21" x14ac:dyDescent="0.25">
      <c r="D42" s="14" t="s">
        <v>747</v>
      </c>
      <c r="E42" s="12">
        <f>T40+T41</f>
        <v>25.543551351593656</v>
      </c>
      <c r="F42" t="s">
        <v>53</v>
      </c>
      <c r="H42" s="53" t="s">
        <v>745</v>
      </c>
      <c r="I42" s="16">
        <f t="shared" ref="I42:L42" si="8">I41+$E$44+$E$43+$E$42</f>
        <v>772.63186782750824</v>
      </c>
      <c r="J42" s="16">
        <f t="shared" si="8"/>
        <v>601.35269952177498</v>
      </c>
      <c r="K42" s="16">
        <f t="shared" si="8"/>
        <v>557.28226481480067</v>
      </c>
      <c r="L42" s="16">
        <f t="shared" si="8"/>
        <v>525.60516612947879</v>
      </c>
      <c r="M42" s="172">
        <f>M41+$E$44+$E$43+$E$42</f>
        <v>509.50015690141913</v>
      </c>
      <c r="N42" s="5" t="s">
        <v>60</v>
      </c>
      <c r="Q42" s="3">
        <v>257.941453355448</v>
      </c>
      <c r="R42" t="s">
        <v>772</v>
      </c>
      <c r="S42" s="12">
        <f t="shared" si="7"/>
        <v>181.3914914600789</v>
      </c>
      <c r="T42" s="12">
        <f t="shared" si="4"/>
        <v>199.53064060608679</v>
      </c>
      <c r="U42" s="2">
        <f t="shared" si="5"/>
        <v>0.64371052673443629</v>
      </c>
    </row>
    <row r="43" spans="2:21" x14ac:dyDescent="0.25">
      <c r="D43" s="14" t="s">
        <v>749</v>
      </c>
      <c r="E43" s="12">
        <f>G55</f>
        <v>399.06128121217364</v>
      </c>
      <c r="F43" t="s">
        <v>53</v>
      </c>
      <c r="H43" s="53" t="s">
        <v>754</v>
      </c>
      <c r="I43" s="82">
        <f t="shared" ref="I43:L43" si="9">I42/$L$42-1</f>
        <v>0.4699853000249552</v>
      </c>
      <c r="J43" s="82">
        <f t="shared" si="9"/>
        <v>0.14411489512193332</v>
      </c>
      <c r="K43" s="82">
        <f t="shared" si="9"/>
        <v>6.026786022403452E-2</v>
      </c>
      <c r="L43" s="82">
        <f t="shared" si="9"/>
        <v>0</v>
      </c>
      <c r="M43" s="171">
        <f>M42/$L$42-1</f>
        <v>-3.0640888381398224E-2</v>
      </c>
      <c r="N43" s="5" t="s">
        <v>3</v>
      </c>
      <c r="Q43" s="33">
        <v>281.790469359393</v>
      </c>
      <c r="R43" s="20" t="s">
        <v>773</v>
      </c>
      <c r="S43" s="44">
        <f t="shared" si="7"/>
        <v>23.849016003944996</v>
      </c>
      <c r="T43" s="44">
        <f t="shared" si="4"/>
        <v>26.233917604339499</v>
      </c>
      <c r="U43" s="45">
        <f t="shared" si="5"/>
        <v>8.4633863090409142E-2</v>
      </c>
    </row>
    <row r="44" spans="2:21" x14ac:dyDescent="0.25">
      <c r="D44" s="37" t="s">
        <v>750</v>
      </c>
      <c r="E44" s="44">
        <f>T43</f>
        <v>26.233917604339499</v>
      </c>
      <c r="F44" s="20" t="s">
        <v>53</v>
      </c>
      <c r="S44" s="12">
        <f>SUM(S39:S43)</f>
        <v>281.790469359393</v>
      </c>
      <c r="T44" s="12">
        <f t="shared" si="4"/>
        <v>309.96951629533231</v>
      </c>
      <c r="U44" s="2">
        <f t="shared" si="5"/>
        <v>1</v>
      </c>
    </row>
    <row r="45" spans="2:21" x14ac:dyDescent="0.25">
      <c r="E45" s="12">
        <f>SUM(E41:E44)</f>
        <v>509.50015690141919</v>
      </c>
      <c r="H45" s="53" t="s">
        <v>745</v>
      </c>
      <c r="I45" s="31">
        <f t="shared" ref="I45:L45" si="10">I41+$E$44+200+$E$42</f>
        <v>573.57058661533461</v>
      </c>
      <c r="J45" s="31">
        <f t="shared" si="10"/>
        <v>402.29141830960128</v>
      </c>
      <c r="K45" s="31">
        <f t="shared" si="10"/>
        <v>358.22098360262697</v>
      </c>
      <c r="L45" s="31">
        <f t="shared" si="10"/>
        <v>326.54388491730515</v>
      </c>
      <c r="M45" s="172">
        <f>M41+$E$44+200+$E$42</f>
        <v>310.43887568924549</v>
      </c>
      <c r="N45" s="5" t="s">
        <v>60</v>
      </c>
      <c r="O45" s="35" t="s">
        <v>781</v>
      </c>
    </row>
    <row r="46" spans="2:21" x14ac:dyDescent="0.25">
      <c r="H46" s="53" t="s">
        <v>754</v>
      </c>
      <c r="I46" s="170">
        <f t="shared" ref="I46:L46" si="11">I45/$L$45-1</f>
        <v>0.75648852453809434</v>
      </c>
      <c r="J46" s="170">
        <f t="shared" si="11"/>
        <v>0.23196739210559292</v>
      </c>
      <c r="K46" s="170">
        <f t="shared" si="11"/>
        <v>9.7007171619042376E-2</v>
      </c>
      <c r="L46" s="170">
        <f t="shared" si="11"/>
        <v>0</v>
      </c>
      <c r="M46" s="171">
        <f>M45/$L$45-1</f>
        <v>-4.9319586040137087E-2</v>
      </c>
      <c r="N46" s="5" t="s">
        <v>3</v>
      </c>
    </row>
    <row r="48" spans="2:21" x14ac:dyDescent="0.25">
      <c r="D48" s="14" t="s">
        <v>755</v>
      </c>
      <c r="E48">
        <v>6.5</v>
      </c>
      <c r="F48" t="s">
        <v>746</v>
      </c>
      <c r="G48">
        <f>E48*$T$34</f>
        <v>7.15</v>
      </c>
      <c r="H48" t="s">
        <v>777</v>
      </c>
    </row>
    <row r="49" spans="3:9" x14ac:dyDescent="0.25">
      <c r="D49" s="14" t="s">
        <v>757</v>
      </c>
      <c r="E49">
        <v>13</v>
      </c>
      <c r="F49" t="s">
        <v>746</v>
      </c>
      <c r="G49">
        <f>E49*$T$34</f>
        <v>14.3</v>
      </c>
      <c r="H49" t="s">
        <v>777</v>
      </c>
    </row>
    <row r="50" spans="3:9" x14ac:dyDescent="0.25">
      <c r="E50">
        <f>E49/1000000</f>
        <v>1.2999999999999999E-5</v>
      </c>
      <c r="F50" t="s">
        <v>33</v>
      </c>
      <c r="G50">
        <f>E50*$T$34</f>
        <v>1.43E-5</v>
      </c>
      <c r="H50" t="s">
        <v>778</v>
      </c>
    </row>
    <row r="51" spans="3:9" x14ac:dyDescent="0.25">
      <c r="E51">
        <f>E50*3600</f>
        <v>4.6799999999999994E-2</v>
      </c>
      <c r="F51" t="s">
        <v>34</v>
      </c>
      <c r="G51">
        <f>E51*$T$34</f>
        <v>5.1479999999999998E-2</v>
      </c>
      <c r="H51" t="s">
        <v>40</v>
      </c>
      <c r="I51" t="s">
        <v>763</v>
      </c>
    </row>
    <row r="54" spans="3:9" x14ac:dyDescent="0.25">
      <c r="D54" s="14" t="s">
        <v>756</v>
      </c>
      <c r="E54" s="12">
        <f>S42</f>
        <v>181.3914914600789</v>
      </c>
      <c r="F54" t="s">
        <v>60</v>
      </c>
      <c r="G54" s="12">
        <f>E54*$T$34</f>
        <v>199.53064060608679</v>
      </c>
      <c r="H54" t="s">
        <v>53</v>
      </c>
    </row>
    <row r="55" spans="3:9" x14ac:dyDescent="0.25">
      <c r="D55" s="14" t="s">
        <v>749</v>
      </c>
      <c r="E55" s="12">
        <f>E54*E49/E48</f>
        <v>362.78298292015785</v>
      </c>
      <c r="F55" t="s">
        <v>60</v>
      </c>
      <c r="G55" s="12">
        <f>E55*$T$34</f>
        <v>399.06128121217364</v>
      </c>
      <c r="H55" t="s">
        <v>53</v>
      </c>
    </row>
    <row r="57" spans="3:9" x14ac:dyDescent="0.25">
      <c r="C57" t="s">
        <v>762</v>
      </c>
      <c r="D57" t="s">
        <v>760</v>
      </c>
      <c r="E57" s="12">
        <f>E41*1/3</f>
        <v>19.553802244437453</v>
      </c>
      <c r="F57" t="s">
        <v>60</v>
      </c>
      <c r="G57" t="s">
        <v>761</v>
      </c>
    </row>
    <row r="62" spans="3:9" x14ac:dyDescent="0.25">
      <c r="C62" t="s">
        <v>765</v>
      </c>
      <c r="D62" t="s">
        <v>766</v>
      </c>
      <c r="E62" t="s">
        <v>744</v>
      </c>
      <c r="F62" t="s">
        <v>764</v>
      </c>
    </row>
    <row r="63" spans="3:9" x14ac:dyDescent="0.25">
      <c r="C63">
        <v>20</v>
      </c>
      <c r="D63" s="168">
        <f>$M$41*(C63/$M$40)^-(1-$I$38)</f>
        <v>327.01616420433004</v>
      </c>
      <c r="E63" s="168">
        <f>D63+$E$42+$E$43+$E$44</f>
        <v>777.85491437243672</v>
      </c>
      <c r="F63" s="2">
        <f t="shared" ref="F63:F97" si="12">E63/$L$42-1</f>
        <v>0.4799225055197005</v>
      </c>
    </row>
    <row r="64" spans="3:9" x14ac:dyDescent="0.25">
      <c r="C64">
        <v>50</v>
      </c>
      <c r="D64" s="168">
        <f t="shared" ref="D64:D100" si="13">$M$41*(C64/$M$40)^-(1-$I$38)</f>
        <v>241.68462166573764</v>
      </c>
      <c r="E64" s="168">
        <f t="shared" ref="E64:E100" si="14">D64+$E$42+$E$43+$E$44</f>
        <v>692.52337183384441</v>
      </c>
      <c r="F64" s="2">
        <f t="shared" si="12"/>
        <v>0.31757337343835501</v>
      </c>
    </row>
    <row r="65" spans="3:6" x14ac:dyDescent="0.25">
      <c r="C65">
        <v>100</v>
      </c>
      <c r="D65" s="168">
        <f t="shared" si="13"/>
        <v>192.26893409759879</v>
      </c>
      <c r="E65" s="168">
        <f t="shared" si="14"/>
        <v>643.10768426570553</v>
      </c>
      <c r="F65" s="2">
        <f t="shared" si="12"/>
        <v>0.22355662711899771</v>
      </c>
    </row>
    <row r="66" spans="3:6" x14ac:dyDescent="0.25">
      <c r="C66">
        <v>150</v>
      </c>
      <c r="D66" s="168">
        <f t="shared" si="13"/>
        <v>168.18954790164517</v>
      </c>
      <c r="E66" s="168">
        <f t="shared" si="14"/>
        <v>619.02829806975194</v>
      </c>
      <c r="F66" s="2">
        <f t="shared" si="12"/>
        <v>0.17774393777031317</v>
      </c>
    </row>
    <row r="67" spans="3:6" x14ac:dyDescent="0.25">
      <c r="C67">
        <v>200</v>
      </c>
      <c r="D67" s="168">
        <f t="shared" si="13"/>
        <v>152.95695176730993</v>
      </c>
      <c r="E67" s="168">
        <f t="shared" si="14"/>
        <v>603.79570193541667</v>
      </c>
      <c r="F67" s="2">
        <f t="shared" si="12"/>
        <v>0.14876287533801791</v>
      </c>
    </row>
    <row r="68" spans="3:6" x14ac:dyDescent="0.25">
      <c r="C68">
        <v>250</v>
      </c>
      <c r="D68" s="168">
        <f t="shared" si="13"/>
        <v>142.09831097651141</v>
      </c>
      <c r="E68" s="168">
        <f t="shared" si="14"/>
        <v>592.93706114461816</v>
      </c>
      <c r="F68" s="2">
        <f t="shared" si="12"/>
        <v>0.12810356395650935</v>
      </c>
    </row>
    <row r="69" spans="3:6" x14ac:dyDescent="0.25">
      <c r="C69">
        <v>300</v>
      </c>
      <c r="D69" s="168">
        <f t="shared" si="13"/>
        <v>133.80092154200423</v>
      </c>
      <c r="E69" s="168">
        <f t="shared" si="14"/>
        <v>584.63967171011097</v>
      </c>
      <c r="F69" s="2">
        <f t="shared" si="12"/>
        <v>0.11231720954220892</v>
      </c>
    </row>
    <row r="70" spans="3:6" x14ac:dyDescent="0.25">
      <c r="C70">
        <v>350</v>
      </c>
      <c r="D70" s="168">
        <f t="shared" si="13"/>
        <v>127.16472722827994</v>
      </c>
      <c r="E70" s="168">
        <f t="shared" si="14"/>
        <v>578.00347739638664</v>
      </c>
      <c r="F70" s="2">
        <f t="shared" si="12"/>
        <v>9.9691393166405629E-2</v>
      </c>
    </row>
    <row r="71" spans="3:6" x14ac:dyDescent="0.25">
      <c r="C71">
        <v>400</v>
      </c>
      <c r="D71" s="168">
        <f t="shared" si="13"/>
        <v>121.68283557483642</v>
      </c>
      <c r="E71" s="168">
        <f t="shared" si="14"/>
        <v>572.52158574294322</v>
      </c>
      <c r="F71" s="2">
        <f t="shared" si="12"/>
        <v>8.9261717039339272E-2</v>
      </c>
    </row>
    <row r="72" spans="3:6" x14ac:dyDescent="0.25">
      <c r="C72">
        <v>450</v>
      </c>
      <c r="D72" s="168">
        <f t="shared" si="13"/>
        <v>117.04395516932465</v>
      </c>
      <c r="E72" s="168">
        <f t="shared" si="14"/>
        <v>567.88270533743139</v>
      </c>
      <c r="F72" s="2">
        <f t="shared" si="12"/>
        <v>8.0435927826359777E-2</v>
      </c>
    </row>
    <row r="73" spans="3:6" x14ac:dyDescent="0.25">
      <c r="C73">
        <v>500</v>
      </c>
      <c r="D73" s="168">
        <f t="shared" si="13"/>
        <v>113.04439066176687</v>
      </c>
      <c r="E73" s="168">
        <f t="shared" si="14"/>
        <v>563.88314082987358</v>
      </c>
      <c r="F73" s="2">
        <f t="shared" si="12"/>
        <v>7.2826481106095686E-2</v>
      </c>
    </row>
    <row r="74" spans="3:6" x14ac:dyDescent="0.25">
      <c r="C74">
        <v>550</v>
      </c>
      <c r="D74" s="168">
        <f t="shared" si="13"/>
        <v>109.54421086377073</v>
      </c>
      <c r="E74" s="168">
        <f t="shared" si="14"/>
        <v>560.38296103187747</v>
      </c>
      <c r="F74" s="2">
        <f t="shared" si="12"/>
        <v>6.6167148162755041E-2</v>
      </c>
    </row>
    <row r="75" spans="3:6" x14ac:dyDescent="0.25">
      <c r="C75">
        <v>600</v>
      </c>
      <c r="D75" s="168">
        <f t="shared" si="13"/>
        <v>106.4435146466938</v>
      </c>
      <c r="E75" s="168">
        <f t="shared" si="14"/>
        <v>557.28226481480056</v>
      </c>
      <c r="F75" s="2">
        <f t="shared" si="12"/>
        <v>6.0267860224034298E-2</v>
      </c>
    </row>
    <row r="76" spans="3:6" x14ac:dyDescent="0.25">
      <c r="C76">
        <v>650</v>
      </c>
      <c r="D76" s="168">
        <f t="shared" si="13"/>
        <v>103.66871394816908</v>
      </c>
      <c r="E76" s="168">
        <f t="shared" si="14"/>
        <v>554.50746411627586</v>
      </c>
      <c r="F76" s="2">
        <f t="shared" si="12"/>
        <v>5.4988610937049209E-2</v>
      </c>
    </row>
    <row r="77" spans="3:6" x14ac:dyDescent="0.25">
      <c r="C77">
        <v>700</v>
      </c>
      <c r="D77" s="168">
        <f t="shared" si="13"/>
        <v>101.16417995683918</v>
      </c>
      <c r="E77" s="168">
        <f t="shared" si="14"/>
        <v>552.00293012494592</v>
      </c>
      <c r="F77" s="2">
        <f t="shared" si="12"/>
        <v>5.0223562659892584E-2</v>
      </c>
    </row>
    <row r="78" spans="3:6" x14ac:dyDescent="0.25">
      <c r="C78">
        <v>750</v>
      </c>
      <c r="D78" s="168">
        <f t="shared" si="13"/>
        <v>98.886931721212321</v>
      </c>
      <c r="E78" s="168">
        <f t="shared" si="14"/>
        <v>549.72568188931905</v>
      </c>
      <c r="F78" s="2">
        <f t="shared" si="12"/>
        <v>4.5890941174460131E-2</v>
      </c>
    </row>
    <row r="79" spans="3:6" x14ac:dyDescent="0.25">
      <c r="C79">
        <v>800</v>
      </c>
      <c r="D79" s="168">
        <f t="shared" si="13"/>
        <v>96.803135146533307</v>
      </c>
      <c r="E79" s="168">
        <f t="shared" si="14"/>
        <v>547.64188531464004</v>
      </c>
      <c r="F79" s="2">
        <f t="shared" si="12"/>
        <v>4.1926374787063292E-2</v>
      </c>
    </row>
    <row r="80" spans="3:6" x14ac:dyDescent="0.25">
      <c r="C80">
        <v>850</v>
      </c>
      <c r="D80" s="168">
        <f t="shared" si="13"/>
        <v>94.885723446807958</v>
      </c>
      <c r="E80" s="168">
        <f t="shared" si="14"/>
        <v>545.7244736149147</v>
      </c>
      <c r="F80" s="2">
        <f t="shared" si="12"/>
        <v>3.8278367074648711E-2</v>
      </c>
    </row>
    <row r="81" spans="3:6" x14ac:dyDescent="0.25">
      <c r="C81">
        <v>900</v>
      </c>
      <c r="D81" s="168">
        <f t="shared" si="13"/>
        <v>93.112736540172847</v>
      </c>
      <c r="E81" s="168">
        <f t="shared" si="14"/>
        <v>543.95148670827962</v>
      </c>
      <c r="F81" s="2">
        <f t="shared" si="12"/>
        <v>3.4905137470207626E-2</v>
      </c>
    </row>
    <row r="82" spans="3:6" x14ac:dyDescent="0.25">
      <c r="C82">
        <v>950</v>
      </c>
      <c r="D82" s="168">
        <f t="shared" si="13"/>
        <v>91.466135216331764</v>
      </c>
      <c r="E82" s="168">
        <f t="shared" si="14"/>
        <v>542.30488538443853</v>
      </c>
      <c r="F82" s="2">
        <f t="shared" si="12"/>
        <v>3.1772365134717706E-2</v>
      </c>
    </row>
    <row r="83" spans="3:6" x14ac:dyDescent="0.25">
      <c r="C83">
        <v>1000</v>
      </c>
      <c r="D83" s="168">
        <f t="shared" si="13"/>
        <v>89.930937055279372</v>
      </c>
      <c r="E83" s="168">
        <f t="shared" si="14"/>
        <v>540.7696872233862</v>
      </c>
      <c r="F83" s="2">
        <f t="shared" si="12"/>
        <v>2.8851544983048649E-2</v>
      </c>
    </row>
    <row r="84" spans="3:6" x14ac:dyDescent="0.25">
      <c r="C84">
        <v>1050</v>
      </c>
      <c r="D84" s="168">
        <f t="shared" si="13"/>
        <v>88.494575427065556</v>
      </c>
      <c r="E84" s="168">
        <f t="shared" si="14"/>
        <v>539.33332559517225</v>
      </c>
      <c r="F84" s="2">
        <f t="shared" si="12"/>
        <v>2.6118768136901505E-2</v>
      </c>
    </row>
    <row r="85" spans="3:6" x14ac:dyDescent="0.25">
      <c r="C85">
        <v>1100</v>
      </c>
      <c r="D85" s="168">
        <f t="shared" si="13"/>
        <v>87.146416326271535</v>
      </c>
      <c r="E85" s="168">
        <f t="shared" si="14"/>
        <v>537.98516649437829</v>
      </c>
      <c r="F85" s="2">
        <f t="shared" si="12"/>
        <v>2.355380266914997E-2</v>
      </c>
    </row>
    <row r="86" spans="3:6" x14ac:dyDescent="0.25">
      <c r="C86">
        <v>1150</v>
      </c>
      <c r="D86" s="168">
        <f t="shared" si="13"/>
        <v>85.877388919045202</v>
      </c>
      <c r="E86" s="168">
        <f t="shared" si="14"/>
        <v>536.71613908715199</v>
      </c>
      <c r="F86" s="2">
        <f t="shared" si="12"/>
        <v>2.1139390694147275E-2</v>
      </c>
    </row>
    <row r="87" spans="3:6" x14ac:dyDescent="0.25">
      <c r="C87">
        <v>1200</v>
      </c>
      <c r="D87" s="168">
        <f t="shared" si="13"/>
        <v>84.679699360545968</v>
      </c>
      <c r="E87" s="168">
        <f t="shared" si="14"/>
        <v>535.5184495286527</v>
      </c>
      <c r="F87" s="2">
        <f t="shared" si="12"/>
        <v>1.8860703885722252E-2</v>
      </c>
    </row>
    <row r="88" spans="3:6" x14ac:dyDescent="0.25">
      <c r="C88">
        <v>1250</v>
      </c>
      <c r="D88" s="168">
        <f t="shared" si="13"/>
        <v>83.546606495732391</v>
      </c>
      <c r="E88" s="168">
        <f t="shared" si="14"/>
        <v>534.38535666383916</v>
      </c>
      <c r="F88" s="2">
        <f t="shared" si="12"/>
        <v>1.6704916732491526E-2</v>
      </c>
    </row>
    <row r="89" spans="3:6" x14ac:dyDescent="0.25">
      <c r="C89">
        <v>1300</v>
      </c>
      <c r="D89" s="168">
        <f t="shared" si="13"/>
        <v>82.472244169720923</v>
      </c>
      <c r="E89" s="168">
        <f t="shared" si="14"/>
        <v>533.31099433782765</v>
      </c>
      <c r="F89" s="2">
        <f t="shared" si="12"/>
        <v>1.4660868471088495E-2</v>
      </c>
    </row>
    <row r="90" spans="3:6" x14ac:dyDescent="0.25">
      <c r="C90">
        <v>1350</v>
      </c>
      <c r="D90" s="168">
        <f t="shared" si="13"/>
        <v>81.451479075798602</v>
      </c>
      <c r="E90" s="168">
        <f t="shared" si="14"/>
        <v>532.2902292439054</v>
      </c>
      <c r="F90" s="2">
        <f t="shared" si="12"/>
        <v>1.2718792632224307E-2</v>
      </c>
    </row>
    <row r="91" spans="3:6" x14ac:dyDescent="0.25">
      <c r="C91">
        <v>1400</v>
      </c>
      <c r="D91" s="168">
        <f t="shared" si="13"/>
        <v>80.479796004813664</v>
      </c>
      <c r="E91" s="168">
        <f t="shared" si="14"/>
        <v>531.31854617292049</v>
      </c>
      <c r="F91" s="2">
        <f t="shared" si="12"/>
        <v>1.0870098719756971E-2</v>
      </c>
    </row>
    <row r="92" spans="3:6" x14ac:dyDescent="0.25">
      <c r="C92">
        <v>1450</v>
      </c>
      <c r="D92" s="168">
        <f t="shared" si="13"/>
        <v>79.553204441577122</v>
      </c>
      <c r="E92" s="168">
        <f t="shared" si="14"/>
        <v>530.39195460968392</v>
      </c>
      <c r="F92" s="2">
        <f t="shared" si="12"/>
        <v>9.107194503917615E-3</v>
      </c>
    </row>
    <row r="93" spans="3:6" x14ac:dyDescent="0.25">
      <c r="C93">
        <v>1500</v>
      </c>
      <c r="D93" s="168">
        <f t="shared" si="13"/>
        <v>78.668161950805995</v>
      </c>
      <c r="E93" s="168">
        <f t="shared" si="14"/>
        <v>529.50691211891274</v>
      </c>
      <c r="F93" s="2">
        <f t="shared" si="12"/>
        <v>7.4233402577950081E-3</v>
      </c>
    </row>
    <row r="94" spans="3:6" x14ac:dyDescent="0.25">
      <c r="C94">
        <v>1550</v>
      </c>
      <c r="D94" s="168">
        <f t="shared" si="13"/>
        <v>77.821510885148797</v>
      </c>
      <c r="E94" s="168">
        <f t="shared" si="14"/>
        <v>528.66026105325557</v>
      </c>
      <c r="F94" s="2">
        <f t="shared" si="12"/>
        <v>5.8125283399976801E-3</v>
      </c>
    </row>
    <row r="95" spans="3:6" x14ac:dyDescent="0.25">
      <c r="C95">
        <v>1600</v>
      </c>
      <c r="D95" s="168">
        <f t="shared" si="13"/>
        <v>77.010425750925293</v>
      </c>
      <c r="E95" s="168">
        <f t="shared" si="14"/>
        <v>527.84917591903206</v>
      </c>
      <c r="F95" s="2">
        <f t="shared" si="12"/>
        <v>4.2693830543523159E-3</v>
      </c>
    </row>
    <row r="96" spans="3:6" x14ac:dyDescent="0.25">
      <c r="C96">
        <v>1650</v>
      </c>
      <c r="D96" s="168">
        <f t="shared" si="13"/>
        <v>76.232369165389798</v>
      </c>
      <c r="E96" s="168">
        <f t="shared" si="14"/>
        <v>527.07111933349654</v>
      </c>
      <c r="F96" s="2">
        <f t="shared" si="12"/>
        <v>2.7890768555662859E-3</v>
      </c>
    </row>
    <row r="97" spans="3:6" x14ac:dyDescent="0.25">
      <c r="C97">
        <v>1700</v>
      </c>
      <c r="D97" s="168">
        <f t="shared" si="13"/>
        <v>75.485054789415244</v>
      </c>
      <c r="E97" s="168">
        <f t="shared" si="14"/>
        <v>526.32380495752204</v>
      </c>
      <c r="F97" s="2">
        <f t="shared" si="12"/>
        <v>1.3672598261071922E-3</v>
      </c>
    </row>
    <row r="98" spans="3:6" x14ac:dyDescent="0.25">
      <c r="C98">
        <v>1750</v>
      </c>
      <c r="D98" s="168">
        <f t="shared" si="13"/>
        <v>74.766415961372047</v>
      </c>
      <c r="E98" s="168">
        <f t="shared" si="14"/>
        <v>525.60516612947879</v>
      </c>
      <c r="F98" s="2">
        <f>E98/$L$42-1</f>
        <v>0</v>
      </c>
    </row>
    <row r="99" spans="3:6" x14ac:dyDescent="0.25">
      <c r="C99">
        <v>1800</v>
      </c>
      <c r="D99" s="168">
        <f t="shared" si="13"/>
        <v>74.074579019967246</v>
      </c>
      <c r="E99" s="168">
        <f t="shared" si="14"/>
        <v>524.91332918807404</v>
      </c>
      <c r="F99" s="2">
        <f t="shared" ref="F99:F100" si="15">E99/$L$42-1</f>
        <v>-1.3162673923077239E-3</v>
      </c>
    </row>
    <row r="100" spans="3:6" x14ac:dyDescent="0.25">
      <c r="C100">
        <v>1850</v>
      </c>
      <c r="D100" s="168">
        <f t="shared" si="13"/>
        <v>73.407840506251517</v>
      </c>
      <c r="E100" s="168">
        <f t="shared" si="14"/>
        <v>524.24659067435834</v>
      </c>
      <c r="F100" s="2">
        <f t="shared" si="15"/>
        <v>-2.5847832986971575E-3</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2"/>
  <sheetViews>
    <sheetView zoomScale="55" zoomScaleNormal="55" workbookViewId="0">
      <selection activeCell="I37" sqref="I37"/>
    </sheetView>
  </sheetViews>
  <sheetFormatPr defaultColWidth="11.42578125" defaultRowHeight="15" x14ac:dyDescent="0.25"/>
  <cols>
    <col min="2" max="2" width="24" bestFit="1" customWidth="1"/>
    <col min="3" max="4" width="17" bestFit="1" customWidth="1"/>
    <col min="5" max="5" width="12" bestFit="1" customWidth="1"/>
    <col min="7" max="7" width="17" bestFit="1" customWidth="1"/>
  </cols>
  <sheetData>
    <row r="1" spans="1:4" x14ac:dyDescent="0.25">
      <c r="A1" t="s">
        <v>653</v>
      </c>
    </row>
    <row r="2" spans="1:4" x14ac:dyDescent="0.25">
      <c r="B2" t="s">
        <v>596</v>
      </c>
      <c r="C2">
        <v>816</v>
      </c>
    </row>
    <row r="3" spans="1:4" x14ac:dyDescent="0.25">
      <c r="B3" t="s">
        <v>597</v>
      </c>
      <c r="C3">
        <v>1.1000000000000001</v>
      </c>
    </row>
    <row r="4" spans="1:4" x14ac:dyDescent="0.25">
      <c r="B4" t="s">
        <v>598</v>
      </c>
      <c r="C4">
        <v>541.70000000000005</v>
      </c>
    </row>
    <row r="5" spans="1:4" x14ac:dyDescent="0.25">
      <c r="B5" t="s">
        <v>599</v>
      </c>
      <c r="C5">
        <v>708.8</v>
      </c>
    </row>
    <row r="6" spans="1:4" x14ac:dyDescent="0.25">
      <c r="B6" t="s">
        <v>604</v>
      </c>
      <c r="C6">
        <v>402</v>
      </c>
    </row>
    <row r="7" spans="1:4" x14ac:dyDescent="0.25">
      <c r="B7" t="s">
        <v>677</v>
      </c>
      <c r="C7">
        <v>603</v>
      </c>
    </row>
    <row r="8" spans="1:4" x14ac:dyDescent="0.25">
      <c r="B8" t="s">
        <v>877</v>
      </c>
      <c r="C8">
        <v>585.70000000000005</v>
      </c>
    </row>
    <row r="10" spans="1:4" x14ac:dyDescent="0.25">
      <c r="B10" t="s">
        <v>886</v>
      </c>
      <c r="C10">
        <v>1.2</v>
      </c>
    </row>
    <row r="11" spans="1:4" x14ac:dyDescent="0.25">
      <c r="B11" t="s">
        <v>665</v>
      </c>
    </row>
    <row r="12" spans="1:4" x14ac:dyDescent="0.25">
      <c r="B12" t="s">
        <v>605</v>
      </c>
      <c r="C12">
        <f>0.0992</f>
        <v>9.9199999999999997E-2</v>
      </c>
    </row>
    <row r="14" spans="1:4" x14ac:dyDescent="0.25">
      <c r="B14" s="5" t="s">
        <v>664</v>
      </c>
    </row>
    <row r="15" spans="1:4" x14ac:dyDescent="0.25">
      <c r="B15" t="s">
        <v>655</v>
      </c>
      <c r="C15">
        <v>6.3</v>
      </c>
      <c r="D15" t="s">
        <v>571</v>
      </c>
    </row>
    <row r="16" spans="1:4" x14ac:dyDescent="0.25">
      <c r="B16" t="s">
        <v>654</v>
      </c>
      <c r="C16">
        <v>150</v>
      </c>
      <c r="D16" t="s">
        <v>571</v>
      </c>
    </row>
    <row r="17" spans="2:9" x14ac:dyDescent="0.25">
      <c r="B17" t="s">
        <v>656</v>
      </c>
      <c r="C17">
        <v>47</v>
      </c>
      <c r="D17" t="s">
        <v>124</v>
      </c>
    </row>
    <row r="18" spans="2:9" x14ac:dyDescent="0.25">
      <c r="B18" t="s">
        <v>657</v>
      </c>
      <c r="C18">
        <v>140</v>
      </c>
      <c r="D18" t="s">
        <v>124</v>
      </c>
    </row>
    <row r="19" spans="2:9" x14ac:dyDescent="0.25">
      <c r="B19" t="s">
        <v>658</v>
      </c>
      <c r="C19">
        <v>10.5</v>
      </c>
      <c r="D19" t="s">
        <v>124</v>
      </c>
    </row>
    <row r="20" spans="2:9" x14ac:dyDescent="0.25">
      <c r="B20" t="s">
        <v>659</v>
      </c>
      <c r="C20">
        <v>77</v>
      </c>
      <c r="D20" t="s">
        <v>124</v>
      </c>
    </row>
    <row r="22" spans="2:9" x14ac:dyDescent="0.25">
      <c r="B22" t="s">
        <v>671</v>
      </c>
      <c r="F22" t="s">
        <v>672</v>
      </c>
    </row>
    <row r="23" spans="2:9" x14ac:dyDescent="0.25">
      <c r="B23" t="s">
        <v>660</v>
      </c>
      <c r="C23" s="11" t="s">
        <v>666</v>
      </c>
      <c r="D23" s="11" t="s">
        <v>667</v>
      </c>
      <c r="E23" s="11" t="s">
        <v>668</v>
      </c>
      <c r="G23" s="11" t="s">
        <v>666</v>
      </c>
      <c r="H23" s="11" t="s">
        <v>667</v>
      </c>
      <c r="I23" s="11" t="s">
        <v>668</v>
      </c>
    </row>
    <row r="24" spans="2:9" x14ac:dyDescent="0.25">
      <c r="B24" t="s">
        <v>661</v>
      </c>
      <c r="C24" s="25">
        <v>-1208000</v>
      </c>
      <c r="D24" s="25">
        <f>C24*C12</f>
        <v>-119833.59999999999</v>
      </c>
      <c r="E24" s="25">
        <f>D24*C2/C6</f>
        <v>-243244.32238805969</v>
      </c>
      <c r="G24" s="25">
        <v>1724000</v>
      </c>
      <c r="H24" s="25">
        <f>G24*C12</f>
        <v>171020.79999999999</v>
      </c>
      <c r="I24">
        <f>H24*C2/C6</f>
        <v>347146.69850746263</v>
      </c>
    </row>
    <row r="25" spans="2:9" x14ac:dyDescent="0.25">
      <c r="B25" t="s">
        <v>662</v>
      </c>
      <c r="C25">
        <v>2143</v>
      </c>
      <c r="D25">
        <f>C25*C12</f>
        <v>212.5856</v>
      </c>
      <c r="E25">
        <f>D25*C2/C6</f>
        <v>431.51703880597012</v>
      </c>
      <c r="G25">
        <v>4.8379999999999999E-2</v>
      </c>
      <c r="H25">
        <f>G25*C12</f>
        <v>4.7992959999999998E-3</v>
      </c>
      <c r="I25">
        <f>H25*C2/C6</f>
        <v>9.7418545671641779E-3</v>
      </c>
    </row>
    <row r="26" spans="2:9" x14ac:dyDescent="0.25">
      <c r="B26" t="s">
        <v>663</v>
      </c>
      <c r="C26">
        <v>0.44729999999999998</v>
      </c>
      <c r="D26">
        <f>C26</f>
        <v>0.44729999999999998</v>
      </c>
      <c r="E26">
        <f>D26</f>
        <v>0.44729999999999998</v>
      </c>
    </row>
    <row r="28" spans="2:9" x14ac:dyDescent="0.25">
      <c r="C28" t="s">
        <v>665</v>
      </c>
      <c r="D28" t="s">
        <v>678</v>
      </c>
      <c r="G28" t="s">
        <v>686</v>
      </c>
    </row>
    <row r="29" spans="2:9" x14ac:dyDescent="0.25">
      <c r="B29" s="11" t="s">
        <v>669</v>
      </c>
      <c r="C29" t="s">
        <v>670</v>
      </c>
      <c r="D29" t="s">
        <v>670</v>
      </c>
      <c r="G29" t="s">
        <v>670</v>
      </c>
    </row>
    <row r="30" spans="2:9" x14ac:dyDescent="0.25">
      <c r="B30">
        <v>6.3</v>
      </c>
      <c r="C30" s="28">
        <f t="shared" ref="C30:C45" si="0">$E$24+$E$25*(B30*1000000)^$E$26</f>
        <v>231372.33529150812</v>
      </c>
      <c r="D30" s="28">
        <f t="shared" ref="D30:D45" si="1">$D$73*(B30*1000000)^$D$74</f>
        <v>179467.51881831314</v>
      </c>
      <c r="G30" s="28">
        <f t="shared" ref="G30:G45" si="2">$I$24+$I$25*B30*1000000</f>
        <v>408520.38228059694</v>
      </c>
    </row>
    <row r="31" spans="2:9" x14ac:dyDescent="0.25">
      <c r="B31">
        <f>10</f>
        <v>10</v>
      </c>
      <c r="C31" s="28">
        <f t="shared" si="0"/>
        <v>340332.38436575793</v>
      </c>
      <c r="D31" s="28">
        <f t="shared" si="1"/>
        <v>253945.95751474303</v>
      </c>
      <c r="G31" s="28">
        <f t="shared" si="2"/>
        <v>444565.2441791044</v>
      </c>
    </row>
    <row r="32" spans="2:9" x14ac:dyDescent="0.25">
      <c r="B32">
        <v>20</v>
      </c>
      <c r="C32" s="28">
        <f t="shared" si="0"/>
        <v>552454.40950573783</v>
      </c>
      <c r="D32" s="28">
        <f t="shared" si="1"/>
        <v>427469.50625943864</v>
      </c>
      <c r="G32" s="28">
        <f t="shared" si="2"/>
        <v>541983.78985074617</v>
      </c>
    </row>
    <row r="33" spans="2:7" x14ac:dyDescent="0.25">
      <c r="B33">
        <v>30</v>
      </c>
      <c r="C33" s="28">
        <f t="shared" si="0"/>
        <v>710680.79927025677</v>
      </c>
      <c r="D33" s="28">
        <f t="shared" si="1"/>
        <v>579698.93498853222</v>
      </c>
      <c r="G33" s="28">
        <f t="shared" si="2"/>
        <v>639402.33552238799</v>
      </c>
    </row>
    <row r="34" spans="2:7" x14ac:dyDescent="0.25">
      <c r="B34">
        <v>40</v>
      </c>
      <c r="C34" s="28">
        <f t="shared" si="0"/>
        <v>841679.84372415696</v>
      </c>
      <c r="D34" s="28">
        <f t="shared" si="1"/>
        <v>719563.25105541409</v>
      </c>
      <c r="G34" s="28">
        <f t="shared" si="2"/>
        <v>736820.8811940297</v>
      </c>
    </row>
    <row r="35" spans="2:7" x14ac:dyDescent="0.25">
      <c r="B35">
        <v>50</v>
      </c>
      <c r="C35" s="28">
        <f t="shared" si="0"/>
        <v>955557.05096776178</v>
      </c>
      <c r="D35" s="28">
        <f t="shared" si="1"/>
        <v>850897.93184491829</v>
      </c>
      <c r="G35" s="28">
        <f t="shared" si="2"/>
        <v>834239.42686567153</v>
      </c>
    </row>
    <row r="36" spans="2:7" x14ac:dyDescent="0.25">
      <c r="B36">
        <v>60</v>
      </c>
      <c r="C36" s="28">
        <f t="shared" si="0"/>
        <v>1057419.3278925559</v>
      </c>
      <c r="D36" s="28">
        <f t="shared" si="1"/>
        <v>975812.41278189793</v>
      </c>
      <c r="G36" s="28">
        <f t="shared" si="2"/>
        <v>931657.97253731336</v>
      </c>
    </row>
    <row r="37" spans="2:7" x14ac:dyDescent="0.25">
      <c r="B37">
        <v>70</v>
      </c>
      <c r="C37" s="28">
        <f t="shared" si="0"/>
        <v>1150266.3596237169</v>
      </c>
      <c r="D37" s="28">
        <f t="shared" si="1"/>
        <v>1095628.8544160498</v>
      </c>
      <c r="G37" s="28">
        <f t="shared" si="2"/>
        <v>1029076.5182089551</v>
      </c>
    </row>
    <row r="38" spans="2:7" x14ac:dyDescent="0.25">
      <c r="B38">
        <v>80</v>
      </c>
      <c r="C38" s="28">
        <f t="shared" si="0"/>
        <v>1236034.7050056758</v>
      </c>
      <c r="D38" s="28">
        <f t="shared" si="1"/>
        <v>1211247.2695425241</v>
      </c>
      <c r="G38" s="28">
        <f t="shared" si="2"/>
        <v>1126495.0638805968</v>
      </c>
    </row>
    <row r="39" spans="2:7" x14ac:dyDescent="0.25">
      <c r="B39">
        <v>90</v>
      </c>
      <c r="C39" s="28">
        <f t="shared" si="0"/>
        <v>1316059.068579375</v>
      </c>
      <c r="D39" s="28">
        <f t="shared" si="1"/>
        <v>1323316.4194288442</v>
      </c>
      <c r="G39" s="28">
        <f t="shared" si="2"/>
        <v>1223913.6095522386</v>
      </c>
    </row>
    <row r="40" spans="2:7" x14ac:dyDescent="0.25">
      <c r="B40">
        <v>100</v>
      </c>
      <c r="C40" s="28">
        <f t="shared" si="0"/>
        <v>1391304.6949601755</v>
      </c>
      <c r="D40" s="28">
        <f t="shared" si="1"/>
        <v>1432324.1147944212</v>
      </c>
      <c r="G40" s="28">
        <f t="shared" si="2"/>
        <v>1321332.1552238804</v>
      </c>
    </row>
    <row r="41" spans="2:7" x14ac:dyDescent="0.25">
      <c r="B41">
        <v>110</v>
      </c>
      <c r="C41" s="28">
        <f t="shared" si="0"/>
        <v>1462495.9252633175</v>
      </c>
      <c r="D41" s="28">
        <f t="shared" si="1"/>
        <v>1538649.245403223</v>
      </c>
      <c r="G41" s="28">
        <f t="shared" si="2"/>
        <v>1418750.7008955223</v>
      </c>
    </row>
    <row r="42" spans="2:7" x14ac:dyDescent="0.25">
      <c r="B42">
        <v>120</v>
      </c>
      <c r="C42" s="28">
        <f t="shared" si="0"/>
        <v>1530192.4943511533</v>
      </c>
      <c r="D42" s="28">
        <f t="shared" si="1"/>
        <v>1642593.7800939109</v>
      </c>
      <c r="G42" s="28">
        <f t="shared" si="2"/>
        <v>1516169.2465671641</v>
      </c>
    </row>
    <row r="43" spans="2:7" x14ac:dyDescent="0.25">
      <c r="B43">
        <v>130</v>
      </c>
      <c r="C43" s="28">
        <f t="shared" si="0"/>
        <v>1594837.3739247788</v>
      </c>
      <c r="D43" s="28">
        <f t="shared" si="1"/>
        <v>1744403.4800517438</v>
      </c>
      <c r="G43" s="28">
        <f t="shared" si="2"/>
        <v>1613587.7922388057</v>
      </c>
    </row>
    <row r="44" spans="2:7" x14ac:dyDescent="0.25">
      <c r="B44">
        <v>140</v>
      </c>
      <c r="C44" s="28">
        <f t="shared" si="0"/>
        <v>1656788.1321714879</v>
      </c>
      <c r="D44" s="28">
        <f t="shared" si="1"/>
        <v>1844281.8701440985</v>
      </c>
      <c r="G44" s="28">
        <f t="shared" si="2"/>
        <v>1711006.3379104475</v>
      </c>
    </row>
    <row r="45" spans="2:7" x14ac:dyDescent="0.25">
      <c r="B45">
        <v>150</v>
      </c>
      <c r="C45" s="28">
        <f t="shared" si="0"/>
        <v>1716338.2529408515</v>
      </c>
      <c r="D45" s="28">
        <f t="shared" si="1"/>
        <v>1942399.9881778341</v>
      </c>
      <c r="G45" s="28">
        <f t="shared" si="2"/>
        <v>1808424.8835820893</v>
      </c>
    </row>
    <row r="46" spans="2:7" x14ac:dyDescent="0.25">
      <c r="C46" s="12"/>
      <c r="G46" s="12"/>
    </row>
    <row r="47" spans="2:7" x14ac:dyDescent="0.25">
      <c r="C47" s="12"/>
      <c r="G47" s="12"/>
    </row>
    <row r="48" spans="2:7" x14ac:dyDescent="0.25">
      <c r="B48" s="5" t="s">
        <v>673</v>
      </c>
      <c r="C48" s="12"/>
      <c r="G48" s="12"/>
    </row>
    <row r="49" spans="2:7" x14ac:dyDescent="0.25">
      <c r="C49" s="11" t="s">
        <v>666</v>
      </c>
      <c r="D49" s="11" t="s">
        <v>667</v>
      </c>
      <c r="E49" s="11" t="s">
        <v>668</v>
      </c>
      <c r="G49" s="12"/>
    </row>
    <row r="50" spans="2:7" x14ac:dyDescent="0.25">
      <c r="B50" t="s">
        <v>661</v>
      </c>
      <c r="C50" s="12">
        <v>320000</v>
      </c>
      <c r="D50">
        <f>C50*C12</f>
        <v>31744</v>
      </c>
      <c r="E50" s="1">
        <f>D50*C2/C6</f>
        <v>64435.582089552241</v>
      </c>
      <c r="G50" s="12"/>
    </row>
    <row r="51" spans="2:7" x14ac:dyDescent="0.25">
      <c r="B51" t="s">
        <v>662</v>
      </c>
      <c r="C51">
        <v>6</v>
      </c>
      <c r="D51">
        <f>C51*C12</f>
        <v>0.59519999999999995</v>
      </c>
      <c r="E51" s="1">
        <f>D51*C2/C6</f>
        <v>1.2081671641791043</v>
      </c>
    </row>
    <row r="53" spans="2:7" x14ac:dyDescent="0.25">
      <c r="B53" t="s">
        <v>675</v>
      </c>
      <c r="C53" t="s">
        <v>674</v>
      </c>
    </row>
    <row r="54" spans="2:7" x14ac:dyDescent="0.25">
      <c r="B54">
        <v>47</v>
      </c>
      <c r="C54" s="28">
        <f>$E$50+B54*1000*$E$51</f>
        <v>121219.43880597015</v>
      </c>
    </row>
    <row r="55" spans="2:7" x14ac:dyDescent="0.25">
      <c r="B55">
        <v>50</v>
      </c>
      <c r="C55" s="28">
        <f t="shared" ref="C55:C64" si="3">$E$50+B55*1000*$E$51</f>
        <v>124843.94029850746</v>
      </c>
    </row>
    <row r="56" spans="2:7" x14ac:dyDescent="0.25">
      <c r="B56">
        <v>60</v>
      </c>
      <c r="C56" s="28">
        <f t="shared" si="3"/>
        <v>136925.61194029849</v>
      </c>
    </row>
    <row r="57" spans="2:7" x14ac:dyDescent="0.25">
      <c r="B57">
        <v>70</v>
      </c>
      <c r="C57" s="28">
        <f t="shared" si="3"/>
        <v>149007.28358208956</v>
      </c>
    </row>
    <row r="58" spans="2:7" x14ac:dyDescent="0.25">
      <c r="B58">
        <v>80</v>
      </c>
      <c r="C58" s="28">
        <f t="shared" si="3"/>
        <v>161088.95522388059</v>
      </c>
    </row>
    <row r="59" spans="2:7" x14ac:dyDescent="0.25">
      <c r="B59">
        <v>90</v>
      </c>
      <c r="C59" s="28">
        <f t="shared" si="3"/>
        <v>173170.62686567163</v>
      </c>
    </row>
    <row r="60" spans="2:7" x14ac:dyDescent="0.25">
      <c r="B60">
        <v>100</v>
      </c>
      <c r="C60" s="28">
        <f t="shared" si="3"/>
        <v>185252.29850746266</v>
      </c>
    </row>
    <row r="61" spans="2:7" x14ac:dyDescent="0.25">
      <c r="B61">
        <v>110</v>
      </c>
      <c r="C61" s="28">
        <f t="shared" si="3"/>
        <v>197333.97014925373</v>
      </c>
    </row>
    <row r="62" spans="2:7" x14ac:dyDescent="0.25">
      <c r="B62">
        <v>120</v>
      </c>
      <c r="C62" s="28">
        <f t="shared" si="3"/>
        <v>209415.64179104476</v>
      </c>
    </row>
    <row r="63" spans="2:7" x14ac:dyDescent="0.25">
      <c r="B63">
        <v>130</v>
      </c>
      <c r="C63" s="28">
        <f t="shared" si="3"/>
        <v>221497.3134328358</v>
      </c>
    </row>
    <row r="64" spans="2:7" x14ac:dyDescent="0.25">
      <c r="B64">
        <v>140</v>
      </c>
      <c r="C64" s="28">
        <f t="shared" si="3"/>
        <v>233578.98507462686</v>
      </c>
    </row>
    <row r="70" spans="2:5" x14ac:dyDescent="0.25">
      <c r="B70" t="s">
        <v>205</v>
      </c>
    </row>
    <row r="72" spans="2:5" x14ac:dyDescent="0.25">
      <c r="B72" t="s">
        <v>664</v>
      </c>
      <c r="C72" s="11" t="s">
        <v>676</v>
      </c>
      <c r="D72" s="11" t="s">
        <v>668</v>
      </c>
    </row>
    <row r="73" spans="2:5" x14ac:dyDescent="0.25">
      <c r="B73" t="s">
        <v>662</v>
      </c>
      <c r="C73">
        <v>1.0334000000000001</v>
      </c>
      <c r="D73" s="30">
        <f>C73*C2/C7</f>
        <v>1.3984318407960199</v>
      </c>
    </row>
    <row r="74" spans="2:5" x14ac:dyDescent="0.25">
      <c r="B74" t="s">
        <v>663</v>
      </c>
      <c r="C74">
        <v>0.75129999999999997</v>
      </c>
      <c r="D74">
        <f>C74</f>
        <v>0.75129999999999997</v>
      </c>
    </row>
    <row r="76" spans="2:5" x14ac:dyDescent="0.25">
      <c r="B76" t="s">
        <v>673</v>
      </c>
      <c r="C76" s="11" t="s">
        <v>681</v>
      </c>
      <c r="D76" s="11" t="s">
        <v>668</v>
      </c>
    </row>
    <row r="77" spans="2:5" x14ac:dyDescent="0.25">
      <c r="B77" t="s">
        <v>679</v>
      </c>
      <c r="C77" s="28">
        <v>364000</v>
      </c>
      <c r="D77" s="28">
        <f>C77*C2/C7</f>
        <v>492577.11442786071</v>
      </c>
    </row>
    <row r="78" spans="2:5" x14ac:dyDescent="0.25">
      <c r="B78" t="s">
        <v>680</v>
      </c>
      <c r="C78" s="28">
        <v>408000</v>
      </c>
      <c r="D78" s="28">
        <f>C78*C2/C7</f>
        <v>552119.40298507467</v>
      </c>
    </row>
    <row r="80" spans="2:5" x14ac:dyDescent="0.25">
      <c r="B80" t="s">
        <v>682</v>
      </c>
      <c r="C80" t="s">
        <v>683</v>
      </c>
      <c r="D80" t="s">
        <v>684</v>
      </c>
      <c r="E80" t="s">
        <v>685</v>
      </c>
    </row>
    <row r="81" spans="2:5" x14ac:dyDescent="0.25">
      <c r="B81">
        <v>6</v>
      </c>
      <c r="C81" s="57">
        <f>3*D77</f>
        <v>1477731.343283582</v>
      </c>
      <c r="D81" s="57">
        <f>3*D78</f>
        <v>1656358.2089552241</v>
      </c>
      <c r="E81" s="57">
        <f>SUM(C81:D81)</f>
        <v>3134089.5522388062</v>
      </c>
    </row>
    <row r="84" spans="2:5" x14ac:dyDescent="0.25">
      <c r="B84" s="15" t="s">
        <v>848</v>
      </c>
    </row>
    <row r="85" spans="2:5" x14ac:dyDescent="0.25">
      <c r="B85" s="24" t="s">
        <v>851</v>
      </c>
      <c r="C85" t="s">
        <v>884</v>
      </c>
    </row>
    <row r="86" spans="2:5" x14ac:dyDescent="0.25">
      <c r="B86" t="s">
        <v>849</v>
      </c>
      <c r="C86">
        <v>150</v>
      </c>
      <c r="D86" t="s">
        <v>571</v>
      </c>
    </row>
    <row r="87" spans="2:5" x14ac:dyDescent="0.25">
      <c r="B87" t="s">
        <v>850</v>
      </c>
      <c r="C87">
        <f>2/3</f>
        <v>0.66666666666666663</v>
      </c>
    </row>
    <row r="88" spans="2:5" x14ac:dyDescent="0.25">
      <c r="B88" t="s">
        <v>852</v>
      </c>
      <c r="C88" s="168">
        <f>C87*G45</f>
        <v>1205616.5890547261</v>
      </c>
      <c r="D88" t="s">
        <v>853</v>
      </c>
    </row>
    <row r="90" spans="2:5" x14ac:dyDescent="0.25">
      <c r="B90" t="s">
        <v>854</v>
      </c>
      <c r="C90" s="168">
        <f>C88/C86</f>
        <v>8037.443927031507</v>
      </c>
      <c r="D90" t="s">
        <v>855</v>
      </c>
    </row>
    <row r="93" spans="2:5" x14ac:dyDescent="0.25">
      <c r="B93" s="24" t="s">
        <v>856</v>
      </c>
    </row>
    <row r="94" spans="2:5" x14ac:dyDescent="0.25">
      <c r="B94" t="s">
        <v>857</v>
      </c>
      <c r="C94">
        <f>2556</f>
        <v>2556</v>
      </c>
      <c r="D94" t="s">
        <v>858</v>
      </c>
      <c r="E94" t="s">
        <v>887</v>
      </c>
    </row>
    <row r="95" spans="2:5" x14ac:dyDescent="0.25">
      <c r="C95" s="21">
        <f>C94*C2/C4*C3</f>
        <v>4235.3066272844753</v>
      </c>
      <c r="D95" s="5" t="s">
        <v>859</v>
      </c>
    </row>
    <row r="96" spans="2:5" x14ac:dyDescent="0.25">
      <c r="E96" t="s">
        <v>875</v>
      </c>
    </row>
    <row r="97" spans="2:8" x14ac:dyDescent="0.25">
      <c r="B97" t="s">
        <v>873</v>
      </c>
      <c r="C97">
        <v>63900</v>
      </c>
      <c r="D97" t="s">
        <v>858</v>
      </c>
      <c r="E97">
        <v>6390</v>
      </c>
    </row>
    <row r="98" spans="2:8" x14ac:dyDescent="0.25">
      <c r="C98" s="21">
        <f>C97*C2/C4*C3</f>
        <v>105882.66568211188</v>
      </c>
      <c r="D98" s="5" t="s">
        <v>859</v>
      </c>
      <c r="E98" s="12">
        <f>E97*C2/C4*C3</f>
        <v>10588.266568211186</v>
      </c>
    </row>
    <row r="100" spans="2:8" x14ac:dyDescent="0.25">
      <c r="B100" t="s">
        <v>874</v>
      </c>
      <c r="C100">
        <v>128000</v>
      </c>
      <c r="D100" t="s">
        <v>858</v>
      </c>
    </row>
    <row r="101" spans="2:8" x14ac:dyDescent="0.25">
      <c r="C101" s="21">
        <f>C100*C2/C4*C3</f>
        <v>212096.73250876868</v>
      </c>
      <c r="D101" s="5" t="s">
        <v>859</v>
      </c>
    </row>
    <row r="102" spans="2:8" x14ac:dyDescent="0.25">
      <c r="B102" s="24" t="s">
        <v>860</v>
      </c>
    </row>
    <row r="103" spans="2:8" x14ac:dyDescent="0.25">
      <c r="B103" t="s">
        <v>866</v>
      </c>
      <c r="C103">
        <f>4700000/200</f>
        <v>23500</v>
      </c>
      <c r="D103" t="s">
        <v>885</v>
      </c>
      <c r="H103" s="56"/>
    </row>
    <row r="104" spans="2:8" x14ac:dyDescent="0.25">
      <c r="C104" s="5">
        <f>C103*C10</f>
        <v>28200</v>
      </c>
      <c r="D104" s="5" t="s">
        <v>878</v>
      </c>
    </row>
    <row r="106" spans="2:8" x14ac:dyDescent="0.25">
      <c r="B106" s="24" t="s">
        <v>867</v>
      </c>
    </row>
    <row r="107" spans="2:8" x14ac:dyDescent="0.25">
      <c r="B107" t="s">
        <v>868</v>
      </c>
    </row>
    <row r="108" spans="2:8" x14ac:dyDescent="0.25">
      <c r="B108" t="s">
        <v>870</v>
      </c>
      <c r="C108" t="s">
        <v>871</v>
      </c>
      <c r="D108" s="11" t="s">
        <v>876</v>
      </c>
      <c r="E108" s="5" t="s">
        <v>878</v>
      </c>
    </row>
    <row r="109" spans="2:8" x14ac:dyDescent="0.25">
      <c r="B109">
        <v>100</v>
      </c>
      <c r="C109">
        <f>(3.45+5.75)/2</f>
        <v>4.5999999999999996</v>
      </c>
      <c r="D109">
        <f>C109*1000000/B109</f>
        <v>46000</v>
      </c>
      <c r="E109" s="21">
        <f>D109*$C$2/$C$8*$C$3</f>
        <v>70496.158442888845</v>
      </c>
    </row>
    <row r="110" spans="2:8" x14ac:dyDescent="0.25">
      <c r="B110">
        <v>200</v>
      </c>
      <c r="C110">
        <f>(11.5+17.25)/2</f>
        <v>14.375</v>
      </c>
      <c r="D110">
        <f>C110*1000000/B110</f>
        <v>71875</v>
      </c>
      <c r="E110" s="21">
        <f>D110*$C$2/$C$8*$C$3</f>
        <v>110150.24756701382</v>
      </c>
    </row>
    <row r="111" spans="2:8" x14ac:dyDescent="0.25">
      <c r="E111" s="12"/>
    </row>
    <row r="112" spans="2:8" x14ac:dyDescent="0.25">
      <c r="B112" t="s">
        <v>872</v>
      </c>
      <c r="E112" s="12"/>
    </row>
    <row r="113" spans="1:6" x14ac:dyDescent="0.25">
      <c r="B113" t="s">
        <v>870</v>
      </c>
      <c r="C113" t="s">
        <v>871</v>
      </c>
      <c r="D113" s="11" t="s">
        <v>876</v>
      </c>
      <c r="E113" s="5" t="s">
        <v>878</v>
      </c>
    </row>
    <row r="114" spans="1:6" x14ac:dyDescent="0.25">
      <c r="B114">
        <f>50</f>
        <v>50</v>
      </c>
      <c r="C114">
        <f>(3.45+5.75)/2</f>
        <v>4.5999999999999996</v>
      </c>
      <c r="D114">
        <f>C114*1000000/B114</f>
        <v>92000</v>
      </c>
      <c r="E114" s="21">
        <f t="shared" ref="E114:E116" si="4">D114*$C$2/$C$8*$C$3</f>
        <v>140992.31688577769</v>
      </c>
    </row>
    <row r="115" spans="1:6" x14ac:dyDescent="0.25">
      <c r="B115">
        <v>100</v>
      </c>
      <c r="C115">
        <f>(5.75+11.5)/2</f>
        <v>8.625</v>
      </c>
      <c r="D115">
        <f t="shared" ref="D115:D116" si="5">C115*1000000/B115</f>
        <v>86250</v>
      </c>
      <c r="E115" s="21">
        <f t="shared" si="4"/>
        <v>132180.29708041661</v>
      </c>
    </row>
    <row r="116" spans="1:6" x14ac:dyDescent="0.25">
      <c r="B116">
        <v>200</v>
      </c>
      <c r="C116">
        <f>(11.5 + 23)/2</f>
        <v>17.25</v>
      </c>
      <c r="D116">
        <f t="shared" si="5"/>
        <v>86250</v>
      </c>
      <c r="E116" s="21">
        <f t="shared" si="4"/>
        <v>132180.29708041661</v>
      </c>
    </row>
    <row r="118" spans="1:6" x14ac:dyDescent="0.25">
      <c r="B118" t="s">
        <v>879</v>
      </c>
      <c r="F118" t="s">
        <v>883</v>
      </c>
    </row>
    <row r="119" spans="1:6" x14ac:dyDescent="0.25">
      <c r="B119" t="s">
        <v>869</v>
      </c>
      <c r="C119" t="s">
        <v>871</v>
      </c>
      <c r="D119" s="11" t="s">
        <v>876</v>
      </c>
      <c r="E119" t="s">
        <v>878</v>
      </c>
      <c r="F119" s="5" t="s">
        <v>878</v>
      </c>
    </row>
    <row r="120" spans="1:6" x14ac:dyDescent="0.25">
      <c r="A120" t="s">
        <v>880</v>
      </c>
      <c r="B120">
        <v>60</v>
      </c>
      <c r="C120">
        <f>(0.58+0.92)/2</f>
        <v>0.75</v>
      </c>
      <c r="D120">
        <f>C120*1000000/B120</f>
        <v>12500</v>
      </c>
      <c r="E120" s="12">
        <f>D120*$C$2/$C$8*$C$3</f>
        <v>19156.564794263275</v>
      </c>
      <c r="F120" s="21">
        <f>E120*2</f>
        <v>38313.12958852655</v>
      </c>
    </row>
    <row r="121" spans="1:6" x14ac:dyDescent="0.25">
      <c r="A121" t="s">
        <v>881</v>
      </c>
      <c r="B121">
        <v>100</v>
      </c>
      <c r="C121">
        <f>(2.76+2.99)/2</f>
        <v>2.875</v>
      </c>
      <c r="D121">
        <f t="shared" ref="D121:D122" si="6">C121*1000000/B121</f>
        <v>28750</v>
      </c>
      <c r="E121" s="12">
        <f t="shared" ref="E121:E122" si="7">D121*$C$2/$C$8*$C$3</f>
        <v>44060.099026805532</v>
      </c>
      <c r="F121" s="21">
        <f t="shared" ref="F121:F122" si="8">E121*2</f>
        <v>88120.198053611064</v>
      </c>
    </row>
    <row r="122" spans="1:6" x14ac:dyDescent="0.25">
      <c r="A122" t="s">
        <v>882</v>
      </c>
      <c r="B122">
        <v>200</v>
      </c>
      <c r="C122">
        <f>(2.53+2.76)/2</f>
        <v>2.6449999999999996</v>
      </c>
      <c r="D122">
        <f t="shared" si="6"/>
        <v>13224.999999999998</v>
      </c>
      <c r="E122" s="12">
        <f t="shared" si="7"/>
        <v>20267.645552330541</v>
      </c>
      <c r="F122" s="21">
        <f t="shared" si="8"/>
        <v>40535.291104661082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5"/>
  <sheetViews>
    <sheetView zoomScale="85" zoomScaleNormal="85" workbookViewId="0">
      <selection activeCell="T40" sqref="T40"/>
    </sheetView>
  </sheetViews>
  <sheetFormatPr defaultColWidth="8.85546875" defaultRowHeight="15" x14ac:dyDescent="0.25"/>
  <cols>
    <col min="1" max="1" width="15.42578125" bestFit="1" customWidth="1"/>
    <col min="2" max="2" width="21.7109375" customWidth="1"/>
    <col min="3" max="3" width="14.85546875" bestFit="1" customWidth="1"/>
    <col min="4" max="5" width="17.28515625" bestFit="1" customWidth="1"/>
    <col min="6" max="6" width="16.28515625" bestFit="1" customWidth="1"/>
    <col min="7" max="7" width="11.7109375" bestFit="1" customWidth="1"/>
    <col min="8" max="8" width="17" bestFit="1" customWidth="1"/>
    <col min="9" max="9" width="17" customWidth="1"/>
    <col min="10" max="10" width="15.28515625" bestFit="1" customWidth="1"/>
    <col min="11" max="11" width="13.85546875" customWidth="1"/>
    <col min="12" max="12" width="20.140625" bestFit="1" customWidth="1"/>
  </cols>
  <sheetData>
    <row r="1" spans="1:15" x14ac:dyDescent="0.25">
      <c r="A1" t="s">
        <v>433</v>
      </c>
      <c r="B1" s="11" t="s">
        <v>430</v>
      </c>
      <c r="C1" s="11" t="s">
        <v>431</v>
      </c>
      <c r="D1" s="11" t="s">
        <v>445</v>
      </c>
      <c r="F1" s="180" t="s">
        <v>435</v>
      </c>
      <c r="G1" s="180"/>
      <c r="H1" s="180"/>
    </row>
    <row r="2" spans="1:15" x14ac:dyDescent="0.25">
      <c r="B2" s="20"/>
      <c r="C2" s="32" t="s">
        <v>446</v>
      </c>
      <c r="D2" s="32" t="s">
        <v>432</v>
      </c>
      <c r="F2" s="32" t="s">
        <v>436</v>
      </c>
      <c r="G2" s="32" t="s">
        <v>437</v>
      </c>
      <c r="H2" s="32" t="s">
        <v>438</v>
      </c>
    </row>
    <row r="3" spans="1:15" x14ac:dyDescent="0.25">
      <c r="B3" t="s">
        <v>429</v>
      </c>
      <c r="C3">
        <v>1100</v>
      </c>
      <c r="D3">
        <v>5</v>
      </c>
      <c r="F3">
        <v>3</v>
      </c>
      <c r="G3">
        <v>4</v>
      </c>
      <c r="H3">
        <v>5</v>
      </c>
    </row>
    <row r="4" spans="1:15" x14ac:dyDescent="0.25">
      <c r="B4" t="s">
        <v>7</v>
      </c>
      <c r="C4">
        <v>1200</v>
      </c>
      <c r="D4">
        <v>5</v>
      </c>
      <c r="F4">
        <v>1.2</v>
      </c>
      <c r="G4">
        <v>2</v>
      </c>
      <c r="H4">
        <v>5</v>
      </c>
    </row>
    <row r="5" spans="1:15" x14ac:dyDescent="0.25">
      <c r="B5" s="20" t="s">
        <v>20</v>
      </c>
      <c r="C5" s="20">
        <v>2250</v>
      </c>
      <c r="D5" s="20">
        <v>5</v>
      </c>
      <c r="F5" s="20">
        <v>0.5</v>
      </c>
      <c r="G5" s="20">
        <v>1</v>
      </c>
      <c r="H5" s="20">
        <v>3</v>
      </c>
    </row>
    <row r="7" spans="1:15" x14ac:dyDescent="0.25">
      <c r="B7" s="20"/>
      <c r="K7" s="20"/>
      <c r="L7" s="20"/>
      <c r="M7" s="20"/>
    </row>
    <row r="8" spans="1:15" x14ac:dyDescent="0.25">
      <c r="B8" t="s">
        <v>430</v>
      </c>
      <c r="C8" s="182" t="s">
        <v>451</v>
      </c>
      <c r="D8" s="182"/>
      <c r="E8" s="182"/>
      <c r="F8" s="182"/>
      <c r="G8" s="182" t="s">
        <v>452</v>
      </c>
      <c r="H8" s="182"/>
      <c r="I8" s="182"/>
      <c r="J8" s="182"/>
      <c r="K8" s="180" t="s">
        <v>453</v>
      </c>
      <c r="L8" s="180"/>
      <c r="M8" s="180"/>
    </row>
    <row r="9" spans="1:15" x14ac:dyDescent="0.25">
      <c r="B9" s="20"/>
      <c r="C9" s="32" t="s">
        <v>447</v>
      </c>
      <c r="D9" s="32" t="s">
        <v>448</v>
      </c>
      <c r="E9" s="32" t="s">
        <v>434</v>
      </c>
      <c r="F9" s="32" t="s">
        <v>449</v>
      </c>
      <c r="G9" s="93" t="s">
        <v>450</v>
      </c>
      <c r="H9" s="32" t="s">
        <v>448</v>
      </c>
      <c r="I9" s="32" t="s">
        <v>434</v>
      </c>
      <c r="J9" s="32" t="s">
        <v>449</v>
      </c>
      <c r="K9" s="32" t="s">
        <v>442</v>
      </c>
      <c r="L9" s="32" t="s">
        <v>443</v>
      </c>
      <c r="M9" s="32" t="s">
        <v>444</v>
      </c>
    </row>
    <row r="10" spans="1:15" x14ac:dyDescent="0.25">
      <c r="B10" t="s">
        <v>429</v>
      </c>
      <c r="C10" s="7">
        <v>0.5</v>
      </c>
      <c r="D10" s="7">
        <v>0.15</v>
      </c>
      <c r="E10" s="7">
        <v>0.15</v>
      </c>
      <c r="F10" s="7">
        <v>0.2</v>
      </c>
      <c r="G10" s="135">
        <v>0.88</v>
      </c>
      <c r="H10">
        <v>0.75</v>
      </c>
      <c r="I10">
        <v>0.6</v>
      </c>
      <c r="J10">
        <v>0.68</v>
      </c>
      <c r="K10" s="4">
        <f t="shared" ref="K10:M12" si="0">1-(1-$G10)*EXP(-$C$14/F3)</f>
        <v>1</v>
      </c>
      <c r="L10" s="4">
        <f t="shared" si="0"/>
        <v>1</v>
      </c>
      <c r="M10" s="4">
        <f t="shared" si="0"/>
        <v>1</v>
      </c>
    </row>
    <row r="11" spans="1:15" x14ac:dyDescent="0.25">
      <c r="B11" t="s">
        <v>7</v>
      </c>
      <c r="C11" s="7">
        <v>0.6</v>
      </c>
      <c r="D11" s="7">
        <v>0.15</v>
      </c>
      <c r="E11" s="7">
        <v>0.1</v>
      </c>
      <c r="F11" s="7">
        <v>0.15</v>
      </c>
      <c r="G11" s="135">
        <v>0.89</v>
      </c>
      <c r="H11">
        <v>0.75</v>
      </c>
      <c r="I11">
        <v>0.6</v>
      </c>
      <c r="J11">
        <v>0.73</v>
      </c>
      <c r="K11" s="4">
        <f t="shared" si="0"/>
        <v>1</v>
      </c>
      <c r="L11" s="4">
        <f t="shared" si="0"/>
        <v>1</v>
      </c>
      <c r="M11" s="4">
        <f t="shared" si="0"/>
        <v>1</v>
      </c>
    </row>
    <row r="12" spans="1:15" x14ac:dyDescent="0.25">
      <c r="B12" s="20" t="s">
        <v>20</v>
      </c>
      <c r="C12" s="36">
        <v>0.3</v>
      </c>
      <c r="D12" s="36">
        <v>0.3</v>
      </c>
      <c r="E12" s="36">
        <v>0.06</v>
      </c>
      <c r="F12" s="36">
        <v>0.34</v>
      </c>
      <c r="G12" s="136">
        <v>0.87</v>
      </c>
      <c r="H12" s="20">
        <v>0.75</v>
      </c>
      <c r="I12" s="20">
        <v>0.6</v>
      </c>
      <c r="J12" s="20">
        <v>0.73</v>
      </c>
      <c r="K12" s="34">
        <f t="shared" si="0"/>
        <v>1</v>
      </c>
      <c r="L12" s="34">
        <f t="shared" si="0"/>
        <v>1</v>
      </c>
      <c r="M12" s="34">
        <f t="shared" si="0"/>
        <v>1</v>
      </c>
    </row>
    <row r="14" spans="1:15" x14ac:dyDescent="0.25">
      <c r="B14" s="10" t="s">
        <v>440</v>
      </c>
      <c r="C14" s="10">
        <v>1000</v>
      </c>
      <c r="D14" s="10" t="s">
        <v>439</v>
      </c>
      <c r="E14" s="7"/>
    </row>
    <row r="15" spans="1:15" x14ac:dyDescent="0.25">
      <c r="B15" s="10" t="s">
        <v>441</v>
      </c>
      <c r="C15" s="10">
        <f>D3</f>
        <v>5</v>
      </c>
      <c r="D15" s="10" t="s">
        <v>439</v>
      </c>
      <c r="O15" t="s">
        <v>513</v>
      </c>
    </row>
    <row r="16" spans="1:15" x14ac:dyDescent="0.25">
      <c r="B16" s="20"/>
      <c r="C16" s="20"/>
      <c r="D16" s="20"/>
      <c r="E16" s="20"/>
      <c r="F16" s="20"/>
      <c r="G16" s="20"/>
      <c r="H16" s="20"/>
      <c r="O16" t="s">
        <v>55</v>
      </c>
    </row>
    <row r="17" spans="2:18" x14ac:dyDescent="0.25">
      <c r="B17" t="s">
        <v>430</v>
      </c>
      <c r="C17" s="180" t="s">
        <v>457</v>
      </c>
      <c r="D17" s="180"/>
      <c r="E17" s="180"/>
      <c r="F17" s="181" t="s">
        <v>458</v>
      </c>
      <c r="G17" s="181"/>
      <c r="H17" s="181"/>
      <c r="J17" t="s">
        <v>512</v>
      </c>
      <c r="L17" t="s">
        <v>514</v>
      </c>
      <c r="M17" t="s">
        <v>54</v>
      </c>
      <c r="O17" t="s">
        <v>509</v>
      </c>
      <c r="P17" t="s">
        <v>510</v>
      </c>
      <c r="Q17" t="s">
        <v>511</v>
      </c>
      <c r="R17" t="s">
        <v>515</v>
      </c>
    </row>
    <row r="18" spans="2:18" x14ac:dyDescent="0.25">
      <c r="B18" s="20"/>
      <c r="C18" s="32">
        <v>2020</v>
      </c>
      <c r="D18" s="32">
        <v>2030</v>
      </c>
      <c r="E18" s="32">
        <v>2050</v>
      </c>
      <c r="F18" s="42">
        <v>2020</v>
      </c>
      <c r="G18" s="42">
        <v>2030</v>
      </c>
      <c r="H18" s="42">
        <v>2050</v>
      </c>
      <c r="J18">
        <f>$C$20*C11</f>
        <v>720</v>
      </c>
      <c r="K18" s="32" t="s">
        <v>447</v>
      </c>
      <c r="L18" s="147">
        <f>C11*($C$14/$C$15)^-(1-K11)*C20</f>
        <v>720</v>
      </c>
      <c r="M18" s="2">
        <f>L18/$L$22</f>
        <v>0.8723780436035411</v>
      </c>
      <c r="N18" s="32" t="s">
        <v>447</v>
      </c>
      <c r="O18" s="2">
        <v>0.50064868224909154</v>
      </c>
      <c r="P18" s="2">
        <v>0.6477213895729127</v>
      </c>
      <c r="Q18" s="2">
        <v>0.78134446619816322</v>
      </c>
      <c r="R18" s="2">
        <v>0.8723780436035411</v>
      </c>
    </row>
    <row r="19" spans="2:18" x14ac:dyDescent="0.25">
      <c r="B19" t="s">
        <v>429</v>
      </c>
      <c r="C19">
        <v>1100</v>
      </c>
      <c r="D19">
        <v>932</v>
      </c>
      <c r="E19">
        <v>511</v>
      </c>
      <c r="F19" s="21">
        <f>$C19*(C10*($C$14/$C$15)^-(1-K10)+D10*($C$14/$C$15)^-(1-H10)+E10*($C$14/$C$15)^-(1-I10)+F10*($C$14/$C$15)^-(1-J10))</f>
        <v>654.06768585437726</v>
      </c>
      <c r="G19" s="21">
        <f>$D19*(C10*($C$14/$C$15)^-(1-L10)+D10*($C$14/$C$15)^-(1-H10)+E10*($C$14/$C$15)^-(1-I10)+F10*($C$14/$C$15)^-(1-J10))</f>
        <v>554.17371201479966</v>
      </c>
      <c r="H19" s="21">
        <f>$E19*(C10*($C$14/$C$15)^-(1-M10)+D10*($C$14/$C$15)^-(1-H10)+E10*($C$14/$C$15)^-(1-I10)+F10*($C$14/$C$15)^-(1-J10))</f>
        <v>303.84417042871524</v>
      </c>
      <c r="J19">
        <f>C20*D11</f>
        <v>180</v>
      </c>
      <c r="K19" s="32" t="s">
        <v>448</v>
      </c>
      <c r="L19" s="147">
        <f>C20*D11*($C$14/$C$15)^-(1-H11)</f>
        <v>47.864663072504904</v>
      </c>
      <c r="M19" s="2">
        <f t="shared" ref="M19:M21" si="1">L19/$L$22</f>
        <v>5.799455712352012E-2</v>
      </c>
      <c r="N19" s="32" t="s">
        <v>448</v>
      </c>
      <c r="O19" s="2">
        <v>0.17330087874727898</v>
      </c>
      <c r="P19" s="2">
        <v>0.13616914422775137</v>
      </c>
      <c r="Q19" s="2">
        <v>9.2368746580997307E-2</v>
      </c>
      <c r="R19" s="2">
        <v>5.799455712352012E-2</v>
      </c>
    </row>
    <row r="20" spans="2:18" x14ac:dyDescent="0.25">
      <c r="B20" t="s">
        <v>7</v>
      </c>
      <c r="C20">
        <v>1200</v>
      </c>
      <c r="D20">
        <v>701</v>
      </c>
      <c r="E20">
        <v>308</v>
      </c>
      <c r="F20" s="21">
        <f>$C20*(C11*($C$14/$C$15)^-(1-K11)+D11*($C$14/$C$15)^-(1-H11)+E11*($C$14/$C$15)^-(1-I11)+F11*($C$14/$C$15)^-(1-J11))</f>
        <v>825.3302628134569</v>
      </c>
      <c r="G20" s="21">
        <f>$D20*(C11*($C$14/$C$15)^-(1-L11)+D11*($C$14/$C$15)^-(1-H11)+E11*($C$14/$C$15)^-(1-I11)+F11*($C$14/$C$15)^-(1-J11))</f>
        <v>482.13042852686107</v>
      </c>
      <c r="H20" s="21">
        <f>$E20*(C11*($C$14/$C$15)^-(1-M11)+D11*($C$14/$C$15)^-(1-H11)+E11*($C$14/$C$15)^-(1-I11)+F11*($C$14/$C$15)^-(1-J11))</f>
        <v>211.83476745545394</v>
      </c>
      <c r="J20">
        <f>C20*E11</f>
        <v>120</v>
      </c>
      <c r="K20" s="32" t="s">
        <v>434</v>
      </c>
      <c r="L20" s="147">
        <f>C20*E11*($C$14/$C$15)^-(1-I11)</f>
        <v>14.413493207777174</v>
      </c>
      <c r="M20" s="2">
        <f t="shared" si="1"/>
        <v>1.7463909730685526E-2</v>
      </c>
      <c r="N20" s="32" t="s">
        <v>434</v>
      </c>
      <c r="O20" s="2">
        <v>0.14708046914234688</v>
      </c>
      <c r="P20" s="2">
        <v>8.181500281905453E-2</v>
      </c>
      <c r="Q20" s="2">
        <v>3.9289752405195576E-2</v>
      </c>
      <c r="R20" s="2">
        <v>1.7463909730685526E-2</v>
      </c>
    </row>
    <row r="21" spans="2:18" x14ac:dyDescent="0.25">
      <c r="B21" s="20" t="s">
        <v>20</v>
      </c>
      <c r="C21" s="20">
        <f>C5</f>
        <v>2250</v>
      </c>
      <c r="D21" s="20">
        <v>1272</v>
      </c>
      <c r="E21" s="20">
        <v>508</v>
      </c>
      <c r="F21" s="38">
        <f>$C21*(C12*($C$14/$C$15)^-(1-K12)+D12*($C$14/$C$15)^-(1-H12)+E12*($C$14/$C$15)^-(1-I12)+F12*($C$14/$C$15)^-(1-J12))</f>
        <v>1053.6791191466364</v>
      </c>
      <c r="G21" s="38">
        <f>$D21*(C12*($C$14/$C$15)^-(1-L12)+D12*($C$14/$C$15)^-(1-H12)+E12*($C$14/$C$15)^-(1-I12)+F12*($C$14/$C$15)^-(1-J12))</f>
        <v>595.67992869089835</v>
      </c>
      <c r="H21" s="38">
        <f>$E21*(C12*($C$14/$C$15)^-(1-M12)+D12*($C$14/$C$15)^-(1-H12)+E12*($C$14/$C$15)^-(1-I12)+F12*($C$14/$C$15)^-(1-J12))</f>
        <v>237.89733001177387</v>
      </c>
      <c r="J21">
        <f>C20*F11</f>
        <v>180</v>
      </c>
      <c r="K21" s="32" t="s">
        <v>449</v>
      </c>
      <c r="L21" s="147">
        <f>C20*F11*($C$14/$C$15)^-(1-J11)</f>
        <v>43.052106533174978</v>
      </c>
      <c r="M21" s="2">
        <f t="shared" si="1"/>
        <v>5.2163489542253354E-2</v>
      </c>
      <c r="N21" s="32" t="s">
        <v>449</v>
      </c>
      <c r="O21" s="2">
        <v>0.17896996986128258</v>
      </c>
      <c r="P21" s="2">
        <v>0.1342944633802815</v>
      </c>
      <c r="Q21" s="2">
        <v>8.6997034815643845E-2</v>
      </c>
      <c r="R21" s="2">
        <v>5.2163489542253354E-2</v>
      </c>
    </row>
    <row r="22" spans="2:18" x14ac:dyDescent="0.25">
      <c r="L22" s="1">
        <f>SUM(L18:L21)</f>
        <v>825.33026281345701</v>
      </c>
    </row>
    <row r="23" spans="2:18" x14ac:dyDescent="0.25">
      <c r="B23" t="s">
        <v>516</v>
      </c>
    </row>
    <row r="24" spans="2:18" x14ac:dyDescent="0.25">
      <c r="B24">
        <v>1000</v>
      </c>
      <c r="C24">
        <v>825</v>
      </c>
    </row>
    <row r="26" spans="2:18" x14ac:dyDescent="0.25">
      <c r="F26" s="4"/>
      <c r="G26" s="4"/>
      <c r="H26" s="4"/>
    </row>
    <row r="27" spans="2:18" x14ac:dyDescent="0.25">
      <c r="F27" s="4"/>
      <c r="G27" s="4"/>
      <c r="H27" s="4"/>
    </row>
    <row r="28" spans="2:18" x14ac:dyDescent="0.25">
      <c r="B28" s="11" t="s">
        <v>454</v>
      </c>
      <c r="C28" t="s">
        <v>455</v>
      </c>
      <c r="D28" t="s">
        <v>517</v>
      </c>
      <c r="E28" s="11" t="s">
        <v>454</v>
      </c>
      <c r="F28" t="s">
        <v>456</v>
      </c>
      <c r="H28" s="11" t="s">
        <v>454</v>
      </c>
      <c r="I28" t="s">
        <v>456</v>
      </c>
    </row>
    <row r="29" spans="2:18" x14ac:dyDescent="0.25">
      <c r="B29" s="11" t="s">
        <v>432</v>
      </c>
      <c r="C29" s="12">
        <f>F20</f>
        <v>825.3302628134569</v>
      </c>
      <c r="E29" s="11" t="s">
        <v>432</v>
      </c>
      <c r="F29" s="12">
        <f>G20</f>
        <v>482.13042852686107</v>
      </c>
      <c r="H29" s="11" t="s">
        <v>432</v>
      </c>
      <c r="I29" s="12">
        <f>H20</f>
        <v>211.83476745545394</v>
      </c>
    </row>
    <row r="30" spans="2:18" x14ac:dyDescent="0.25">
      <c r="B30">
        <v>1</v>
      </c>
      <c r="C30" s="1">
        <f t="dataTable" ref="C30:C129" dt2D="0" dtr="0" r1="C14" ca="1"/>
        <v>1553.1530051404648</v>
      </c>
      <c r="D30">
        <f>1413.4*B30^(-0.094)</f>
        <v>1413.4</v>
      </c>
      <c r="E30">
        <v>1</v>
      </c>
      <c r="F30" s="1">
        <f t="dataTable" ref="F30:F129" dt2D="0" dtr="0" r1="C14" ca="1"/>
        <v>921.33918503901782</v>
      </c>
      <c r="H30">
        <v>1</v>
      </c>
      <c r="I30" s="1">
        <f t="dataTable" ref="I30:I129" dt2D="0" dtr="0" r1="C14"/>
        <v>412.6874135021763</v>
      </c>
    </row>
    <row r="31" spans="2:18" x14ac:dyDescent="0.25">
      <c r="B31">
        <v>2</v>
      </c>
      <c r="C31" s="1">
        <v>1363.8241370512694</v>
      </c>
      <c r="D31">
        <f t="shared" ref="D31:D94" si="2">1413.4*B31^(-0.094)</f>
        <v>1324.2447730094862</v>
      </c>
      <c r="E31">
        <v>2</v>
      </c>
      <c r="F31" s="1">
        <v>804.50517063518294</v>
      </c>
      <c r="H31">
        <v>2</v>
      </c>
      <c r="I31" s="1">
        <v>359.41349513528934</v>
      </c>
    </row>
    <row r="32" spans="2:18" x14ac:dyDescent="0.25">
      <c r="B32">
        <v>3</v>
      </c>
      <c r="C32" s="1">
        <v>1281.6721577354472</v>
      </c>
      <c r="D32">
        <f t="shared" si="2"/>
        <v>1274.7226099789918</v>
      </c>
      <c r="E32">
        <v>3</v>
      </c>
      <c r="F32" s="1">
        <v>752.07230995848988</v>
      </c>
      <c r="H32">
        <v>3</v>
      </c>
      <c r="I32" s="1">
        <v>333.89585267088995</v>
      </c>
    </row>
    <row r="33" spans="2:9" x14ac:dyDescent="0.25">
      <c r="B33">
        <v>4</v>
      </c>
      <c r="C33" s="1">
        <v>1233.3391475095289</v>
      </c>
      <c r="D33">
        <f t="shared" si="2"/>
        <v>1240.7133287412946</v>
      </c>
      <c r="E33">
        <v>4</v>
      </c>
      <c r="F33" s="1">
        <v>721.50667975176452</v>
      </c>
      <c r="H33">
        <v>4</v>
      </c>
      <c r="I33" s="1">
        <v>318.4446227707769</v>
      </c>
    </row>
    <row r="34" spans="2:9" x14ac:dyDescent="0.25">
      <c r="B34">
        <v>5</v>
      </c>
      <c r="C34" s="1">
        <v>1200</v>
      </c>
      <c r="D34">
        <f t="shared" si="2"/>
        <v>1214.9597947518846</v>
      </c>
      <c r="E34">
        <v>5</v>
      </c>
      <c r="F34" s="1">
        <v>701</v>
      </c>
      <c r="H34">
        <v>5</v>
      </c>
      <c r="I34" s="1">
        <v>308</v>
      </c>
    </row>
    <row r="35" spans="2:9" x14ac:dyDescent="0.25">
      <c r="B35">
        <v>6</v>
      </c>
      <c r="C35" s="1">
        <v>1174.7962087094397</v>
      </c>
      <c r="D35">
        <f t="shared" si="2"/>
        <v>1194.3149521025118</v>
      </c>
      <c r="E35">
        <v>6</v>
      </c>
      <c r="F35" s="1">
        <v>685.91385922715676</v>
      </c>
      <c r="H35">
        <v>6</v>
      </c>
      <c r="I35" s="1">
        <v>300.44306655314534</v>
      </c>
    </row>
    <row r="36" spans="2:9" x14ac:dyDescent="0.25">
      <c r="B36">
        <v>7</v>
      </c>
      <c r="C36" s="1">
        <v>1154.6573304267579</v>
      </c>
      <c r="D36">
        <f t="shared" si="2"/>
        <v>1177.1339113588733</v>
      </c>
      <c r="E36">
        <v>7</v>
      </c>
      <c r="F36" s="1">
        <v>674.08808004227797</v>
      </c>
      <c r="H36">
        <v>7</v>
      </c>
      <c r="I36" s="1">
        <v>294.7030740787132</v>
      </c>
    </row>
    <row r="37" spans="2:9" x14ac:dyDescent="0.25">
      <c r="B37">
        <v>8</v>
      </c>
      <c r="C37" s="1">
        <v>1137.9791558015465</v>
      </c>
      <c r="D37">
        <f t="shared" si="2"/>
        <v>1162.4509271181971</v>
      </c>
      <c r="E37">
        <v>8</v>
      </c>
      <c r="F37" s="1">
        <v>664.39907443205504</v>
      </c>
      <c r="H37">
        <v>8</v>
      </c>
      <c r="I37" s="1">
        <v>290.17454123044035</v>
      </c>
    </row>
    <row r="38" spans="2:9" x14ac:dyDescent="0.25">
      <c r="B38">
        <v>9</v>
      </c>
      <c r="C38" s="1">
        <v>1123.8181259217401</v>
      </c>
      <c r="D38">
        <f t="shared" si="2"/>
        <v>1149.651713875515</v>
      </c>
      <c r="E38">
        <v>9</v>
      </c>
      <c r="F38" s="1">
        <v>656.21013360751544</v>
      </c>
      <c r="H38">
        <v>9</v>
      </c>
      <c r="I38" s="1">
        <v>286.48869943800082</v>
      </c>
    </row>
    <row r="39" spans="2:9" x14ac:dyDescent="0.25">
      <c r="B39">
        <v>10</v>
      </c>
      <c r="C39" s="1">
        <v>1111.5686714789613</v>
      </c>
      <c r="D39">
        <f t="shared" si="2"/>
        <v>1138.3218887907608</v>
      </c>
      <c r="E39">
        <v>10</v>
      </c>
      <c r="F39" s="1">
        <v>649.1330492419653</v>
      </c>
      <c r="H39">
        <v>10</v>
      </c>
      <c r="I39" s="1">
        <v>283.40890312019371</v>
      </c>
    </row>
    <row r="40" spans="2:9" x14ac:dyDescent="0.25">
      <c r="B40">
        <v>11</v>
      </c>
      <c r="C40" s="1">
        <v>1100.8170802362185</v>
      </c>
      <c r="D40">
        <f t="shared" si="2"/>
        <v>1128.1690328105019</v>
      </c>
      <c r="E40">
        <v>11</v>
      </c>
      <c r="F40" s="1">
        <v>642.91540110664471</v>
      </c>
      <c r="H40">
        <v>11</v>
      </c>
      <c r="I40" s="1">
        <v>280.77730439866076</v>
      </c>
    </row>
    <row r="41" spans="2:9" x14ac:dyDescent="0.25">
      <c r="B41">
        <v>12</v>
      </c>
      <c r="C41" s="1">
        <v>1091.2676842643029</v>
      </c>
      <c r="D41">
        <f t="shared" si="2"/>
        <v>1118.9792929452567</v>
      </c>
      <c r="E41">
        <v>12</v>
      </c>
      <c r="F41" s="1">
        <v>637.38365597412246</v>
      </c>
      <c r="H41">
        <v>12</v>
      </c>
      <c r="I41" s="1">
        <v>278.48541399609587</v>
      </c>
    </row>
    <row r="42" spans="2:9" x14ac:dyDescent="0.25">
      <c r="B42">
        <v>13</v>
      </c>
      <c r="C42" s="1">
        <v>1082.701949366405</v>
      </c>
      <c r="D42">
        <f t="shared" si="2"/>
        <v>1110.5916703622731</v>
      </c>
      <c r="E42">
        <v>13</v>
      </c>
      <c r="F42" s="1">
        <v>632.41280267741365</v>
      </c>
      <c r="H42">
        <v>13</v>
      </c>
      <c r="I42" s="1">
        <v>276.45683711774296</v>
      </c>
    </row>
    <row r="43" spans="2:9" x14ac:dyDescent="0.25">
      <c r="B43">
        <v>14</v>
      </c>
      <c r="C43" s="1">
        <v>1074.9540494837038</v>
      </c>
      <c r="D43">
        <f t="shared" si="2"/>
        <v>1102.8820073929533</v>
      </c>
      <c r="E43">
        <v>14</v>
      </c>
      <c r="F43" s="1">
        <v>627.90929588008737</v>
      </c>
      <c r="H43">
        <v>14</v>
      </c>
      <c r="I43" s="1">
        <v>274.63666412633114</v>
      </c>
    </row>
    <row r="44" spans="2:9" x14ac:dyDescent="0.25">
      <c r="B44">
        <v>15</v>
      </c>
      <c r="C44" s="1">
        <v>1067.8954255196909</v>
      </c>
      <c r="D44">
        <f t="shared" si="2"/>
        <v>1095.7525969899973</v>
      </c>
      <c r="E44">
        <v>15</v>
      </c>
      <c r="F44" s="1">
        <v>623.80098904218971</v>
      </c>
      <c r="H44">
        <v>15</v>
      </c>
      <c r="I44" s="1">
        <v>272.98470639993695</v>
      </c>
    </row>
    <row r="45" spans="2:9" x14ac:dyDescent="0.25">
      <c r="B45">
        <v>16</v>
      </c>
      <c r="C45" s="1">
        <v>1061.4245901245954</v>
      </c>
      <c r="D45">
        <f t="shared" si="2"/>
        <v>1089.1252045537738</v>
      </c>
      <c r="E45">
        <v>16</v>
      </c>
      <c r="F45" s="1">
        <v>620.03089957768998</v>
      </c>
      <c r="H45">
        <v>16</v>
      </c>
      <c r="I45" s="1">
        <v>271.47105555748493</v>
      </c>
    </row>
    <row r="46" spans="2:9" x14ac:dyDescent="0.25">
      <c r="B46">
        <v>17</v>
      </c>
      <c r="C46" s="1">
        <v>1055.4601656987261</v>
      </c>
      <c r="D46">
        <f t="shared" si="2"/>
        <v>1082.9362423252048</v>
      </c>
      <c r="E46">
        <v>17</v>
      </c>
      <c r="F46" s="1">
        <v>616.55316659112702</v>
      </c>
      <c r="H46">
        <v>17</v>
      </c>
      <c r="I46" s="1">
        <v>270.07309842963707</v>
      </c>
    </row>
    <row r="47" spans="2:9" x14ac:dyDescent="0.25">
      <c r="B47">
        <v>18</v>
      </c>
      <c r="C47" s="1">
        <v>1049.9360001762197</v>
      </c>
      <c r="D47">
        <f t="shared" si="2"/>
        <v>1077.1333471636115</v>
      </c>
      <c r="E47">
        <v>18</v>
      </c>
      <c r="F47" s="1">
        <v>613.33031790896973</v>
      </c>
      <c r="H47">
        <v>18</v>
      </c>
      <c r="I47" s="1">
        <v>268.77347159937267</v>
      </c>
    </row>
    <row r="48" spans="2:9" x14ac:dyDescent="0.25">
      <c r="B48">
        <v>19</v>
      </c>
      <c r="C48" s="1">
        <v>1044.797662547523</v>
      </c>
      <c r="D48">
        <f t="shared" si="2"/>
        <v>1071.6728997247824</v>
      </c>
      <c r="E48">
        <v>19</v>
      </c>
      <c r="F48" s="1">
        <v>610.33135287306402</v>
      </c>
      <c r="H48">
        <v>19</v>
      </c>
      <c r="I48" s="1">
        <v>267.55863729724575</v>
      </c>
    </row>
    <row r="49" spans="2:9" x14ac:dyDescent="0.25">
      <c r="B49">
        <v>20</v>
      </c>
      <c r="C49" s="1">
        <v>1039.9998792023268</v>
      </c>
      <c r="D49">
        <f t="shared" si="2"/>
        <v>1066.5181910523918</v>
      </c>
      <c r="E49">
        <v>20</v>
      </c>
      <c r="F49" s="1">
        <v>607.53035460910428</v>
      </c>
      <c r="H49">
        <v>20</v>
      </c>
      <c r="I49" s="1">
        <v>266.4178785396798</v>
      </c>
    </row>
    <row r="50" spans="2:9" x14ac:dyDescent="0.25">
      <c r="B50">
        <v>21</v>
      </c>
      <c r="C50" s="1">
        <v>1035.5046262311039</v>
      </c>
      <c r="D50">
        <f t="shared" si="2"/>
        <v>1061.6380442777431</v>
      </c>
      <c r="E50">
        <v>21</v>
      </c>
      <c r="F50" s="1">
        <v>604.90545919485874</v>
      </c>
      <c r="H50">
        <v>21</v>
      </c>
      <c r="I50" s="1">
        <v>265.34258189027207</v>
      </c>
    </row>
    <row r="51" spans="2:9" x14ac:dyDescent="0.25">
      <c r="B51">
        <v>22</v>
      </c>
      <c r="C51" s="1">
        <v>1031.2796879776695</v>
      </c>
      <c r="D51">
        <f t="shared" si="2"/>
        <v>1057.0057625374802</v>
      </c>
      <c r="E51">
        <v>22</v>
      </c>
      <c r="F51" s="1">
        <v>602.43807360978246</v>
      </c>
      <c r="H51">
        <v>22</v>
      </c>
      <c r="I51" s="1">
        <v>264.32572031131627</v>
      </c>
    </row>
    <row r="52" spans="2:9" x14ac:dyDescent="0.25">
      <c r="B52">
        <v>23</v>
      </c>
      <c r="C52" s="1">
        <v>1027.2975527248959</v>
      </c>
      <c r="D52">
        <f t="shared" si="2"/>
        <v>1052.5983148305743</v>
      </c>
      <c r="E52">
        <v>23</v>
      </c>
      <c r="F52" s="1">
        <v>600.11227215518284</v>
      </c>
      <c r="H52">
        <v>23</v>
      </c>
      <c r="I52" s="1">
        <v>263.36147685591129</v>
      </c>
    </row>
    <row r="53" spans="2:9" x14ac:dyDescent="0.25">
      <c r="B53">
        <v>24</v>
      </c>
      <c r="C53" s="1">
        <v>1023.5345559508997</v>
      </c>
      <c r="D53">
        <f t="shared" si="2"/>
        <v>1048.3956981665538</v>
      </c>
      <c r="E53">
        <v>24</v>
      </c>
      <c r="F53" s="1">
        <v>597.91432401029408</v>
      </c>
      <c r="H53">
        <v>24</v>
      </c>
      <c r="I53" s="1">
        <v>262.44496849453526</v>
      </c>
    </row>
    <row r="54" spans="2:9" x14ac:dyDescent="0.25">
      <c r="B54">
        <v>25</v>
      </c>
      <c r="C54" s="1">
        <v>1019.9702079680389</v>
      </c>
      <c r="D54">
        <f t="shared" si="2"/>
        <v>1044.3804321943833</v>
      </c>
      <c r="E54">
        <v>25</v>
      </c>
      <c r="F54" s="1">
        <v>595.83231905979221</v>
      </c>
      <c r="H54">
        <v>25</v>
      </c>
      <c r="I54" s="1">
        <v>261.57204175603641</v>
      </c>
    </row>
    <row r="55" spans="2:9" x14ac:dyDescent="0.25">
      <c r="B55">
        <v>26</v>
      </c>
      <c r="C55" s="1">
        <v>1016.5866606725647</v>
      </c>
      <c r="D55">
        <f t="shared" si="2"/>
        <v>1040.5371546802849</v>
      </c>
      <c r="E55">
        <v>26</v>
      </c>
      <c r="F55" s="1">
        <v>593.85586856183545</v>
      </c>
      <c r="H55">
        <v>26</v>
      </c>
      <c r="I55" s="1">
        <v>260.73912026876957</v>
      </c>
    </row>
    <row r="56" spans="2:9" x14ac:dyDescent="0.25">
      <c r="B56">
        <v>27</v>
      </c>
      <c r="C56" s="1">
        <v>1013.3682805062406</v>
      </c>
      <c r="D56">
        <f t="shared" si="2"/>
        <v>1036.8522946640849</v>
      </c>
      <c r="E56">
        <v>27</v>
      </c>
      <c r="F56" s="1">
        <v>591.9758635760262</v>
      </c>
      <c r="H56">
        <v>27</v>
      </c>
      <c r="I56" s="1">
        <v>259.94309007011395</v>
      </c>
    </row>
    <row r="57" spans="2:9" x14ac:dyDescent="0.25">
      <c r="B57">
        <v>28</v>
      </c>
      <c r="C57" s="1">
        <v>1010.3013034081505</v>
      </c>
      <c r="D57">
        <f t="shared" si="2"/>
        <v>1033.3138060961708</v>
      </c>
      <c r="E57">
        <v>28</v>
      </c>
      <c r="F57" s="1">
        <v>590.18427846936538</v>
      </c>
      <c r="H57">
        <v>28</v>
      </c>
      <c r="I57" s="1">
        <v>259.1812125769813</v>
      </c>
    </row>
    <row r="58" spans="2:9" x14ac:dyDescent="0.25">
      <c r="B58">
        <v>29</v>
      </c>
      <c r="C58" s="1">
        <v>1007.3735537057594</v>
      </c>
      <c r="D58">
        <f t="shared" si="2"/>
        <v>1029.9109490345468</v>
      </c>
      <c r="E58">
        <v>29</v>
      </c>
      <c r="F58" s="1">
        <v>588.47400994093027</v>
      </c>
      <c r="H58">
        <v>29</v>
      </c>
      <c r="I58" s="1">
        <v>258.45105793868453</v>
      </c>
    </row>
    <row r="59" spans="2:9" x14ac:dyDescent="0.25">
      <c r="B59">
        <v>30</v>
      </c>
      <c r="C59" s="1">
        <v>1004.5742133406329</v>
      </c>
      <c r="D59">
        <f t="shared" si="2"/>
        <v>1026.6341085860863</v>
      </c>
      <c r="E59">
        <v>30</v>
      </c>
      <c r="F59" s="1">
        <v>586.83874426908733</v>
      </c>
      <c r="H59">
        <v>30</v>
      </c>
      <c r="I59" s="1">
        <v>257.75045349895208</v>
      </c>
    </row>
    <row r="60" spans="2:9" x14ac:dyDescent="0.25">
      <c r="B60">
        <v>31</v>
      </c>
      <c r="C60" s="1">
        <v>1001.8936310673157</v>
      </c>
      <c r="D60">
        <f t="shared" si="2"/>
        <v>1023.4746440573366</v>
      </c>
      <c r="E60">
        <v>31</v>
      </c>
      <c r="F60" s="1">
        <v>585.27284715345502</v>
      </c>
      <c r="H60">
        <v>31</v>
      </c>
      <c r="I60" s="1">
        <v>257.07744352608677</v>
      </c>
    </row>
    <row r="61" spans="2:9" x14ac:dyDescent="0.25">
      <c r="B61">
        <v>32</v>
      </c>
      <c r="C61" s="1">
        <v>999.32316365642851</v>
      </c>
      <c r="D61">
        <f t="shared" si="2"/>
        <v>1020.424762475748</v>
      </c>
      <c r="E61">
        <v>32</v>
      </c>
      <c r="F61" s="1">
        <v>583.77127177127625</v>
      </c>
      <c r="H61">
        <v>32</v>
      </c>
      <c r="I61" s="1">
        <v>256.43025739966129</v>
      </c>
    </row>
    <row r="62" spans="2:9" x14ac:dyDescent="0.25">
      <c r="B62">
        <v>33</v>
      </c>
      <c r="C62" s="1">
        <v>996.85504291705672</v>
      </c>
      <c r="D62">
        <f t="shared" si="2"/>
        <v>1017.4774119157194</v>
      </c>
      <c r="E62">
        <v>33</v>
      </c>
      <c r="F62" s="1">
        <v>582.32948161157265</v>
      </c>
      <c r="H62">
        <v>33</v>
      </c>
      <c r="I62" s="1">
        <v>255.80728418613486</v>
      </c>
    </row>
    <row r="63" spans="2:9" x14ac:dyDescent="0.25">
      <c r="B63">
        <v>34</v>
      </c>
      <c r="C63" s="1">
        <v>994.48226369708289</v>
      </c>
      <c r="D63">
        <f t="shared" si="2"/>
        <v>1014.6261910299185</v>
      </c>
      <c r="E63">
        <v>34</v>
      </c>
      <c r="F63" s="1">
        <v>580.94338537144779</v>
      </c>
      <c r="H63">
        <v>34</v>
      </c>
      <c r="I63" s="1">
        <v>255.20705207612164</v>
      </c>
    </row>
    <row r="64" spans="2:9" x14ac:dyDescent="0.25">
      <c r="B64">
        <v>35</v>
      </c>
      <c r="C64" s="1">
        <v>992.19848904152377</v>
      </c>
      <c r="D64">
        <f t="shared" si="2"/>
        <v>1011.8652719258948</v>
      </c>
      <c r="E64">
        <v>35</v>
      </c>
      <c r="F64" s="1">
        <v>579.60928175446998</v>
      </c>
      <c r="H64">
        <v>35</v>
      </c>
      <c r="I64" s="1">
        <v>254.62821155020237</v>
      </c>
    </row>
    <row r="65" spans="2:9" x14ac:dyDescent="0.25">
      <c r="B65">
        <v>36</v>
      </c>
      <c r="C65" s="1">
        <v>989.99796947222512</v>
      </c>
      <c r="D65">
        <f t="shared" si="2"/>
        <v>1009.1893340990694</v>
      </c>
      <c r="E65">
        <v>36</v>
      </c>
      <c r="F65" s="1">
        <v>578.32381244236944</v>
      </c>
      <c r="H65">
        <v>36</v>
      </c>
      <c r="I65" s="1">
        <v>254.06952142880488</v>
      </c>
    </row>
    <row r="66" spans="2:9" x14ac:dyDescent="0.25">
      <c r="B66">
        <v>37</v>
      </c>
      <c r="C66" s="1">
        <v>987.87547395797765</v>
      </c>
      <c r="D66">
        <f t="shared" si="2"/>
        <v>1006.5935075777062</v>
      </c>
      <c r="E66">
        <v>37</v>
      </c>
      <c r="F66" s="1">
        <v>577.08392184839681</v>
      </c>
      <c r="H66">
        <v>37</v>
      </c>
      <c r="I66" s="1">
        <v>253.52983717381358</v>
      </c>
    </row>
    <row r="67" spans="2:9" x14ac:dyDescent="0.25">
      <c r="B67">
        <v>38</v>
      </c>
      <c r="C67" s="1">
        <v>985.82623061609229</v>
      </c>
      <c r="D67">
        <f t="shared" si="2"/>
        <v>1004.0733237841109</v>
      </c>
      <c r="E67">
        <v>38</v>
      </c>
      <c r="F67" s="1">
        <v>575.88682252583442</v>
      </c>
      <c r="H67">
        <v>38</v>
      </c>
      <c r="I67" s="1">
        <v>253.0081009659917</v>
      </c>
    </row>
    <row r="68" spans="2:9" x14ac:dyDescent="0.25">
      <c r="B68">
        <v>39</v>
      </c>
      <c r="C68" s="1">
        <v>983.84587555698658</v>
      </c>
      <c r="D68">
        <f t="shared" si="2"/>
        <v>1001.6246728916974</v>
      </c>
      <c r="E68">
        <v>39</v>
      </c>
      <c r="F68" s="1">
        <v>574.72996531491572</v>
      </c>
      <c r="H68">
        <v>39</v>
      </c>
      <c r="I68" s="1">
        <v>252.50333319802215</v>
      </c>
    </row>
    <row r="69" spans="2:9" x14ac:dyDescent="0.25">
      <c r="B69">
        <v>40</v>
      </c>
      <c r="C69" s="1">
        <v>981.93040857616984</v>
      </c>
      <c r="D69">
        <f t="shared" si="2"/>
        <v>999.24376667656895</v>
      </c>
      <c r="E69">
        <v>40</v>
      </c>
      <c r="F69" s="1">
        <v>573.61101347828128</v>
      </c>
      <c r="H69">
        <v>40</v>
      </c>
      <c r="I69" s="1">
        <v>252.01462510886219</v>
      </c>
    </row>
    <row r="70" spans="2:9" x14ac:dyDescent="0.25">
      <c r="B70">
        <v>41</v>
      </c>
      <c r="C70" s="1">
        <v>980.07615463098898</v>
      </c>
      <c r="D70">
        <f t="shared" si="2"/>
        <v>996.92710603752562</v>
      </c>
      <c r="E70">
        <v>41</v>
      </c>
      <c r="F70" s="1">
        <v>572.52782020856728</v>
      </c>
      <c r="H70">
        <v>41</v>
      </c>
      <c r="I70" s="1">
        <v>251.54113234905955</v>
      </c>
    </row>
    <row r="71" spans="2:9" x14ac:dyDescent="0.25">
      <c r="B71">
        <v>42</v>
      </c>
      <c r="C71" s="1">
        <v>978.27973022598974</v>
      </c>
      <c r="D71">
        <f t="shared" si="2"/>
        <v>994.67145249951523</v>
      </c>
      <c r="E71">
        <v>42</v>
      </c>
      <c r="F71" s="1">
        <v>571.47840899902087</v>
      </c>
      <c r="H71">
        <v>42</v>
      </c>
      <c r="I71" s="1">
        <v>251.08206931446708</v>
      </c>
    </row>
    <row r="72" spans="2:9" x14ac:dyDescent="0.25">
      <c r="B72">
        <v>43</v>
      </c>
      <c r="C72" s="1">
        <v>976.53801398089092</v>
      </c>
      <c r="D72">
        <f t="shared" si="2"/>
        <v>992.47380312979908</v>
      </c>
      <c r="E72">
        <v>43</v>
      </c>
      <c r="F72" s="1">
        <v>570.46095645471848</v>
      </c>
      <c r="H72">
        <v>43</v>
      </c>
      <c r="I72" s="1">
        <v>250.63670412163688</v>
      </c>
    </row>
    <row r="73" spans="2:9" x14ac:dyDescent="0.25">
      <c r="B73">
        <v>44</v>
      </c>
      <c r="C73" s="1">
        <v>974.84812077674019</v>
      </c>
      <c r="D73">
        <f t="shared" si="2"/>
        <v>990.33136838910741</v>
      </c>
      <c r="E73">
        <v>44</v>
      </c>
      <c r="F73" s="1">
        <v>569.47377719234555</v>
      </c>
      <c r="H73">
        <v>44</v>
      </c>
      <c r="I73" s="1">
        <v>250.20435412517853</v>
      </c>
    </row>
    <row r="74" spans="2:9" x14ac:dyDescent="0.25">
      <c r="B74">
        <v>45</v>
      </c>
      <c r="C74" s="1">
        <v>973.20737897476079</v>
      </c>
      <c r="D74">
        <f t="shared" si="2"/>
        <v>988.24155251616514</v>
      </c>
      <c r="E74">
        <v>45</v>
      </c>
      <c r="F74" s="1">
        <v>568.51531053388999</v>
      </c>
      <c r="H74">
        <v>45</v>
      </c>
      <c r="I74" s="1">
        <v>249.78438189779848</v>
      </c>
    </row>
    <row r="75" spans="2:9" x14ac:dyDescent="0.25">
      <c r="B75">
        <v>46</v>
      </c>
      <c r="C75" s="1">
        <v>971.61331028332393</v>
      </c>
      <c r="D75">
        <f t="shared" si="2"/>
        <v>986.20193610653871</v>
      </c>
      <c r="E75">
        <v>46</v>
      </c>
      <c r="F75" s="1">
        <v>567.58410874663866</v>
      </c>
      <c r="H75">
        <v>46</v>
      </c>
      <c r="I75" s="1">
        <v>249.3761916092933</v>
      </c>
    </row>
    <row r="76" spans="2:9" x14ac:dyDescent="0.25">
      <c r="B76">
        <v>47</v>
      </c>
      <c r="C76" s="1">
        <v>970.06361191500218</v>
      </c>
      <c r="D76">
        <f t="shared" si="2"/>
        <v>984.21026059844212</v>
      </c>
      <c r="E76">
        <v>47</v>
      </c>
      <c r="F76" s="1">
        <v>566.67882662056127</v>
      </c>
      <c r="H76">
        <v>47</v>
      </c>
      <c r="I76" s="1">
        <v>248.97922575267819</v>
      </c>
    </row>
    <row r="77" spans="2:9" x14ac:dyDescent="0.25">
      <c r="B77">
        <v>48</v>
      </c>
      <c r="C77" s="1">
        <v>968.55614073057325</v>
      </c>
      <c r="D77">
        <f t="shared" si="2"/>
        <v>982.26441442103419</v>
      </c>
      <c r="E77">
        <v>48</v>
      </c>
      <c r="F77" s="1">
        <v>565.79821220615941</v>
      </c>
      <c r="H77">
        <v>48</v>
      </c>
      <c r="I77" s="1">
        <v>248.59296217481986</v>
      </c>
    </row>
    <row r="78" spans="2:9" x14ac:dyDescent="0.25">
      <c r="B78">
        <v>49</v>
      </c>
      <c r="C78" s="1">
        <v>967.08889911237316</v>
      </c>
      <c r="D78">
        <f t="shared" si="2"/>
        <v>980.36242059646247</v>
      </c>
      <c r="E78">
        <v>49</v>
      </c>
      <c r="F78" s="1">
        <v>564.94109856239345</v>
      </c>
      <c r="H78">
        <v>49</v>
      </c>
      <c r="I78" s="1">
        <v>248.21691137608639</v>
      </c>
    </row>
    <row r="79" spans="2:9" x14ac:dyDescent="0.25">
      <c r="B79">
        <v>50</v>
      </c>
      <c r="C79" s="1">
        <v>965.66002234732798</v>
      </c>
      <c r="D79">
        <f t="shared" si="2"/>
        <v>978.5024256168108</v>
      </c>
      <c r="E79">
        <v>50</v>
      </c>
      <c r="F79" s="1">
        <v>564.10639638641794</v>
      </c>
      <c r="H79">
        <v>50</v>
      </c>
      <c r="I79" s="1">
        <v>247.85061404913341</v>
      </c>
    </row>
    <row r="80" spans="2:9" x14ac:dyDescent="0.25">
      <c r="B80">
        <v>51</v>
      </c>
      <c r="C80" s="1">
        <v>964.26776733167162</v>
      </c>
      <c r="D80">
        <f t="shared" si="2"/>
        <v>976.68268944221518</v>
      </c>
      <c r="E80">
        <v>51</v>
      </c>
      <c r="F80" s="1">
        <v>563.29308741534646</v>
      </c>
      <c r="H80">
        <v>51</v>
      </c>
      <c r="I80" s="1">
        <v>247.49363883139051</v>
      </c>
    </row>
    <row r="81" spans="2:9" x14ac:dyDescent="0.25">
      <c r="B81">
        <v>52</v>
      </c>
      <c r="C81" s="1">
        <v>962.91050243596953</v>
      </c>
      <c r="D81">
        <f t="shared" si="2"/>
        <v>974.90157648756929</v>
      </c>
      <c r="E81">
        <v>52</v>
      </c>
      <c r="F81" s="1">
        <v>562.50021850579208</v>
      </c>
      <c r="H81">
        <v>52</v>
      </c>
      <c r="I81" s="1">
        <v>247.14558024937119</v>
      </c>
    </row>
    <row r="82" spans="2:9" x14ac:dyDescent="0.25">
      <c r="B82">
        <v>53</v>
      </c>
      <c r="C82" s="1">
        <v>961.58669839145875</v>
      </c>
      <c r="D82">
        <f t="shared" si="2"/>
        <v>973.15754748314714</v>
      </c>
      <c r="E82">
        <v>53</v>
      </c>
      <c r="F82" s="1">
        <v>561.72689631000537</v>
      </c>
      <c r="H82">
        <v>53</v>
      </c>
      <c r="I82" s="1">
        <v>246.80605683582024</v>
      </c>
    </row>
    <row r="83" spans="2:9" x14ac:dyDescent="0.25">
      <c r="B83">
        <v>54</v>
      </c>
      <c r="C83" s="1">
        <v>960.29492007764929</v>
      </c>
      <c r="D83">
        <f t="shared" si="2"/>
        <v>971.44915210966894</v>
      </c>
      <c r="E83">
        <v>54</v>
      </c>
      <c r="F83" s="1">
        <v>560.97228247848659</v>
      </c>
      <c r="H83">
        <v>54</v>
      </c>
      <c r="I83" s="1">
        <v>246.47470940307662</v>
      </c>
    </row>
    <row r="84" spans="2:9" x14ac:dyDescent="0.25">
      <c r="B84">
        <v>55</v>
      </c>
      <c r="C84" s="1">
        <v>959.03381910718338</v>
      </c>
      <c r="D84">
        <f t="shared" si="2"/>
        <v>969.77502232126733</v>
      </c>
      <c r="E84">
        <v>55</v>
      </c>
      <c r="F84" s="1">
        <v>560.23558932831986</v>
      </c>
      <c r="H84">
        <v>55</v>
      </c>
      <c r="I84" s="1">
        <v>246.15119945800072</v>
      </c>
    </row>
    <row r="85" spans="2:9" x14ac:dyDescent="0.25">
      <c r="B85">
        <v>56</v>
      </c>
      <c r="C85" s="1">
        <v>957.80212711760794</v>
      </c>
      <c r="D85">
        <f t="shared" si="2"/>
        <v>968.13386628087733</v>
      </c>
      <c r="E85">
        <v>56</v>
      </c>
      <c r="F85" s="1">
        <v>559.51607592445873</v>
      </c>
      <c r="H85">
        <v>56</v>
      </c>
      <c r="I85" s="1">
        <v>245.83520774546332</v>
      </c>
    </row>
    <row r="86" spans="2:9" x14ac:dyDescent="0.25">
      <c r="B86">
        <v>57</v>
      </c>
      <c r="C86" s="1">
        <v>956.59864969136459</v>
      </c>
      <c r="D86">
        <f t="shared" si="2"/>
        <v>966.52446284203256</v>
      </c>
      <c r="E86">
        <v>57</v>
      </c>
      <c r="F86" s="1">
        <v>558.81304452799168</v>
      </c>
      <c r="H86">
        <v>57</v>
      </c>
      <c r="I86" s="1">
        <v>245.5264329088003</v>
      </c>
    </row>
    <row r="87" spans="2:9" x14ac:dyDescent="0.25">
      <c r="B87">
        <v>58</v>
      </c>
      <c r="C87" s="1">
        <v>955.42226083528226</v>
      </c>
      <c r="D87">
        <f t="shared" si="2"/>
        <v>964.94565651920061</v>
      </c>
      <c r="E87">
        <v>58</v>
      </c>
      <c r="F87" s="1">
        <v>558.12583737124851</v>
      </c>
      <c r="H87">
        <v>58</v>
      </c>
      <c r="I87" s="1">
        <v>245.2245902568414</v>
      </c>
    </row>
    <row r="88" spans="2:9" x14ac:dyDescent="0.25">
      <c r="B88">
        <v>59</v>
      </c>
      <c r="C88" s="1">
        <v>954.27189795941081</v>
      </c>
      <c r="D88">
        <f t="shared" si="2"/>
        <v>963.39635289579326</v>
      </c>
      <c r="E88">
        <v>59</v>
      </c>
      <c r="F88" s="1">
        <v>557.45383372460481</v>
      </c>
      <c r="H88">
        <v>59</v>
      </c>
      <c r="I88" s="1">
        <v>244.92941062816686</v>
      </c>
    </row>
    <row r="89" spans="2:9" x14ac:dyDescent="0.25">
      <c r="B89">
        <v>60</v>
      </c>
      <c r="C89" s="1">
        <v>953.14655730241168</v>
      </c>
      <c r="D89">
        <f t="shared" si="2"/>
        <v>961.87551442505878</v>
      </c>
      <c r="E89">
        <v>60</v>
      </c>
      <c r="F89" s="1">
        <v>556.79644722414798</v>
      </c>
      <c r="H89">
        <v>60</v>
      </c>
      <c r="I89" s="1">
        <v>244.64063934416046</v>
      </c>
    </row>
    <row r="90" spans="2:9" x14ac:dyDescent="0.25">
      <c r="B90">
        <v>61</v>
      </c>
      <c r="C90" s="1">
        <v>952.04528975707433</v>
      </c>
      <c r="D90">
        <f t="shared" si="2"/>
        <v>960.38215658430079</v>
      </c>
      <c r="E90">
        <v>61</v>
      </c>
      <c r="F90" s="1">
        <v>556.15312343308437</v>
      </c>
      <c r="H90">
        <v>61</v>
      </c>
      <c r="I90" s="1">
        <v>244.35803524323305</v>
      </c>
    </row>
    <row r="91" spans="2:9" x14ac:dyDescent="0.25">
      <c r="B91">
        <v>62</v>
      </c>
      <c r="C91" s="1">
        <v>950.96719705503006</v>
      </c>
      <c r="D91">
        <f t="shared" si="2"/>
        <v>958.91534434744062</v>
      </c>
      <c r="E91">
        <v>62</v>
      </c>
      <c r="F91" s="1">
        <v>555.52333761297598</v>
      </c>
      <c r="H91">
        <v>62</v>
      </c>
      <c r="I91" s="1">
        <v>244.08136978930386</v>
      </c>
    </row>
    <row r="92" spans="2:9" x14ac:dyDescent="0.25">
      <c r="B92">
        <v>63</v>
      </c>
      <c r="C92" s="1">
        <v>949.91142827451745</v>
      </c>
      <c r="D92">
        <f t="shared" si="2"/>
        <v>957.47418894489704</v>
      </c>
      <c r="E92">
        <v>63</v>
      </c>
      <c r="F92" s="1">
        <v>554.90659268369484</v>
      </c>
      <c r="H92">
        <v>63</v>
      </c>
      <c r="I92" s="1">
        <v>243.81042624826745</v>
      </c>
    </row>
    <row r="93" spans="2:9" x14ac:dyDescent="0.25">
      <c r="B93">
        <v>64</v>
      </c>
      <c r="C93" s="1">
        <v>948.87717663918818</v>
      </c>
      <c r="D93">
        <f t="shared" si="2"/>
        <v>956.05784488322911</v>
      </c>
      <c r="E93">
        <v>64</v>
      </c>
      <c r="F93" s="1">
        <v>554.30241735339087</v>
      </c>
      <c r="H93">
        <v>64</v>
      </c>
      <c r="I93" s="1">
        <v>243.54499892673988</v>
      </c>
    </row>
    <row r="94" spans="2:9" x14ac:dyDescent="0.25">
      <c r="B94">
        <v>65</v>
      </c>
      <c r="C94" s="1">
        <v>947.86367657957123</v>
      </c>
      <c r="D94">
        <f t="shared" si="2"/>
        <v>954.66550720001396</v>
      </c>
      <c r="E94">
        <v>65</v>
      </c>
      <c r="F94" s="1">
        <v>553.71036440189857</v>
      </c>
      <c r="H94">
        <v>65</v>
      </c>
      <c r="I94" s="1">
        <v>243.2848924678955</v>
      </c>
    </row>
    <row r="95" spans="2:9" x14ac:dyDescent="0.25">
      <c r="B95">
        <v>66</v>
      </c>
      <c r="C95" s="1">
        <v>946.8702010319688</v>
      </c>
      <c r="D95">
        <f t="shared" ref="D95:D132" si="3">1413.4*B95^(-0.094)</f>
        <v>953.29640893208659</v>
      </c>
      <c r="E95">
        <v>66</v>
      </c>
      <c r="F95" s="1">
        <v>553.1300091028412</v>
      </c>
      <c r="H95">
        <v>66</v>
      </c>
      <c r="I95" s="1">
        <v>243.02992119966603</v>
      </c>
    </row>
    <row r="96" spans="2:9" x14ac:dyDescent="0.25">
      <c r="B96">
        <v>67</v>
      </c>
      <c r="C96" s="1">
        <v>945.89605895231966</v>
      </c>
      <c r="D96">
        <f t="shared" si="3"/>
        <v>951.94981877759824</v>
      </c>
      <c r="E96">
        <v>67</v>
      </c>
      <c r="F96" s="1">
        <v>552.56094777131307</v>
      </c>
      <c r="H96">
        <v>67</v>
      </c>
      <c r="I96" s="1">
        <v>242.77990853099161</v>
      </c>
    </row>
    <row r="97" spans="2:9" x14ac:dyDescent="0.25">
      <c r="B97">
        <v>68</v>
      </c>
      <c r="C97" s="1">
        <v>944.94059302499625</v>
      </c>
      <c r="D97">
        <f t="shared" si="3"/>
        <v>950.6250389344093</v>
      </c>
      <c r="E97">
        <v>68</v>
      </c>
      <c r="F97" s="1">
        <v>552.00279642543501</v>
      </c>
      <c r="H97">
        <v>68</v>
      </c>
      <c r="I97" s="1">
        <v>242.5346863921946</v>
      </c>
    </row>
    <row r="98" spans="2:9" x14ac:dyDescent="0.25">
      <c r="B98">
        <v>69</v>
      </c>
      <c r="C98" s="1">
        <v>944.00317754863033</v>
      </c>
      <c r="D98">
        <f t="shared" si="3"/>
        <v>949.32140309913564</v>
      </c>
      <c r="E98">
        <v>69</v>
      </c>
      <c r="F98" s="1">
        <v>551.45518955132479</v>
      </c>
      <c r="H98">
        <v>69</v>
      </c>
      <c r="I98" s="1">
        <v>242.29409471588764</v>
      </c>
    </row>
    <row r="99" spans="2:9" x14ac:dyDescent="0.25">
      <c r="B99">
        <v>70</v>
      </c>
      <c r="C99" s="1">
        <v>943.0832164829427</v>
      </c>
      <c r="D99">
        <f t="shared" si="3"/>
        <v>948.03827461276967</v>
      </c>
      <c r="E99">
        <v>70</v>
      </c>
      <c r="F99" s="1">
        <v>550.91777896211897</v>
      </c>
      <c r="H99">
        <v>70</v>
      </c>
      <c r="I99" s="1">
        <v>242.05798095514126</v>
      </c>
    </row>
    <row r="100" spans="2:9" x14ac:dyDescent="0.25">
      <c r="B100">
        <v>71</v>
      </c>
      <c r="C100" s="1">
        <v>942.18014164220767</v>
      </c>
      <c r="D100">
        <f t="shared" si="3"/>
        <v>946.77504474021396</v>
      </c>
      <c r="E100">
        <v>71</v>
      </c>
      <c r="F100" s="1">
        <v>550.39023274265639</v>
      </c>
      <c r="H100">
        <v>71</v>
      </c>
      <c r="I100" s="1">
        <v>241.82619963591972</v>
      </c>
    </row>
    <row r="101" spans="2:9" x14ac:dyDescent="0.25">
      <c r="B101">
        <v>72</v>
      </c>
      <c r="C101" s="1">
        <v>941.29341102245098</v>
      </c>
      <c r="D101">
        <f t="shared" si="3"/>
        <v>945.53113107231968</v>
      </c>
      <c r="E101">
        <v>72</v>
      </c>
      <c r="F101" s="1">
        <v>549.87223427228173</v>
      </c>
      <c r="H101">
        <v>72</v>
      </c>
      <c r="I101" s="1">
        <v>241.59861194105181</v>
      </c>
    </row>
    <row r="102" spans="2:9" x14ac:dyDescent="0.25">
      <c r="B102">
        <v>73</v>
      </c>
      <c r="C102" s="1">
        <v>940.42250725077042</v>
      </c>
      <c r="D102">
        <f t="shared" si="3"/>
        <v>944.30597604013963</v>
      </c>
      <c r="E102">
        <v>73</v>
      </c>
      <c r="F102" s="1">
        <v>549.36348131899172</v>
      </c>
      <c r="H102">
        <v>73</v>
      </c>
      <c r="I102" s="1">
        <v>241.37508532323608</v>
      </c>
    </row>
    <row r="103" spans="2:9" x14ac:dyDescent="0.25">
      <c r="B103">
        <v>74</v>
      </c>
      <c r="C103" s="1">
        <v>939.56693614633195</v>
      </c>
      <c r="D103">
        <f t="shared" si="3"/>
        <v>943.09904553209424</v>
      </c>
      <c r="E103">
        <v>74</v>
      </c>
      <c r="F103" s="1">
        <v>548.86368519881557</v>
      </c>
      <c r="H103">
        <v>74</v>
      </c>
      <c r="I103" s="1">
        <v>241.15549314479702</v>
      </c>
    </row>
    <row r="104" spans="2:9" x14ac:dyDescent="0.25">
      <c r="B104">
        <v>75</v>
      </c>
      <c r="C104" s="1">
        <v>938.72622538360304</v>
      </c>
      <c r="D104">
        <f t="shared" si="3"/>
        <v>941.90982760564009</v>
      </c>
      <c r="E104">
        <v>75</v>
      </c>
      <c r="F104" s="1">
        <v>548.37256999492138</v>
      </c>
      <c r="H104">
        <v>75</v>
      </c>
      <c r="I104" s="1">
        <v>240.93971434210059</v>
      </c>
    </row>
    <row r="105" spans="2:9" x14ac:dyDescent="0.25">
      <c r="B105">
        <v>76</v>
      </c>
      <c r="C105" s="1">
        <v>937.89992324930574</v>
      </c>
      <c r="D105">
        <f t="shared" si="3"/>
        <v>940.73783128581454</v>
      </c>
      <c r="E105">
        <v>76</v>
      </c>
      <c r="F105" s="1">
        <v>547.88987183146946</v>
      </c>
      <c r="H105">
        <v>76</v>
      </c>
      <c r="I105" s="1">
        <v>240.72763311271507</v>
      </c>
    </row>
    <row r="106" spans="2:9" x14ac:dyDescent="0.25">
      <c r="B106">
        <v>77</v>
      </c>
      <c r="C106" s="1">
        <v>937.0875974853825</v>
      </c>
      <c r="D106">
        <f t="shared" si="3"/>
        <v>939.58258544374064</v>
      </c>
      <c r="E106">
        <v>77</v>
      </c>
      <c r="F106" s="1">
        <v>547.41533819771087</v>
      </c>
      <c r="H106">
        <v>77</v>
      </c>
      <c r="I106" s="1">
        <v>240.51913862356702</v>
      </c>
    </row>
    <row r="107" spans="2:9" x14ac:dyDescent="0.25">
      <c r="B107">
        <v>78</v>
      </c>
      <c r="C107" s="1">
        <v>936.28883421098612</v>
      </c>
      <c r="D107">
        <f t="shared" si="3"/>
        <v>938.44363774880901</v>
      </c>
      <c r="E107">
        <v>78</v>
      </c>
      <c r="F107" s="1">
        <v>546.94872731825103</v>
      </c>
      <c r="H107">
        <v>78</v>
      </c>
      <c r="I107" s="1">
        <v>240.31412473848528</v>
      </c>
    </row>
    <row r="108" spans="2:9" x14ac:dyDescent="0.25">
      <c r="B108">
        <v>79</v>
      </c>
      <c r="C108" s="1">
        <v>935.50323691716596</v>
      </c>
      <c r="D108">
        <f t="shared" si="3"/>
        <v>937.32055368881709</v>
      </c>
      <c r="E108">
        <v>79</v>
      </c>
      <c r="F108" s="1">
        <v>546.48980756577782</v>
      </c>
      <c r="H108">
        <v>79</v>
      </c>
      <c r="I108" s="1">
        <v>240.11248976366426</v>
      </c>
    </row>
    <row r="109" spans="2:9" x14ac:dyDescent="0.25">
      <c r="B109">
        <v>80</v>
      </c>
      <c r="C109" s="1">
        <v>934.73042552849029</v>
      </c>
      <c r="D109">
        <f t="shared" si="3"/>
        <v>936.21291565286344</v>
      </c>
      <c r="E109">
        <v>80</v>
      </c>
      <c r="F109" s="1">
        <v>546.03835691289305</v>
      </c>
      <c r="H109">
        <v>80</v>
      </c>
      <c r="I109" s="1">
        <v>239.91413620969698</v>
      </c>
    </row>
    <row r="110" spans="2:9" x14ac:dyDescent="0.25">
      <c r="B110">
        <v>81</v>
      </c>
      <c r="C110" s="1">
        <v>933.97003552637705</v>
      </c>
      <c r="D110">
        <f t="shared" si="3"/>
        <v>935.12032207224354</v>
      </c>
      <c r="E110">
        <v>81</v>
      </c>
      <c r="F110" s="1">
        <v>545.5941624199919</v>
      </c>
      <c r="H110">
        <v>81</v>
      </c>
      <c r="I110" s="1">
        <v>239.71897056894241</v>
      </c>
    </row>
    <row r="111" spans="2:9" x14ac:dyDescent="0.25">
      <c r="B111">
        <v>82</v>
      </c>
      <c r="C111" s="1">
        <v>933.22171712936517</v>
      </c>
      <c r="D111">
        <f t="shared" si="3"/>
        <v>934.04238661501859</v>
      </c>
      <c r="E111">
        <v>82</v>
      </c>
      <c r="F111" s="1">
        <v>545.15701975640411</v>
      </c>
      <c r="H111">
        <v>82</v>
      </c>
      <c r="I111" s="1">
        <v>239.52690310709019</v>
      </c>
    </row>
    <row r="112" spans="2:9" x14ac:dyDescent="0.25">
      <c r="B112">
        <v>83</v>
      </c>
      <c r="C112" s="1">
        <v>932.48513452598559</v>
      </c>
      <c r="D112">
        <f t="shared" si="3"/>
        <v>932.97873743028742</v>
      </c>
      <c r="E112">
        <v>83</v>
      </c>
      <c r="F112" s="1">
        <v>544.72673275226327</v>
      </c>
      <c r="H112">
        <v>83</v>
      </c>
      <c r="I112" s="1">
        <v>239.3378476678829</v>
      </c>
    </row>
    <row r="113" spans="2:9" x14ac:dyDescent="0.25">
      <c r="B113">
        <v>84</v>
      </c>
      <c r="C113" s="1">
        <v>931.75996515626684</v>
      </c>
      <c r="D113">
        <f t="shared" si="3"/>
        <v>931.92901643854293</v>
      </c>
      <c r="E113">
        <v>84</v>
      </c>
      <c r="F113" s="1">
        <v>544.30311297878586</v>
      </c>
      <c r="H113">
        <v>84</v>
      </c>
      <c r="I113" s="1">
        <v>239.15172149003658</v>
      </c>
    </row>
    <row r="114" spans="2:9" x14ac:dyDescent="0.25">
      <c r="B114">
        <v>85</v>
      </c>
      <c r="C114" s="1">
        <v>931.04589903825342</v>
      </c>
      <c r="D114">
        <f t="shared" si="3"/>
        <v>930.8928786647856</v>
      </c>
      <c r="E114">
        <v>85</v>
      </c>
      <c r="F114" s="1">
        <v>543.88597935484631</v>
      </c>
      <c r="H114">
        <v>85</v>
      </c>
      <c r="I114" s="1">
        <v>238.96844503548081</v>
      </c>
    </row>
    <row r="115" spans="2:9" x14ac:dyDescent="0.25">
      <c r="B115">
        <v>86</v>
      </c>
      <c r="C115" s="1">
        <v>930.34263813622294</v>
      </c>
      <c r="D115">
        <f t="shared" si="3"/>
        <v>929.8699916113502</v>
      </c>
      <c r="E115">
        <v>86</v>
      </c>
      <c r="F115" s="1">
        <v>543.47515777791023</v>
      </c>
      <c r="H115">
        <v>86</v>
      </c>
      <c r="I115" s="1">
        <v>238.78794182810799</v>
      </c>
    </row>
    <row r="116" spans="2:9" x14ac:dyDescent="0.25">
      <c r="B116">
        <v>87</v>
      </c>
      <c r="C116" s="1">
        <v>929.64989576757091</v>
      </c>
      <c r="D116">
        <f t="shared" si="3"/>
        <v>928.86003466765101</v>
      </c>
      <c r="E116">
        <v>87</v>
      </c>
      <c r="F116" s="1">
        <v>543.07048077755599</v>
      </c>
      <c r="H116">
        <v>87</v>
      </c>
      <c r="I116" s="1">
        <v>238.61013830228768</v>
      </c>
    </row>
    <row r="117" spans="2:9" x14ac:dyDescent="0.25">
      <c r="B117">
        <v>88</v>
      </c>
      <c r="C117" s="1">
        <v>928.96739604557911</v>
      </c>
      <c r="D117">
        <f t="shared" si="3"/>
        <v>927.86269855427156</v>
      </c>
      <c r="E117">
        <v>88</v>
      </c>
      <c r="F117" s="1">
        <v>542.6717871899591</v>
      </c>
      <c r="H117">
        <v>88</v>
      </c>
      <c r="I117" s="1">
        <v>238.43496366045986</v>
      </c>
    </row>
    <row r="118" spans="2:9" x14ac:dyDescent="0.25">
      <c r="B118">
        <v>89</v>
      </c>
      <c r="C118" s="1">
        <v>928.29487335551744</v>
      </c>
      <c r="D118">
        <f t="shared" si="3"/>
        <v>926.87768479903775</v>
      </c>
      <c r="E118">
        <v>89</v>
      </c>
      <c r="F118" s="1">
        <v>542.27892185184805</v>
      </c>
      <c r="H118">
        <v>89</v>
      </c>
      <c r="I118" s="1">
        <v>238.26234973917545</v>
      </c>
    </row>
    <row r="119" spans="2:9" x14ac:dyDescent="0.25">
      <c r="B119">
        <v>90</v>
      </c>
      <c r="C119" s="1">
        <v>927.63207186173724</v>
      </c>
      <c r="D119">
        <f t="shared" si="3"/>
        <v>925.90470524289765</v>
      </c>
      <c r="E119">
        <v>90</v>
      </c>
      <c r="F119" s="1">
        <v>541.89173531256483</v>
      </c>
      <c r="H119">
        <v>90</v>
      </c>
      <c r="I119" s="1">
        <v>238.09223088300112</v>
      </c>
    </row>
    <row r="120" spans="2:9" x14ac:dyDescent="0.25">
      <c r="B120">
        <v>91</v>
      </c>
      <c r="C120" s="1">
        <v>926.97874504359493</v>
      </c>
      <c r="D120">
        <f t="shared" si="3"/>
        <v>924.94348157360048</v>
      </c>
      <c r="E120">
        <v>91</v>
      </c>
      <c r="F120" s="1">
        <v>541.51008356296666</v>
      </c>
      <c r="H120">
        <v>91</v>
      </c>
      <c r="I120" s="1">
        <v>237.92454382575161</v>
      </c>
    </row>
    <row r="121" spans="2:9" x14ac:dyDescent="0.25">
      <c r="B121">
        <v>92</v>
      </c>
      <c r="C121" s="1">
        <v>926.33465525823124</v>
      </c>
      <c r="D121">
        <f t="shared" si="3"/>
        <v>923.99374488532544</v>
      </c>
      <c r="E121">
        <v>92</v>
      </c>
      <c r="F121" s="1">
        <v>541.13382778001676</v>
      </c>
      <c r="H121">
        <v>92</v>
      </c>
      <c r="I121" s="1">
        <v>237.75922757855238</v>
      </c>
    </row>
    <row r="122" spans="2:9" x14ac:dyDescent="0.25">
      <c r="B122">
        <v>93</v>
      </c>
      <c r="C122" s="1">
        <v>925.69957332837191</v>
      </c>
      <c r="D122">
        <f t="shared" si="3"/>
        <v>923.05523526254979</v>
      </c>
      <c r="E122">
        <v>93</v>
      </c>
      <c r="F122" s="1">
        <v>540.76283408599056</v>
      </c>
      <c r="H122">
        <v>93</v>
      </c>
      <c r="I122" s="1">
        <v>237.59622332427634</v>
      </c>
    </row>
    <row r="123" spans="2:9" x14ac:dyDescent="0.25">
      <c r="B123">
        <v>94</v>
      </c>
      <c r="C123" s="1">
        <v>925.07327815346946</v>
      </c>
      <c r="D123">
        <f t="shared" si="3"/>
        <v>922.12770138657925</v>
      </c>
      <c r="E123">
        <v>94</v>
      </c>
      <c r="F123" s="1">
        <v>540.39697332131846</v>
      </c>
      <c r="H123">
        <v>94</v>
      </c>
      <c r="I123" s="1">
        <v>237.43547431792825</v>
      </c>
    </row>
    <row r="124" spans="2:9" x14ac:dyDescent="0.25">
      <c r="B124">
        <v>95</v>
      </c>
      <c r="C124" s="1">
        <v>924.45555634262973</v>
      </c>
      <c r="D124">
        <f t="shared" si="3"/>
        <v>921.21090016327878</v>
      </c>
      <c r="E124">
        <v>95</v>
      </c>
      <c r="F124" s="1">
        <v>540.03612083015287</v>
      </c>
      <c r="H124">
        <v>95</v>
      </c>
      <c r="I124" s="1">
        <v>237.2769257925888</v>
      </c>
    </row>
    <row r="125" spans="2:9" x14ac:dyDescent="0.25">
      <c r="B125">
        <v>96</v>
      </c>
      <c r="C125" s="1">
        <v>923.84620186788936</v>
      </c>
      <c r="D125">
        <f t="shared" si="3"/>
        <v>920.3045963706511</v>
      </c>
      <c r="E125">
        <v>96</v>
      </c>
      <c r="F125" s="1">
        <v>539.68015625782539</v>
      </c>
      <c r="H125">
        <v>96</v>
      </c>
      <c r="I125" s="1">
        <v>237.12052487055141</v>
      </c>
    </row>
    <row r="126" spans="2:9" x14ac:dyDescent="0.25">
      <c r="B126">
        <v>97</v>
      </c>
      <c r="C126" s="1">
        <v>923.2450157365148</v>
      </c>
      <c r="D126">
        <f t="shared" si="3"/>
        <v>919.40856232501051</v>
      </c>
      <c r="E126">
        <v>97</v>
      </c>
      <c r="F126" s="1">
        <v>539.32896335941405</v>
      </c>
      <c r="H126">
        <v>97</v>
      </c>
      <c r="I126" s="1">
        <v>236.96622047932112</v>
      </c>
    </row>
    <row r="127" spans="2:9" x14ac:dyDescent="0.25">
      <c r="B127">
        <v>98</v>
      </c>
      <c r="C127" s="1">
        <v>922.65180568109577</v>
      </c>
      <c r="D127">
        <f t="shared" si="3"/>
        <v>918.52257756459073</v>
      </c>
      <c r="E127">
        <v>98</v>
      </c>
      <c r="F127" s="1">
        <v>538.98242981870681</v>
      </c>
      <c r="H127">
        <v>98</v>
      </c>
      <c r="I127" s="1">
        <v>236.81396327215899</v>
      </c>
    </row>
    <row r="128" spans="2:9" x14ac:dyDescent="0.25">
      <c r="B128">
        <v>99</v>
      </c>
      <c r="C128" s="1">
        <v>922.06638586629879</v>
      </c>
      <c r="D128">
        <f t="shared" si="3"/>
        <v>917.64642854950864</v>
      </c>
      <c r="E128">
        <v>99</v>
      </c>
      <c r="F128" s="1">
        <v>538.64044707689618</v>
      </c>
      <c r="H128">
        <v>99</v>
      </c>
      <c r="I128" s="1">
        <v>236.66370555288896</v>
      </c>
    </row>
    <row r="129" spans="2:9" x14ac:dyDescent="0.25">
      <c r="B129">
        <v>100</v>
      </c>
      <c r="C129" s="1">
        <v>921.48857661122122</v>
      </c>
      <c r="D129">
        <f t="shared" si="3"/>
        <v>916.77990837708012</v>
      </c>
      <c r="E129">
        <v>100</v>
      </c>
      <c r="F129" s="1">
        <v>538.30291017038837</v>
      </c>
      <c r="H129">
        <v>100</v>
      </c>
      <c r="I129" s="1">
        <v>236.51540120469491</v>
      </c>
    </row>
    <row r="130" spans="2:9" x14ac:dyDescent="0.25">
      <c r="B130">
        <v>300</v>
      </c>
      <c r="C130">
        <v>868</v>
      </c>
      <c r="D130">
        <f t="shared" si="3"/>
        <v>826.8289780548555</v>
      </c>
    </row>
    <row r="131" spans="2:9" x14ac:dyDescent="0.25">
      <c r="B131">
        <v>600</v>
      </c>
      <c r="C131">
        <v>841</v>
      </c>
      <c r="D131">
        <f t="shared" si="3"/>
        <v>774.67380243520404</v>
      </c>
    </row>
    <row r="132" spans="2:9" x14ac:dyDescent="0.25">
      <c r="B132">
        <v>1000</v>
      </c>
      <c r="C132">
        <v>825</v>
      </c>
      <c r="D132">
        <f t="shared" si="3"/>
        <v>738.35477353135593</v>
      </c>
    </row>
    <row r="134" spans="2:9" x14ac:dyDescent="0.25">
      <c r="B134" s="11" t="s">
        <v>454</v>
      </c>
      <c r="C134" t="s">
        <v>459</v>
      </c>
      <c r="E134" s="11" t="s">
        <v>454</v>
      </c>
      <c r="F134" t="s">
        <v>460</v>
      </c>
      <c r="H134" s="11" t="s">
        <v>454</v>
      </c>
      <c r="I134" t="s">
        <v>460</v>
      </c>
    </row>
    <row r="135" spans="2:9" x14ac:dyDescent="0.25">
      <c r="B135" s="11" t="s">
        <v>432</v>
      </c>
      <c r="C135" s="12">
        <f>F21</f>
        <v>1053.6791191466364</v>
      </c>
      <c r="E135" s="11" t="s">
        <v>432</v>
      </c>
      <c r="F135" s="12">
        <f>G21</f>
        <v>595.67992869089835</v>
      </c>
      <c r="H135" s="11" t="s">
        <v>432</v>
      </c>
      <c r="I135" s="12">
        <f>H21</f>
        <v>237.89733001177387</v>
      </c>
    </row>
    <row r="136" spans="2:9" x14ac:dyDescent="0.25">
      <c r="B136">
        <v>1</v>
      </c>
      <c r="C136" s="1">
        <f t="dataTable" ref="C136:C235" dt2D="0" dtr="0" r1="C14" ca="1"/>
        <v>3142.102961361551</v>
      </c>
      <c r="E136">
        <v>1</v>
      </c>
      <c r="F136" s="1">
        <f t="dataTable" ref="F136:F235" dt2D="0" dtr="0" r1="C14" ca="1"/>
        <v>1795.907612399461</v>
      </c>
      <c r="H136">
        <v>1</v>
      </c>
      <c r="I136" s="1">
        <f t="dataTable" ref="I136:I235" dt2D="0" dtr="0" r1="C14" ca="1"/>
        <v>729.68897893846281</v>
      </c>
    </row>
    <row r="137" spans="2:9" x14ac:dyDescent="0.25">
      <c r="B137">
        <v>2</v>
      </c>
      <c r="C137" s="1">
        <v>2699.7336824726026</v>
      </c>
      <c r="E137">
        <v>2</v>
      </c>
      <c r="F137" s="1">
        <v>1531.6175548598651</v>
      </c>
      <c r="H137">
        <v>2</v>
      </c>
      <c r="I137" s="1">
        <v>618.81826150328379</v>
      </c>
    </row>
    <row r="138" spans="2:9" x14ac:dyDescent="0.25">
      <c r="B138">
        <v>3</v>
      </c>
      <c r="C138" s="1">
        <v>2485.7977295058395</v>
      </c>
      <c r="E138">
        <v>3</v>
      </c>
      <c r="F138" s="1">
        <v>1406.5052410211335</v>
      </c>
      <c r="H138">
        <v>3</v>
      </c>
      <c r="I138" s="1">
        <v>564.98176493684241</v>
      </c>
    </row>
    <row r="139" spans="2:9" x14ac:dyDescent="0.25">
      <c r="B139">
        <v>4</v>
      </c>
      <c r="C139" s="1">
        <v>2348.8431027725005</v>
      </c>
      <c r="E139">
        <v>4</v>
      </c>
      <c r="F139" s="1">
        <v>1328.0783898726254</v>
      </c>
      <c r="H139">
        <v>4</v>
      </c>
      <c r="I139" s="1">
        <v>531.48490173177049</v>
      </c>
    </row>
    <row r="140" spans="2:9" x14ac:dyDescent="0.25">
      <c r="B140">
        <v>5</v>
      </c>
      <c r="C140" s="1">
        <v>2250</v>
      </c>
      <c r="E140">
        <v>5</v>
      </c>
      <c r="F140" s="1">
        <v>1272</v>
      </c>
      <c r="H140">
        <v>5</v>
      </c>
      <c r="I140" s="1">
        <v>508</v>
      </c>
    </row>
    <row r="141" spans="2:9" x14ac:dyDescent="0.25">
      <c r="B141">
        <v>6</v>
      </c>
      <c r="C141" s="1">
        <v>2173.6822191963356</v>
      </c>
      <c r="E141">
        <v>6</v>
      </c>
      <c r="F141" s="1">
        <v>1228.8326514749688</v>
      </c>
      <c r="H141">
        <v>6</v>
      </c>
      <c r="I141" s="1">
        <v>490.28109446709828</v>
      </c>
    </row>
    <row r="142" spans="2:9" x14ac:dyDescent="0.25">
      <c r="B142">
        <v>7</v>
      </c>
      <c r="C142" s="1">
        <v>2112.1080259989108</v>
      </c>
      <c r="E142">
        <v>7</v>
      </c>
      <c r="F142" s="1">
        <v>1194.0298640076217</v>
      </c>
      <c r="H142">
        <v>7</v>
      </c>
      <c r="I142" s="1">
        <v>476.22199776409985</v>
      </c>
    </row>
    <row r="143" spans="2:9" x14ac:dyDescent="0.25">
      <c r="B143">
        <v>8</v>
      </c>
      <c r="C143" s="1">
        <v>2060.860098081891</v>
      </c>
      <c r="E143">
        <v>8</v>
      </c>
      <c r="F143" s="1">
        <v>1165.0650898598005</v>
      </c>
      <c r="H143">
        <v>8</v>
      </c>
      <c r="I143" s="1">
        <v>464.65077591342322</v>
      </c>
    </row>
    <row r="144" spans="2:9" x14ac:dyDescent="0.25">
      <c r="B144">
        <v>9</v>
      </c>
      <c r="C144" s="1">
        <v>2017.2057814643385</v>
      </c>
      <c r="E144">
        <v>9</v>
      </c>
      <c r="F144" s="1">
        <v>1140.3900704188504</v>
      </c>
      <c r="H144">
        <v>9</v>
      </c>
      <c r="I144" s="1">
        <v>454.8615584515095</v>
      </c>
    </row>
    <row r="145" spans="2:9" x14ac:dyDescent="0.25">
      <c r="B145">
        <v>10</v>
      </c>
      <c r="C145" s="1">
        <v>1979.3454009583904</v>
      </c>
      <c r="E145">
        <v>10</v>
      </c>
      <c r="F145" s="1">
        <v>1118.9883723099945</v>
      </c>
      <c r="H145">
        <v>10</v>
      </c>
      <c r="I145" s="1">
        <v>446.40309484896903</v>
      </c>
    </row>
    <row r="146" spans="2:9" x14ac:dyDescent="0.25">
      <c r="B146">
        <v>11</v>
      </c>
      <c r="C146" s="1">
        <v>1946.0355608905791</v>
      </c>
      <c r="E146">
        <v>11</v>
      </c>
      <c r="F146" s="1">
        <v>1100.1581171680807</v>
      </c>
      <c r="H146">
        <v>11</v>
      </c>
      <c r="I146" s="1">
        <v>438.97281245245983</v>
      </c>
    </row>
    <row r="147" spans="2:9" x14ac:dyDescent="0.25">
      <c r="B147">
        <v>12</v>
      </c>
      <c r="C147" s="1">
        <v>1916.3839877189378</v>
      </c>
      <c r="E147">
        <v>12</v>
      </c>
      <c r="F147" s="1">
        <v>1083.3954808808078</v>
      </c>
      <c r="H147">
        <v>12</v>
      </c>
      <c r="I147" s="1">
        <v>432.35956814443261</v>
      </c>
    </row>
    <row r="148" spans="2:9" x14ac:dyDescent="0.25">
      <c r="B148">
        <v>13</v>
      </c>
      <c r="C148" s="1">
        <v>1889.7303436065292</v>
      </c>
      <c r="E148">
        <v>13</v>
      </c>
      <c r="F148" s="1">
        <v>1068.327447110581</v>
      </c>
      <c r="H148">
        <v>13</v>
      </c>
      <c r="I148" s="1">
        <v>426.41088000612018</v>
      </c>
    </row>
    <row r="149" spans="2:9" x14ac:dyDescent="0.25">
      <c r="B149">
        <v>14</v>
      </c>
      <c r="C149" s="1">
        <v>1865.5732995238482</v>
      </c>
      <c r="E149">
        <v>14</v>
      </c>
      <c r="F149" s="1">
        <v>1054.6707295252281</v>
      </c>
      <c r="H149">
        <v>14</v>
      </c>
      <c r="I149" s="1">
        <v>421.01329293879343</v>
      </c>
    </row>
    <row r="150" spans="2:9" x14ac:dyDescent="0.25">
      <c r="B150">
        <v>15</v>
      </c>
      <c r="C150" s="1">
        <v>1843.5239692231239</v>
      </c>
      <c r="E150">
        <v>15</v>
      </c>
      <c r="F150" s="1">
        <v>1042.2055339291476</v>
      </c>
      <c r="H150">
        <v>15</v>
      </c>
      <c r="I150" s="1">
        <v>416.08015941516192</v>
      </c>
    </row>
    <row r="151" spans="2:9" x14ac:dyDescent="0.25">
      <c r="B151">
        <v>16</v>
      </c>
      <c r="C151" s="1">
        <v>1823.2750940194544</v>
      </c>
      <c r="E151">
        <v>16</v>
      </c>
      <c r="F151" s="1">
        <v>1030.7581799922079</v>
      </c>
      <c r="H151">
        <v>16</v>
      </c>
      <c r="I151" s="1">
        <v>411.54378266626821</v>
      </c>
    </row>
    <row r="152" spans="2:9" x14ac:dyDescent="0.25">
      <c r="B152">
        <v>17</v>
      </c>
      <c r="C152" s="1">
        <v>1804.5800216795649</v>
      </c>
      <c r="E152">
        <v>17</v>
      </c>
      <c r="F152" s="1">
        <v>1020.1892364095304</v>
      </c>
      <c r="H152">
        <v>17</v>
      </c>
      <c r="I152" s="1">
        <v>407.3502160713544</v>
      </c>
    </row>
    <row r="153" spans="2:9" x14ac:dyDescent="0.25">
      <c r="B153">
        <v>18</v>
      </c>
      <c r="C153" s="1">
        <v>1787.2379863509698</v>
      </c>
      <c r="E153">
        <v>18</v>
      </c>
      <c r="F153" s="1">
        <v>1010.3852073159657</v>
      </c>
      <c r="H153">
        <v>18</v>
      </c>
      <c r="I153" s="1">
        <v>403.45572847010357</v>
      </c>
    </row>
    <row r="154" spans="2:9" x14ac:dyDescent="0.25">
      <c r="B154">
        <v>19</v>
      </c>
      <c r="C154" s="1">
        <v>1771.0835633020522</v>
      </c>
      <c r="E154">
        <v>19</v>
      </c>
      <c r="F154" s="1">
        <v>1001.252574082372</v>
      </c>
      <c r="H154">
        <v>19</v>
      </c>
      <c r="I154" s="1">
        <v>399.82434218465045</v>
      </c>
    </row>
    <row r="155" spans="2:9" x14ac:dyDescent="0.25">
      <c r="B155">
        <v>20</v>
      </c>
      <c r="C155" s="1">
        <v>1755.9789617016713</v>
      </c>
      <c r="E155">
        <v>20</v>
      </c>
      <c r="F155" s="1">
        <v>992.71343954026349</v>
      </c>
      <c r="H155">
        <v>20</v>
      </c>
      <c r="I155" s="1">
        <v>396.42607858234027</v>
      </c>
    </row>
    <row r="156" spans="2:9" x14ac:dyDescent="0.25">
      <c r="B156">
        <v>21</v>
      </c>
      <c r="C156" s="1">
        <v>1741.8082908676238</v>
      </c>
      <c r="E156">
        <v>21</v>
      </c>
      <c r="F156" s="1">
        <v>984.70228704984845</v>
      </c>
      <c r="H156">
        <v>21</v>
      </c>
      <c r="I156" s="1">
        <v>393.23568090026174</v>
      </c>
    </row>
    <row r="157" spans="2:9" x14ac:dyDescent="0.25">
      <c r="B157">
        <v>22</v>
      </c>
      <c r="C157" s="1">
        <v>1728.4732266544092</v>
      </c>
      <c r="E157">
        <v>22</v>
      </c>
      <c r="F157" s="1">
        <v>977.16353078145698</v>
      </c>
      <c r="H157">
        <v>22</v>
      </c>
      <c r="I157" s="1">
        <v>390.2316658956139</v>
      </c>
    </row>
    <row r="158" spans="2:9" x14ac:dyDescent="0.25">
      <c r="B158">
        <v>23</v>
      </c>
      <c r="C158" s="1">
        <v>1715.8896892275252</v>
      </c>
      <c r="E158">
        <v>23</v>
      </c>
      <c r="F158" s="1">
        <v>970.04963763552553</v>
      </c>
      <c r="H158">
        <v>23</v>
      </c>
      <c r="I158" s="1">
        <v>387.39560666893578</v>
      </c>
    </row>
    <row r="159" spans="2:9" x14ac:dyDescent="0.25">
      <c r="B159">
        <v>24</v>
      </c>
      <c r="C159" s="1">
        <v>1703.9852633172382</v>
      </c>
      <c r="E159">
        <v>24</v>
      </c>
      <c r="F159" s="1">
        <v>963.31966885907423</v>
      </c>
      <c r="H159">
        <v>24</v>
      </c>
      <c r="I159" s="1">
        <v>384.71158116192407</v>
      </c>
    </row>
    <row r="160" spans="2:9" x14ac:dyDescent="0.25">
      <c r="B160">
        <v>25</v>
      </c>
      <c r="C160" s="1">
        <v>1692.6971715712787</v>
      </c>
      <c r="E160">
        <v>25</v>
      </c>
      <c r="F160" s="1">
        <v>956.93813432718741</v>
      </c>
      <c r="H160">
        <v>25</v>
      </c>
      <c r="I160" s="1">
        <v>382.16574157548553</v>
      </c>
    </row>
    <row r="161" spans="2:9" x14ac:dyDescent="0.25">
      <c r="B161">
        <v>26</v>
      </c>
      <c r="C161" s="1">
        <v>1681.970665443783</v>
      </c>
      <c r="E161">
        <v>26</v>
      </c>
      <c r="F161" s="1">
        <v>950.87408286380082</v>
      </c>
      <c r="H161">
        <v>26</v>
      </c>
      <c r="I161" s="1">
        <v>379.74597357426308</v>
      </c>
    </row>
    <row r="162" spans="2:9" x14ac:dyDescent="0.25">
      <c r="B162">
        <v>27</v>
      </c>
      <c r="C162" s="1">
        <v>1671.7577351326236</v>
      </c>
      <c r="E162">
        <v>27</v>
      </c>
      <c r="F162" s="1">
        <v>945.10037292815275</v>
      </c>
      <c r="H162">
        <v>27</v>
      </c>
      <c r="I162" s="1">
        <v>377.44162323975746</v>
      </c>
    </row>
    <row r="163" spans="2:9" x14ac:dyDescent="0.25">
      <c r="B163">
        <v>28</v>
      </c>
      <c r="C163" s="1">
        <v>1662.0160660360773</v>
      </c>
      <c r="E163">
        <v>28</v>
      </c>
      <c r="F163" s="1">
        <v>939.59308266567007</v>
      </c>
      <c r="H163">
        <v>28</v>
      </c>
      <c r="I163" s="1">
        <v>375.24327590897116</v>
      </c>
    </row>
    <row r="164" spans="2:9" x14ac:dyDescent="0.25">
      <c r="B164">
        <v>29</v>
      </c>
      <c r="C164" s="1">
        <v>1652.7081876478078</v>
      </c>
      <c r="E164">
        <v>29</v>
      </c>
      <c r="F164" s="1">
        <v>934.33102875020518</v>
      </c>
      <c r="H164">
        <v>29</v>
      </c>
      <c r="I164" s="1">
        <v>373.1425752951335</v>
      </c>
    </row>
    <row r="165" spans="2:9" x14ac:dyDescent="0.25">
      <c r="B165">
        <v>30</v>
      </c>
      <c r="C165" s="1">
        <v>1643.8007740999315</v>
      </c>
      <c r="E165">
        <v>30</v>
      </c>
      <c r="F165" s="1">
        <v>929.29537095781939</v>
      </c>
      <c r="H165">
        <v>30</v>
      </c>
      <c r="I165" s="1">
        <v>371.1320742721154</v>
      </c>
    </row>
    <row r="166" spans="2:9" x14ac:dyDescent="0.25">
      <c r="B166">
        <v>31</v>
      </c>
      <c r="C166" s="1">
        <v>1635.264065260717</v>
      </c>
      <c r="E166">
        <v>31</v>
      </c>
      <c r="F166" s="1">
        <v>924.46928489405559</v>
      </c>
      <c r="H166">
        <v>31</v>
      </c>
      <c r="I166" s="1">
        <v>369.20511082844155</v>
      </c>
    </row>
    <row r="167" spans="2:9" x14ac:dyDescent="0.25">
      <c r="B167">
        <v>32</v>
      </c>
      <c r="C167" s="1">
        <v>1627.0713844511142</v>
      </c>
      <c r="E167">
        <v>32</v>
      </c>
      <c r="F167" s="1">
        <v>919.83768934302884</v>
      </c>
      <c r="H167">
        <v>32</v>
      </c>
      <c r="I167" s="1">
        <v>367.3557042313476</v>
      </c>
    </row>
    <row r="168" spans="2:9" x14ac:dyDescent="0.25">
      <c r="B168">
        <v>33</v>
      </c>
      <c r="C168" s="1">
        <v>1619.1987341852227</v>
      </c>
      <c r="E168">
        <v>33</v>
      </c>
      <c r="F168" s="1">
        <v>915.38701772604543</v>
      </c>
      <c r="H168">
        <v>33</v>
      </c>
      <c r="I168" s="1">
        <v>365.57846756600372</v>
      </c>
    </row>
    <row r="169" spans="2:9" x14ac:dyDescent="0.25">
      <c r="B169">
        <v>34</v>
      </c>
      <c r="C169" s="1">
        <v>1611.6244553654683</v>
      </c>
      <c r="E169">
        <v>34</v>
      </c>
      <c r="F169" s="1">
        <v>911.10502543327789</v>
      </c>
      <c r="H169">
        <v>34</v>
      </c>
      <c r="I169" s="1">
        <v>363.86853365076865</v>
      </c>
    </row>
    <row r="170" spans="2:9" x14ac:dyDescent="0.25">
      <c r="B170">
        <v>35</v>
      </c>
      <c r="C170" s="1">
        <v>1604.328938426215</v>
      </c>
      <c r="E170">
        <v>35</v>
      </c>
      <c r="F170" s="1">
        <v>906.98062652362023</v>
      </c>
      <c r="H170">
        <v>35</v>
      </c>
      <c r="I170" s="1">
        <v>362.22149195856963</v>
      </c>
    </row>
    <row r="171" spans="2:9" x14ac:dyDescent="0.25">
      <c r="B171">
        <v>36</v>
      </c>
      <c r="C171" s="1">
        <v>1597.2943772705821</v>
      </c>
      <c r="E171">
        <v>36</v>
      </c>
      <c r="F171" s="1">
        <v>903.0037546169691</v>
      </c>
      <c r="H171">
        <v>36</v>
      </c>
      <c r="I171" s="1">
        <v>360.63333465410483</v>
      </c>
    </row>
    <row r="172" spans="2:9" x14ac:dyDescent="0.25">
      <c r="B172">
        <v>37</v>
      </c>
      <c r="C172" s="1">
        <v>1590.5045586648091</v>
      </c>
      <c r="E172">
        <v>37</v>
      </c>
      <c r="F172" s="1">
        <v>899.16524383183878</v>
      </c>
      <c r="H172">
        <v>37</v>
      </c>
      <c r="I172" s="1">
        <v>359.10041022630264</v>
      </c>
    </row>
    <row r="173" spans="2:9" x14ac:dyDescent="0.25">
      <c r="B173">
        <v>38</v>
      </c>
      <c r="C173" s="1">
        <v>1583.9446811736468</v>
      </c>
      <c r="E173">
        <v>38</v>
      </c>
      <c r="F173" s="1">
        <v>895.45672642350166</v>
      </c>
      <c r="H173">
        <v>38</v>
      </c>
      <c r="I173" s="1">
        <v>357.61938348352157</v>
      </c>
    </row>
    <row r="174" spans="2:9" x14ac:dyDescent="0.25">
      <c r="B174">
        <v>39</v>
      </c>
      <c r="C174" s="1">
        <v>1577.6011988351893</v>
      </c>
      <c r="E174">
        <v>39</v>
      </c>
      <c r="F174" s="1">
        <v>891.87054440816041</v>
      </c>
      <c r="H174">
        <v>39</v>
      </c>
      <c r="I174" s="1">
        <v>356.18720090555263</v>
      </c>
    </row>
    <row r="175" spans="2:9" x14ac:dyDescent="0.25">
      <c r="B175">
        <v>40</v>
      </c>
      <c r="C175" s="1">
        <v>1571.4616856555785</v>
      </c>
      <c r="E175">
        <v>40</v>
      </c>
      <c r="F175" s="1">
        <v>888.39967295728707</v>
      </c>
      <c r="H175">
        <v>40</v>
      </c>
      <c r="I175" s="1">
        <v>354.80106052627201</v>
      </c>
    </row>
    <row r="176" spans="2:9" x14ac:dyDescent="0.25">
      <c r="B176">
        <v>41</v>
      </c>
      <c r="C176" s="1">
        <v>1565.5147177062231</v>
      </c>
      <c r="E176">
        <v>41</v>
      </c>
      <c r="F176" s="1">
        <v>885.03765374325144</v>
      </c>
      <c r="H176">
        <v>41</v>
      </c>
      <c r="I176" s="1">
        <v>353.45838566457877</v>
      </c>
    </row>
    <row r="177" spans="2:9" x14ac:dyDescent="0.25">
      <c r="B177">
        <v>42</v>
      </c>
      <c r="C177" s="1">
        <v>1559.749770168768</v>
      </c>
      <c r="E177">
        <v>42</v>
      </c>
      <c r="F177" s="1">
        <v>881.77853673541028</v>
      </c>
      <c r="H177">
        <v>42</v>
      </c>
      <c r="I177" s="1">
        <v>352.15680193709329</v>
      </c>
    </row>
    <row r="178" spans="2:9" x14ac:dyDescent="0.25">
      <c r="B178">
        <v>43</v>
      </c>
      <c r="C178" s="1">
        <v>1554.1571271263463</v>
      </c>
      <c r="E178">
        <v>43</v>
      </c>
      <c r="F178" s="1">
        <v>878.61682920209444</v>
      </c>
      <c r="H178">
        <v>43</v>
      </c>
      <c r="I178" s="1">
        <v>350.89411708000762</v>
      </c>
    </row>
    <row r="179" spans="2:9" x14ac:dyDescent="0.25">
      <c r="B179">
        <v>44</v>
      </c>
      <c r="C179" s="1">
        <v>1548.7278022669286</v>
      </c>
      <c r="E179">
        <v>44</v>
      </c>
      <c r="F179" s="1">
        <v>875.54745088157028</v>
      </c>
      <c r="H179">
        <v>44</v>
      </c>
      <c r="I179" s="1">
        <v>349.66830318409086</v>
      </c>
    </row>
    <row r="180" spans="2:9" x14ac:dyDescent="0.25">
      <c r="B180">
        <v>45</v>
      </c>
      <c r="C180" s="1">
        <v>1543.4534689637278</v>
      </c>
      <c r="E180">
        <v>45</v>
      </c>
      <c r="F180" s="1">
        <v>872.56569445416085</v>
      </c>
      <c r="H180">
        <v>45</v>
      </c>
      <c r="I180" s="1">
        <v>348.477481009673</v>
      </c>
    </row>
    <row r="181" spans="2:9" x14ac:dyDescent="0.25">
      <c r="B181">
        <v>46</v>
      </c>
      <c r="C181" s="1">
        <v>1538.3263984424843</v>
      </c>
      <c r="E181">
        <v>46</v>
      </c>
      <c r="F181" s="1">
        <v>869.66719058615115</v>
      </c>
      <c r="H181">
        <v>46</v>
      </c>
      <c r="I181" s="1">
        <v>347.31990610020279</v>
      </c>
    </row>
    <row r="182" spans="2:9" x14ac:dyDescent="0.25">
      <c r="B182">
        <v>47</v>
      </c>
      <c r="C182" s="1">
        <v>1533.3394049468491</v>
      </c>
      <c r="E182">
        <v>47</v>
      </c>
      <c r="F182" s="1">
        <v>866.84787692995201</v>
      </c>
      <c r="H182">
        <v>47</v>
      </c>
      <c r="I182" s="1">
        <v>346.1939564558449</v>
      </c>
    </row>
    <row r="183" spans="2:9" x14ac:dyDescent="0.25">
      <c r="B183">
        <v>48</v>
      </c>
      <c r="C183" s="1">
        <v>1528.4857969794596</v>
      </c>
      <c r="E183">
        <v>48</v>
      </c>
      <c r="F183" s="1">
        <v>864.10397055905446</v>
      </c>
      <c r="H183">
        <v>48</v>
      </c>
      <c r="I183" s="1">
        <v>345.09812156421123</v>
      </c>
    </row>
    <row r="184" spans="2:9" x14ac:dyDescent="0.25">
      <c r="B184">
        <v>49</v>
      </c>
      <c r="C184" s="1">
        <v>1523.7593338343595</v>
      </c>
      <c r="E184">
        <v>49</v>
      </c>
      <c r="F184" s="1">
        <v>861.43194339435797</v>
      </c>
      <c r="H184">
        <v>49</v>
      </c>
      <c r="I184" s="1">
        <v>344.03099261507128</v>
      </c>
    </row>
    <row r="185" spans="2:9" x14ac:dyDescent="0.25">
      <c r="B185">
        <v>50</v>
      </c>
      <c r="C185" s="1">
        <v>1519.1541867514513</v>
      </c>
      <c r="E185">
        <v>50</v>
      </c>
      <c r="F185" s="1">
        <v>858.82850024348716</v>
      </c>
      <c r="H185">
        <v>50</v>
      </c>
      <c r="I185" s="1">
        <v>342.99125375080945</v>
      </c>
    </row>
    <row r="186" spans="2:9" x14ac:dyDescent="0.25">
      <c r="B186">
        <v>51</v>
      </c>
      <c r="C186" s="1">
        <v>1514.6649041198705</v>
      </c>
      <c r="E186">
        <v>51</v>
      </c>
      <c r="F186" s="1">
        <v>856.29055912910007</v>
      </c>
      <c r="H186">
        <v>51</v>
      </c>
      <c r="I186" s="1">
        <v>341.97767422534241</v>
      </c>
    </row>
    <row r="187" spans="2:9" x14ac:dyDescent="0.25">
      <c r="B187">
        <v>52</v>
      </c>
      <c r="C187" s="1">
        <v>1510.2863802379825</v>
      </c>
      <c r="E187">
        <v>52</v>
      </c>
      <c r="F187" s="1">
        <v>853.81523362787277</v>
      </c>
      <c r="H187">
        <v>52</v>
      </c>
      <c r="I187" s="1">
        <v>340.9891013618913</v>
      </c>
    </row>
    <row r="188" spans="2:9" x14ac:dyDescent="0.25">
      <c r="B188">
        <v>53</v>
      </c>
      <c r="C188" s="1">
        <v>1506.0138272057607</v>
      </c>
      <c r="E188">
        <v>53</v>
      </c>
      <c r="F188" s="1">
        <v>851.39981698032329</v>
      </c>
      <c r="H188">
        <v>53</v>
      </c>
      <c r="I188" s="1">
        <v>340.02445421495065</v>
      </c>
    </row>
    <row r="189" spans="2:9" x14ac:dyDescent="0.25">
      <c r="B189">
        <v>54</v>
      </c>
      <c r="C189" s="1">
        <v>1501.8427495828946</v>
      </c>
      <c r="E189">
        <v>54</v>
      </c>
      <c r="F189" s="1">
        <v>849.04176776419638</v>
      </c>
      <c r="H189">
        <v>54</v>
      </c>
      <c r="I189" s="1">
        <v>339.0827178544979</v>
      </c>
    </row>
    <row r="190" spans="2:9" x14ac:dyDescent="0.25">
      <c r="B190">
        <v>55</v>
      </c>
      <c r="C190" s="1">
        <v>1497.7689214948193</v>
      </c>
      <c r="E190">
        <v>55</v>
      </c>
      <c r="F190" s="1">
        <v>846.73869695173789</v>
      </c>
      <c r="H190">
        <v>55</v>
      </c>
      <c r="I190" s="1">
        <v>338.16293820128573</v>
      </c>
    </row>
    <row r="191" spans="2:9" x14ac:dyDescent="0.25">
      <c r="B191">
        <v>56</v>
      </c>
      <c r="C191" s="1">
        <v>1493.7883659104298</v>
      </c>
      <c r="E191">
        <v>56</v>
      </c>
      <c r="F191" s="1">
        <v>844.48835619469628</v>
      </c>
      <c r="H191">
        <v>56</v>
      </c>
      <c r="I191" s="1">
        <v>337.26421735128963</v>
      </c>
    </row>
    <row r="192" spans="2:9" x14ac:dyDescent="0.25">
      <c r="B192">
        <v>57</v>
      </c>
      <c r="C192" s="1">
        <v>1489.8973358507503</v>
      </c>
      <c r="E192">
        <v>57</v>
      </c>
      <c r="F192" s="1">
        <v>842.28862720095742</v>
      </c>
      <c r="H192">
        <v>57</v>
      </c>
      <c r="I192" s="1">
        <v>336.38570933527637</v>
      </c>
    </row>
    <row r="193" spans="2:9" x14ac:dyDescent="0.25">
      <c r="B193">
        <v>58</v>
      </c>
      <c r="C193" s="1">
        <v>1486.092297318233</v>
      </c>
      <c r="E193">
        <v>58</v>
      </c>
      <c r="F193" s="1">
        <v>840.13751208390784</v>
      </c>
      <c r="H193">
        <v>58</v>
      </c>
      <c r="I193" s="1">
        <v>335.52661626623814</v>
      </c>
    </row>
    <row r="194" spans="2:9" x14ac:dyDescent="0.25">
      <c r="B194">
        <v>59</v>
      </c>
      <c r="C194" s="1">
        <v>1482.3699137624599</v>
      </c>
      <c r="E194">
        <v>59</v>
      </c>
      <c r="F194" s="1">
        <v>838.03312458037738</v>
      </c>
      <c r="H194">
        <v>59</v>
      </c>
      <c r="I194" s="1">
        <v>334.68618483326571</v>
      </c>
    </row>
    <row r="195" spans="2:9" x14ac:dyDescent="0.25">
      <c r="B195">
        <v>60</v>
      </c>
      <c r="C195" s="1">
        <v>1478.7270319205084</v>
      </c>
      <c r="E195">
        <v>60</v>
      </c>
      <c r="F195" s="1">
        <v>835.9736820457274</v>
      </c>
      <c r="H195">
        <v>60</v>
      </c>
      <c r="I195" s="1">
        <v>333.8637031054688</v>
      </c>
    </row>
    <row r="196" spans="2:9" x14ac:dyDescent="0.25">
      <c r="B196">
        <v>61</v>
      </c>
      <c r="C196" s="1">
        <v>1475.1606688896616</v>
      </c>
      <c r="E196">
        <v>61</v>
      </c>
      <c r="F196" s="1">
        <v>833.95749814562191</v>
      </c>
      <c r="H196">
        <v>61</v>
      </c>
      <c r="I196" s="1">
        <v>333.05849761389607</v>
      </c>
    </row>
    <row r="197" spans="2:9" x14ac:dyDescent="0.25">
      <c r="B197">
        <v>62</v>
      </c>
      <c r="C197" s="1">
        <v>1471.6680003069448</v>
      </c>
      <c r="E197">
        <v>62</v>
      </c>
      <c r="F197" s="1">
        <v>831.98297617352614</v>
      </c>
      <c r="H197">
        <v>62</v>
      </c>
      <c r="I197" s="1">
        <v>332.26993068318279</v>
      </c>
    </row>
    <row r="198" spans="2:9" x14ac:dyDescent="0.25">
      <c r="B198">
        <v>63</v>
      </c>
      <c r="C198" s="1">
        <v>1468.246349524552</v>
      </c>
      <c r="E198">
        <v>63</v>
      </c>
      <c r="F198" s="1">
        <v>830.0486029312134</v>
      </c>
      <c r="H198">
        <v>63</v>
      </c>
      <c r="I198" s="1">
        <v>331.49739798792513</v>
      </c>
    </row>
    <row r="199" spans="2:9" x14ac:dyDescent="0.25">
      <c r="B199">
        <v>64</v>
      </c>
      <c r="C199" s="1">
        <v>1464.8931776829234</v>
      </c>
      <c r="E199">
        <v>64</v>
      </c>
      <c r="F199" s="1">
        <v>828.15294311674597</v>
      </c>
      <c r="H199">
        <v>64</v>
      </c>
      <c r="I199" s="1">
        <v>330.74032631163516</v>
      </c>
    </row>
    <row r="200" spans="2:9" x14ac:dyDescent="0.25">
      <c r="B200">
        <v>65</v>
      </c>
      <c r="C200" s="1">
        <v>1461.6060745942855</v>
      </c>
      <c r="E200">
        <v>65</v>
      </c>
      <c r="F200" s="1">
        <v>826.29463417063607</v>
      </c>
      <c r="H200">
        <v>65</v>
      </c>
      <c r="I200" s="1">
        <v>329.99817148861564</v>
      </c>
    </row>
    <row r="201" spans="2:9" x14ac:dyDescent="0.25">
      <c r="B201">
        <v>66</v>
      </c>
      <c r="C201" s="1">
        <v>1458.3827503591467</v>
      </c>
      <c r="E201">
        <v>66</v>
      </c>
      <c r="F201" s="1">
        <v>824.4723815363709</v>
      </c>
      <c r="H201">
        <v>66</v>
      </c>
      <c r="I201" s="1">
        <v>329.27041651127223</v>
      </c>
    </row>
    <row r="202" spans="2:9" x14ac:dyDescent="0.25">
      <c r="B202">
        <v>67</v>
      </c>
      <c r="C202" s="1">
        <v>1455.2210276466917</v>
      </c>
      <c r="E202">
        <v>67</v>
      </c>
      <c r="F202" s="1">
        <v>822.68495429626307</v>
      </c>
      <c r="H202">
        <v>67</v>
      </c>
      <c r="I202" s="1">
        <v>328.55656978728723</v>
      </c>
    </row>
    <row r="203" spans="2:9" x14ac:dyDescent="0.25">
      <c r="B203">
        <v>68</v>
      </c>
      <c r="C203" s="1">
        <v>1452.1188345774603</v>
      </c>
      <c r="E203">
        <v>68</v>
      </c>
      <c r="F203" s="1">
        <v>820.93118114779088</v>
      </c>
      <c r="H203">
        <v>68</v>
      </c>
      <c r="I203" s="1">
        <v>327.85616353274969</v>
      </c>
    </row>
    <row r="204" spans="2:9" x14ac:dyDescent="0.25">
      <c r="B204">
        <v>69</v>
      </c>
      <c r="C204" s="1">
        <v>1449.0741981532258</v>
      </c>
      <c r="E204">
        <v>69</v>
      </c>
      <c r="F204" s="1">
        <v>819.20994668929029</v>
      </c>
      <c r="H204">
        <v>69</v>
      </c>
      <c r="I204" s="1">
        <v>327.16875228881435</v>
      </c>
    </row>
    <row r="205" spans="2:9" x14ac:dyDescent="0.25">
      <c r="B205">
        <v>70</v>
      </c>
      <c r="C205" s="1">
        <v>1446.0852381847474</v>
      </c>
      <c r="E205">
        <v>70</v>
      </c>
      <c r="F205" s="1">
        <v>817.52018798711049</v>
      </c>
      <c r="H205">
        <v>70</v>
      </c>
      <c r="I205" s="1">
        <v>326.4939115507562</v>
      </c>
    </row>
    <row r="206" spans="2:9" x14ac:dyDescent="0.25">
      <c r="B206">
        <v>71</v>
      </c>
      <c r="C206" s="1">
        <v>1443.1501616731407</v>
      </c>
      <c r="E206">
        <v>71</v>
      </c>
      <c r="F206" s="1">
        <v>815.86089139921557</v>
      </c>
      <c r="H206">
        <v>71</v>
      </c>
      <c r="I206" s="1">
        <v>325.83123649943298</v>
      </c>
    </row>
    <row r="207" spans="2:9" x14ac:dyDescent="0.25">
      <c r="B207">
        <v>72</v>
      </c>
      <c r="C207" s="1">
        <v>1440.2672576051336</v>
      </c>
      <c r="E207">
        <v>72</v>
      </c>
      <c r="F207" s="1">
        <v>814.23108963276889</v>
      </c>
      <c r="H207">
        <v>72</v>
      </c>
      <c r="I207" s="1">
        <v>325.18034082618635</v>
      </c>
    </row>
    <row r="208" spans="2:9" x14ac:dyDescent="0.25">
      <c r="B208">
        <v>73</v>
      </c>
      <c r="C208" s="1">
        <v>1437.4348921264218</v>
      </c>
      <c r="E208">
        <v>73</v>
      </c>
      <c r="F208" s="1">
        <v>812.62985901547052</v>
      </c>
      <c r="H208">
        <v>73</v>
      </c>
      <c r="I208" s="1">
        <v>324.54085564310651</v>
      </c>
    </row>
    <row r="209" spans="2:9" x14ac:dyDescent="0.25">
      <c r="B209">
        <v>74</v>
      </c>
      <c r="C209" s="1">
        <v>1434.6515040609067</v>
      </c>
      <c r="E209">
        <v>74</v>
      </c>
      <c r="F209" s="1">
        <v>811.05631696243267</v>
      </c>
      <c r="H209">
        <v>74</v>
      </c>
      <c r="I209" s="1">
        <v>323.91242847138335</v>
      </c>
    </row>
    <row r="210" spans="2:9" x14ac:dyDescent="0.25">
      <c r="B210">
        <v>75</v>
      </c>
      <c r="C210" s="1">
        <v>1431.9156007467125</v>
      </c>
      <c r="E210">
        <v>75</v>
      </c>
      <c r="F210" s="1">
        <v>809.50961962214137</v>
      </c>
      <c r="H210">
        <v>75</v>
      </c>
      <c r="I210" s="1">
        <v>323.29472230117926</v>
      </c>
    </row>
    <row r="211" spans="2:9" x14ac:dyDescent="0.25">
      <c r="B211">
        <v>76</v>
      </c>
      <c r="C211" s="1">
        <v>1429.2257541627059</v>
      </c>
      <c r="E211">
        <v>76</v>
      </c>
      <c r="F211" s="1">
        <v>807.98895968664976</v>
      </c>
      <c r="H211">
        <v>76</v>
      </c>
      <c r="I211" s="1">
        <v>322.68741471708768</v>
      </c>
    </row>
    <row r="212" spans="2:9" x14ac:dyDescent="0.25">
      <c r="B212">
        <v>77</v>
      </c>
      <c r="C212" s="1">
        <v>1426.5805973217118</v>
      </c>
      <c r="E212">
        <v>77</v>
      </c>
      <c r="F212" s="1">
        <v>806.49356435254117</v>
      </c>
      <c r="H212">
        <v>77</v>
      </c>
      <c r="I212" s="1">
        <v>322.0901970838047</v>
      </c>
    </row>
    <row r="213" spans="2:9" x14ac:dyDescent="0.25">
      <c r="B213">
        <v>78</v>
      </c>
      <c r="C213" s="1">
        <v>1423.9788209088711</v>
      </c>
      <c r="E213">
        <v>78</v>
      </c>
      <c r="F213" s="1">
        <v>805.0226934204818</v>
      </c>
      <c r="H213">
        <v>78</v>
      </c>
      <c r="I213" s="1">
        <v>321.50277378714708</v>
      </c>
    </row>
    <row r="214" spans="2:9" x14ac:dyDescent="0.25">
      <c r="B214">
        <v>79</v>
      </c>
      <c r="C214" s="1">
        <v>1421.4191701455629</v>
      </c>
      <c r="E214">
        <v>79</v>
      </c>
      <c r="F214" s="1">
        <v>803.57563752229169</v>
      </c>
      <c r="H214">
        <v>79</v>
      </c>
      <c r="I214" s="1">
        <v>320.92486152599804</v>
      </c>
    </row>
    <row r="215" spans="2:9" x14ac:dyDescent="0.25">
      <c r="B215">
        <v>80</v>
      </c>
      <c r="C215" s="1">
        <v>1418.9004418611257</v>
      </c>
      <c r="E215">
        <v>80</v>
      </c>
      <c r="F215" s="1">
        <v>802.1517164654897</v>
      </c>
      <c r="H215">
        <v>80</v>
      </c>
      <c r="I215" s="1">
        <v>320.35618865116788</v>
      </c>
    </row>
    <row r="216" spans="2:9" x14ac:dyDescent="0.25">
      <c r="B216">
        <v>81</v>
      </c>
      <c r="C216" s="1">
        <v>1416.421481756184</v>
      </c>
      <c r="E216">
        <v>81</v>
      </c>
      <c r="F216" s="1">
        <v>800.75027768616269</v>
      </c>
      <c r="H216">
        <v>81</v>
      </c>
      <c r="I216" s="1">
        <v>319.79649454751473</v>
      </c>
    </row>
    <row r="217" spans="2:9" x14ac:dyDescent="0.25">
      <c r="B217">
        <v>82</v>
      </c>
      <c r="C217" s="1">
        <v>1413.9811818428652</v>
      </c>
      <c r="E217">
        <v>82</v>
      </c>
      <c r="F217" s="1">
        <v>799.37069480183311</v>
      </c>
      <c r="H217">
        <v>82</v>
      </c>
      <c r="I217" s="1">
        <v>319.24552905600342</v>
      </c>
    </row>
    <row r="218" spans="2:9" x14ac:dyDescent="0.25">
      <c r="B218">
        <v>83</v>
      </c>
      <c r="C218" s="1">
        <v>1411.5784780484591</v>
      </c>
      <c r="E218">
        <v>83</v>
      </c>
      <c r="F218" s="1">
        <v>798.01236625672891</v>
      </c>
      <c r="H218">
        <v>83</v>
      </c>
      <c r="I218" s="1">
        <v>318.70305193266506</v>
      </c>
    </row>
    <row r="219" spans="2:9" x14ac:dyDescent="0.25">
      <c r="B219">
        <v>84</v>
      </c>
      <c r="C219" s="1">
        <v>1409.2123479702557</v>
      </c>
      <c r="E219">
        <v>84</v>
      </c>
      <c r="F219" s="1">
        <v>796.67471405251786</v>
      </c>
      <c r="H219">
        <v>84</v>
      </c>
      <c r="I219" s="1">
        <v>318.16883234169012</v>
      </c>
    </row>
    <row r="220" spans="2:9" x14ac:dyDescent="0.25">
      <c r="B220">
        <v>85</v>
      </c>
      <c r="C220" s="1">
        <v>1406.8818087703551</v>
      </c>
      <c r="E220">
        <v>85</v>
      </c>
      <c r="F220" s="1">
        <v>795.35718255817415</v>
      </c>
      <c r="H220">
        <v>85</v>
      </c>
      <c r="I220" s="1">
        <v>317.64264838012349</v>
      </c>
    </row>
    <row r="221" spans="2:9" x14ac:dyDescent="0.25">
      <c r="B221">
        <v>86</v>
      </c>
      <c r="C221" s="1">
        <v>1404.5859152001838</v>
      </c>
      <c r="E221">
        <v>86</v>
      </c>
      <c r="F221" s="1">
        <v>794.05923739317052</v>
      </c>
      <c r="H221">
        <v>86</v>
      </c>
      <c r="I221" s="1">
        <v>317.12428663184369</v>
      </c>
    </row>
    <row r="222" spans="2:9" x14ac:dyDescent="0.25">
      <c r="B222">
        <v>87</v>
      </c>
      <c r="C222" s="1">
        <v>1402.3237577453206</v>
      </c>
      <c r="E222">
        <v>87</v>
      </c>
      <c r="F222" s="1">
        <v>792.78036437868798</v>
      </c>
      <c r="H222">
        <v>87</v>
      </c>
      <c r="I222" s="1">
        <v>316.61354174870689</v>
      </c>
    </row>
    <row r="223" spans="2:9" x14ac:dyDescent="0.25">
      <c r="B223">
        <v>88</v>
      </c>
      <c r="C223" s="1">
        <v>1400.0944608820205</v>
      </c>
      <c r="E223">
        <v>88</v>
      </c>
      <c r="F223" s="1">
        <v>791.52006855196885</v>
      </c>
      <c r="H223">
        <v>88</v>
      </c>
      <c r="I223" s="1">
        <v>316.11021605690809</v>
      </c>
    </row>
    <row r="224" spans="2:9" x14ac:dyDescent="0.25">
      <c r="B224">
        <v>89</v>
      </c>
      <c r="C224" s="1">
        <v>1397.8971814375195</v>
      </c>
      <c r="E224">
        <v>89</v>
      </c>
      <c r="F224" s="1">
        <v>790.27787323934444</v>
      </c>
      <c r="H224">
        <v>89</v>
      </c>
      <c r="I224" s="1">
        <v>315.61411918677476</v>
      </c>
    </row>
    <row r="225" spans="2:9" x14ac:dyDescent="0.25">
      <c r="B225">
        <v>90</v>
      </c>
      <c r="C225" s="1">
        <v>1395.7311070468611</v>
      </c>
      <c r="E225">
        <v>90</v>
      </c>
      <c r="F225" s="1">
        <v>789.05331918382558</v>
      </c>
      <c r="H225">
        <v>90</v>
      </c>
      <c r="I225" s="1">
        <v>315.12506772435256</v>
      </c>
    </row>
    <row r="226" spans="2:9" x14ac:dyDescent="0.25">
      <c r="B226">
        <v>91</v>
      </c>
      <c r="C226" s="1">
        <v>1393.5954546995506</v>
      </c>
      <c r="E226">
        <v>91</v>
      </c>
      <c r="F226" s="1">
        <v>787.84596372347926</v>
      </c>
      <c r="H226">
        <v>91</v>
      </c>
      <c r="I226" s="1">
        <v>314.64288488327242</v>
      </c>
    </row>
    <row r="227" spans="2:9" x14ac:dyDescent="0.25">
      <c r="B227">
        <v>92</v>
      </c>
      <c r="C227" s="1">
        <v>1391.4894693698941</v>
      </c>
      <c r="E227">
        <v>92</v>
      </c>
      <c r="F227" s="1">
        <v>786.65538001711343</v>
      </c>
      <c r="H227">
        <v>92</v>
      </c>
      <c r="I227" s="1">
        <v>314.16740019551111</v>
      </c>
    </row>
    <row r="228" spans="2:9" x14ac:dyDescent="0.25">
      <c r="B228">
        <v>93</v>
      </c>
      <c r="C228" s="1">
        <v>1389.4124227253465</v>
      </c>
      <c r="E228">
        <v>93</v>
      </c>
      <c r="F228" s="1">
        <v>785.48115631406256</v>
      </c>
      <c r="H228">
        <v>93</v>
      </c>
      <c r="I228" s="1">
        <v>313.69844921976511</v>
      </c>
    </row>
    <row r="229" spans="2:9" x14ac:dyDescent="0.25">
      <c r="B229">
        <v>94</v>
      </c>
      <c r="C229" s="1">
        <v>1387.3636119076386</v>
      </c>
      <c r="E229">
        <v>94</v>
      </c>
      <c r="F229" s="1">
        <v>784.3228952651184</v>
      </c>
      <c r="H229">
        <v>94</v>
      </c>
      <c r="I229" s="1">
        <v>313.23587326625648</v>
      </c>
    </row>
    <row r="230" spans="2:9" x14ac:dyDescent="0.25">
      <c r="B230">
        <v>95</v>
      </c>
      <c r="C230" s="1">
        <v>1385.3423583818626</v>
      </c>
      <c r="E230">
        <v>95</v>
      </c>
      <c r="F230" s="1">
        <v>783.18021327187967</v>
      </c>
      <c r="H230">
        <v>95</v>
      </c>
      <c r="I230" s="1">
        <v>312.77951913688173</v>
      </c>
    </row>
    <row r="231" spans="2:9" x14ac:dyDescent="0.25">
      <c r="B231">
        <v>96</v>
      </c>
      <c r="C231" s="1">
        <v>1383.3480068490471</v>
      </c>
      <c r="E231">
        <v>96</v>
      </c>
      <c r="F231" s="1">
        <v>782.05273987199462</v>
      </c>
      <c r="H231">
        <v>96</v>
      </c>
      <c r="I231" s="1">
        <v>312.32923887969525</v>
      </c>
    </row>
    <row r="232" spans="2:9" x14ac:dyDescent="0.25">
      <c r="B232">
        <v>97</v>
      </c>
      <c r="C232" s="1">
        <v>1381.3799242181062</v>
      </c>
      <c r="E232">
        <v>97</v>
      </c>
      <c r="F232" s="1">
        <v>780.94011715796933</v>
      </c>
      <c r="H232">
        <v>97</v>
      </c>
      <c r="I232" s="1">
        <v>311.8848895567985</v>
      </c>
    </row>
    <row r="233" spans="2:9" x14ac:dyDescent="0.25">
      <c r="B233">
        <v>98</v>
      </c>
      <c r="C233" s="1">
        <v>1379.4374986333394</v>
      </c>
      <c r="E233">
        <v>98</v>
      </c>
      <c r="F233" s="1">
        <v>779.84199922738117</v>
      </c>
      <c r="H233">
        <v>98</v>
      </c>
      <c r="I233" s="1">
        <v>311.44633302477132</v>
      </c>
    </row>
    <row r="234" spans="2:9" x14ac:dyDescent="0.25">
      <c r="B234">
        <v>99</v>
      </c>
      <c r="C234" s="1">
        <v>1377.520138553954</v>
      </c>
      <c r="E234">
        <v>99</v>
      </c>
      <c r="F234" s="1">
        <v>778.758051662502</v>
      </c>
      <c r="H234">
        <v>99</v>
      </c>
      <c r="I234" s="1">
        <v>311.01343572684806</v>
      </c>
    </row>
    <row r="235" spans="2:9" x14ac:dyDescent="0.25">
      <c r="B235">
        <v>100</v>
      </c>
      <c r="C235" s="1">
        <v>1375.6272718823259</v>
      </c>
      <c r="E235">
        <v>100</v>
      </c>
      <c r="F235" s="1">
        <v>777.68795103747493</v>
      </c>
      <c r="H235">
        <v>100</v>
      </c>
      <c r="I235" s="1">
        <v>310.58606849609828</v>
      </c>
    </row>
  </sheetData>
  <mergeCells count="6">
    <mergeCell ref="F1:H1"/>
    <mergeCell ref="K8:M8"/>
    <mergeCell ref="F17:H17"/>
    <mergeCell ref="C17:E17"/>
    <mergeCell ref="G8:J8"/>
    <mergeCell ref="C8:F8"/>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0"/>
  <sheetViews>
    <sheetView workbookViewId="0">
      <selection activeCell="M33" sqref="M33"/>
    </sheetView>
  </sheetViews>
  <sheetFormatPr defaultColWidth="8.85546875" defaultRowHeight="15" x14ac:dyDescent="0.25"/>
  <cols>
    <col min="3" max="3" width="13.7109375" bestFit="1" customWidth="1"/>
    <col min="4" max="5" width="6.42578125" bestFit="1" customWidth="1"/>
    <col min="6" max="6" width="8.28515625" bestFit="1" customWidth="1"/>
    <col min="7" max="7" width="7" bestFit="1" customWidth="1"/>
    <col min="8" max="8" width="8.85546875" bestFit="1" customWidth="1"/>
    <col min="10" max="10" width="31.7109375" bestFit="1" customWidth="1"/>
    <col min="11" max="11" width="11.140625" bestFit="1" customWidth="1"/>
    <col min="12" max="12" width="14.7109375" bestFit="1" customWidth="1"/>
    <col min="13" max="13" width="11.42578125" bestFit="1" customWidth="1"/>
    <col min="14" max="14" width="10.7109375" bestFit="1" customWidth="1"/>
    <col min="15" max="15" width="14.7109375" bestFit="1" customWidth="1"/>
  </cols>
  <sheetData>
    <row r="1" spans="2:15" x14ac:dyDescent="0.25">
      <c r="B1" t="s">
        <v>471</v>
      </c>
    </row>
    <row r="2" spans="2:15" x14ac:dyDescent="0.25">
      <c r="B2" t="s">
        <v>472</v>
      </c>
    </row>
    <row r="4" spans="2:15" x14ac:dyDescent="0.25">
      <c r="C4" t="s">
        <v>474</v>
      </c>
      <c r="D4">
        <v>19.899999999999999</v>
      </c>
      <c r="F4" t="s">
        <v>47</v>
      </c>
    </row>
    <row r="5" spans="2:15" x14ac:dyDescent="0.25">
      <c r="C5" t="s">
        <v>475</v>
      </c>
      <c r="D5">
        <v>32</v>
      </c>
      <c r="F5" t="s">
        <v>15</v>
      </c>
    </row>
    <row r="7" spans="2:15" x14ac:dyDescent="0.25">
      <c r="C7" t="s">
        <v>473</v>
      </c>
      <c r="D7" t="s">
        <v>477</v>
      </c>
      <c r="E7" s="11" t="s">
        <v>330</v>
      </c>
      <c r="F7" s="11" t="s">
        <v>476</v>
      </c>
      <c r="G7" s="11" t="s">
        <v>386</v>
      </c>
      <c r="H7" s="11" t="s">
        <v>333</v>
      </c>
      <c r="I7" s="11"/>
      <c r="J7" s="11" t="s">
        <v>478</v>
      </c>
      <c r="K7" s="11" t="s">
        <v>479</v>
      </c>
      <c r="L7" s="11" t="s">
        <v>481</v>
      </c>
      <c r="M7" s="11" t="s">
        <v>483</v>
      </c>
      <c r="N7" s="11" t="s">
        <v>482</v>
      </c>
      <c r="O7" s="11" t="s">
        <v>480</v>
      </c>
    </row>
    <row r="8" spans="2:15" x14ac:dyDescent="0.25">
      <c r="C8">
        <v>5</v>
      </c>
      <c r="D8" s="1">
        <f>C8/$D$4</f>
        <v>0.25125628140703521</v>
      </c>
      <c r="E8" s="12">
        <f>D8*3600</f>
        <v>904.52261306532671</v>
      </c>
      <c r="F8" s="12">
        <f>E8*24</f>
        <v>21708.54271356784</v>
      </c>
      <c r="G8" s="12">
        <f>F8*365/1000</f>
        <v>7923.6180904522616</v>
      </c>
      <c r="H8" s="12">
        <f>E8/$D$5</f>
        <v>28.26633165829146</v>
      </c>
      <c r="J8">
        <v>1000</v>
      </c>
      <c r="K8">
        <f>J8*1000*$D$4</f>
        <v>19900000</v>
      </c>
      <c r="L8" s="12">
        <f>K8/3600</f>
        <v>5527.7777777777774</v>
      </c>
      <c r="M8" s="12">
        <f>L8/24</f>
        <v>230.32407407407405</v>
      </c>
      <c r="N8" s="12">
        <f>M8/365*1000</f>
        <v>631.02486047691525</v>
      </c>
      <c r="O8" s="12">
        <f>L8*$D$5</f>
        <v>176888.88888888888</v>
      </c>
    </row>
    <row r="9" spans="2:15" x14ac:dyDescent="0.25">
      <c r="C9">
        <v>50</v>
      </c>
      <c r="D9" s="1">
        <f t="shared" ref="D9:D10" si="0">C9/$D$4</f>
        <v>2.512562814070352</v>
      </c>
      <c r="E9" s="12">
        <f t="shared" ref="E9:E10" si="1">D9*3600</f>
        <v>9045.2261306532673</v>
      </c>
      <c r="F9" s="12">
        <f t="shared" ref="F9:F10" si="2">E9*24</f>
        <v>217085.42713567842</v>
      </c>
      <c r="G9" s="12">
        <f t="shared" ref="G9:G10" si="3">F9*365/1000</f>
        <v>79236.180904522625</v>
      </c>
      <c r="H9" s="12">
        <f t="shared" ref="H9:H10" si="4">E9/$D$5</f>
        <v>282.6633165829146</v>
      </c>
      <c r="J9">
        <v>500</v>
      </c>
      <c r="K9">
        <f t="shared" ref="K9:K10" si="5">J9*1000*$D$4</f>
        <v>9950000</v>
      </c>
      <c r="L9" s="12">
        <f t="shared" ref="L9:L10" si="6">K9/3600</f>
        <v>2763.8888888888887</v>
      </c>
      <c r="M9" s="12">
        <f t="shared" ref="M9:M10" si="7">L9/24</f>
        <v>115.16203703703702</v>
      </c>
      <c r="N9" s="12">
        <f t="shared" ref="N9:N10" si="8">M9/365*1000</f>
        <v>315.51243023845763</v>
      </c>
      <c r="O9" s="12">
        <f t="shared" ref="O9:O10" si="9">L9*$D$5</f>
        <v>88444.444444444438</v>
      </c>
    </row>
    <row r="10" spans="2:15" x14ac:dyDescent="0.25">
      <c r="C10">
        <v>200</v>
      </c>
      <c r="D10" s="1">
        <f t="shared" si="0"/>
        <v>10.050251256281408</v>
      </c>
      <c r="E10" s="12">
        <f t="shared" si="1"/>
        <v>36180.904522613069</v>
      </c>
      <c r="F10" s="12">
        <f t="shared" si="2"/>
        <v>868341.70854271366</v>
      </c>
      <c r="G10" s="12">
        <f t="shared" si="3"/>
        <v>316944.7236180905</v>
      </c>
      <c r="H10" s="12">
        <f t="shared" si="4"/>
        <v>1130.6532663316584</v>
      </c>
      <c r="J10">
        <v>300</v>
      </c>
      <c r="K10">
        <f t="shared" si="5"/>
        <v>5970000</v>
      </c>
      <c r="L10" s="12">
        <f t="shared" si="6"/>
        <v>1658.3333333333333</v>
      </c>
      <c r="M10" s="12">
        <f t="shared" si="7"/>
        <v>69.097222222222214</v>
      </c>
      <c r="N10" s="12">
        <f t="shared" si="8"/>
        <v>189.30745814307457</v>
      </c>
      <c r="O10" s="12">
        <f t="shared" si="9"/>
        <v>53066.666666666664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F28" sqref="F28"/>
    </sheetView>
  </sheetViews>
  <sheetFormatPr defaultColWidth="8.85546875" defaultRowHeight="15" x14ac:dyDescent="0.25"/>
  <cols>
    <col min="2" max="2" width="14.140625" customWidth="1"/>
    <col min="3" max="3" width="39.28515625" bestFit="1" customWidth="1"/>
    <col min="5" max="5" width="8.85546875" customWidth="1"/>
    <col min="6" max="6" width="10.140625" bestFit="1" customWidth="1"/>
    <col min="7" max="7" width="19.42578125" bestFit="1" customWidth="1"/>
    <col min="8" max="8" width="26" customWidth="1"/>
  </cols>
  <sheetData>
    <row r="1" spans="1:9" x14ac:dyDescent="0.25">
      <c r="A1" t="s">
        <v>519</v>
      </c>
    </row>
    <row r="3" spans="1:9" x14ac:dyDescent="0.25">
      <c r="B3" s="24" t="s">
        <v>518</v>
      </c>
      <c r="C3" s="24" t="s">
        <v>523</v>
      </c>
      <c r="D3" s="24" t="s">
        <v>521</v>
      </c>
      <c r="E3" s="24" t="s">
        <v>16</v>
      </c>
      <c r="F3" s="24" t="s">
        <v>520</v>
      </c>
      <c r="G3" s="24" t="s">
        <v>530</v>
      </c>
      <c r="H3" s="24" t="s">
        <v>522</v>
      </c>
      <c r="I3" s="24" t="s">
        <v>45</v>
      </c>
    </row>
    <row r="4" spans="1:9" x14ac:dyDescent="0.25">
      <c r="B4" t="s">
        <v>340</v>
      </c>
      <c r="C4" t="s">
        <v>524</v>
      </c>
      <c r="D4">
        <v>150</v>
      </c>
      <c r="E4" t="s">
        <v>8</v>
      </c>
      <c r="F4" t="s">
        <v>533</v>
      </c>
      <c r="G4" t="s">
        <v>531</v>
      </c>
      <c r="I4" t="s">
        <v>525</v>
      </c>
    </row>
    <row r="5" spans="1:9" x14ac:dyDescent="0.25">
      <c r="B5" t="s">
        <v>340</v>
      </c>
      <c r="C5" t="s">
        <v>526</v>
      </c>
      <c r="D5">
        <v>260</v>
      </c>
      <c r="E5" t="s">
        <v>8</v>
      </c>
      <c r="F5" t="s">
        <v>533</v>
      </c>
      <c r="G5" t="s">
        <v>532</v>
      </c>
      <c r="I5" t="s">
        <v>525</v>
      </c>
    </row>
    <row r="6" spans="1:9" x14ac:dyDescent="0.25">
      <c r="B6" t="s">
        <v>340</v>
      </c>
      <c r="C6" t="s">
        <v>524</v>
      </c>
      <c r="D6">
        <v>30</v>
      </c>
      <c r="E6" t="s">
        <v>8</v>
      </c>
      <c r="F6" t="s">
        <v>527</v>
      </c>
      <c r="G6" t="s">
        <v>531</v>
      </c>
      <c r="H6" t="s">
        <v>528</v>
      </c>
      <c r="I6" t="s">
        <v>525</v>
      </c>
    </row>
    <row r="7" spans="1:9" x14ac:dyDescent="0.25">
      <c r="B7" t="s">
        <v>340</v>
      </c>
      <c r="C7" t="s">
        <v>539</v>
      </c>
      <c r="D7">
        <v>20</v>
      </c>
      <c r="E7" t="s">
        <v>8</v>
      </c>
      <c r="F7" t="s">
        <v>527</v>
      </c>
      <c r="I7" t="s">
        <v>538</v>
      </c>
    </row>
    <row r="9" spans="1:9" x14ac:dyDescent="0.25">
      <c r="B9" t="s">
        <v>7</v>
      </c>
      <c r="C9" t="s">
        <v>529</v>
      </c>
      <c r="D9">
        <v>20</v>
      </c>
      <c r="E9" t="s">
        <v>8</v>
      </c>
      <c r="F9" t="s">
        <v>533</v>
      </c>
      <c r="G9" t="s">
        <v>531</v>
      </c>
      <c r="I9" t="s">
        <v>535</v>
      </c>
    </row>
    <row r="10" spans="1:9" x14ac:dyDescent="0.25">
      <c r="B10" t="s">
        <v>7</v>
      </c>
      <c r="C10" t="s">
        <v>534</v>
      </c>
      <c r="D10">
        <v>5</v>
      </c>
      <c r="E10" t="s">
        <v>8</v>
      </c>
      <c r="F10" t="s">
        <v>527</v>
      </c>
      <c r="G10" t="s">
        <v>531</v>
      </c>
      <c r="I10" t="s">
        <v>535</v>
      </c>
    </row>
    <row r="11" spans="1:9" x14ac:dyDescent="0.25">
      <c r="B11" t="s">
        <v>7</v>
      </c>
      <c r="C11" t="s">
        <v>541</v>
      </c>
      <c r="D11">
        <v>20</v>
      </c>
      <c r="E11" t="s">
        <v>8</v>
      </c>
      <c r="F11" t="s">
        <v>527</v>
      </c>
      <c r="I11" t="s">
        <v>540</v>
      </c>
    </row>
    <row r="13" spans="1:9" x14ac:dyDescent="0.25">
      <c r="B13" t="s">
        <v>340</v>
      </c>
      <c r="C13" t="s">
        <v>536</v>
      </c>
      <c r="D13">
        <v>100</v>
      </c>
      <c r="E13" t="s">
        <v>8</v>
      </c>
      <c r="F13" t="s">
        <v>527</v>
      </c>
      <c r="H13" t="s">
        <v>537</v>
      </c>
      <c r="I13" t="s">
        <v>536</v>
      </c>
    </row>
    <row r="14" spans="1:9" x14ac:dyDescent="0.25">
      <c r="B14" t="s">
        <v>7</v>
      </c>
      <c r="C14" t="s">
        <v>536</v>
      </c>
      <c r="D14">
        <v>100</v>
      </c>
      <c r="E14" t="s">
        <v>8</v>
      </c>
      <c r="F14" t="s">
        <v>527</v>
      </c>
      <c r="H14" t="s">
        <v>537</v>
      </c>
      <c r="I14" t="s">
        <v>536</v>
      </c>
    </row>
    <row r="17" spans="2:9" x14ac:dyDescent="0.25">
      <c r="B17" t="s">
        <v>417</v>
      </c>
      <c r="C17" t="s">
        <v>542</v>
      </c>
      <c r="D17">
        <v>36</v>
      </c>
      <c r="E17" t="s">
        <v>549</v>
      </c>
      <c r="F17" t="s">
        <v>543</v>
      </c>
      <c r="G17" t="s">
        <v>548</v>
      </c>
      <c r="I17" t="s">
        <v>544</v>
      </c>
    </row>
    <row r="18" spans="2:9" x14ac:dyDescent="0.25">
      <c r="B18" t="s">
        <v>417</v>
      </c>
      <c r="C18" t="s">
        <v>542</v>
      </c>
      <c r="D18">
        <v>100</v>
      </c>
      <c r="E18" t="s">
        <v>549</v>
      </c>
      <c r="F18" t="s">
        <v>543</v>
      </c>
      <c r="G18" t="s">
        <v>545</v>
      </c>
      <c r="I18" t="s">
        <v>544</v>
      </c>
    </row>
    <row r="20" spans="2:9" x14ac:dyDescent="0.25">
      <c r="B20" t="s">
        <v>416</v>
      </c>
      <c r="C20" t="s">
        <v>546</v>
      </c>
      <c r="D20">
        <v>10</v>
      </c>
      <c r="E20" t="s">
        <v>549</v>
      </c>
      <c r="F20" t="s">
        <v>547</v>
      </c>
      <c r="G20" t="s">
        <v>531</v>
      </c>
      <c r="I20" t="s">
        <v>544</v>
      </c>
    </row>
    <row r="21" spans="2:9" x14ac:dyDescent="0.25">
      <c r="B21" t="s">
        <v>416</v>
      </c>
      <c r="C21" t="s">
        <v>546</v>
      </c>
      <c r="D21">
        <v>1000</v>
      </c>
      <c r="E21" t="s">
        <v>549</v>
      </c>
      <c r="F21" t="s">
        <v>543</v>
      </c>
      <c r="G21" t="s">
        <v>532</v>
      </c>
      <c r="I21" t="s">
        <v>544</v>
      </c>
    </row>
    <row r="23" spans="2:9" x14ac:dyDescent="0.25">
      <c r="B23" t="s">
        <v>68</v>
      </c>
      <c r="C23" t="s">
        <v>550</v>
      </c>
      <c r="D23">
        <v>40</v>
      </c>
      <c r="E23" t="s">
        <v>717</v>
      </c>
      <c r="F23" t="s">
        <v>543</v>
      </c>
      <c r="G23" t="s">
        <v>552</v>
      </c>
      <c r="I23" t="s">
        <v>551</v>
      </c>
    </row>
    <row r="24" spans="2:9" x14ac:dyDescent="0.25">
      <c r="B24" t="s">
        <v>68</v>
      </c>
      <c r="C24" t="s">
        <v>553</v>
      </c>
      <c r="D24">
        <v>70</v>
      </c>
      <c r="E24" t="s">
        <v>718</v>
      </c>
      <c r="F24" t="s">
        <v>543</v>
      </c>
      <c r="G24" t="s">
        <v>554</v>
      </c>
      <c r="I24" t="s">
        <v>555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76"/>
  <sheetViews>
    <sheetView topLeftCell="E1" zoomScale="55" zoomScaleNormal="55" workbookViewId="0">
      <selection activeCell="AX69" sqref="AX69"/>
    </sheetView>
  </sheetViews>
  <sheetFormatPr defaultColWidth="8.85546875" defaultRowHeight="15" x14ac:dyDescent="0.25"/>
  <cols>
    <col min="3" max="3" width="36.140625" bestFit="1" customWidth="1"/>
    <col min="4" max="4" width="14.28515625" customWidth="1"/>
    <col min="5" max="5" width="13.7109375" customWidth="1"/>
    <col min="6" max="6" width="14.42578125" customWidth="1"/>
    <col min="7" max="7" width="16.85546875" customWidth="1"/>
    <col min="8" max="8" width="14.85546875" customWidth="1"/>
    <col min="9" max="9" width="14.42578125" customWidth="1"/>
    <col min="10" max="10" width="12.42578125" customWidth="1"/>
    <col min="11" max="11" width="15.28515625" customWidth="1"/>
    <col min="12" max="12" width="17" customWidth="1"/>
    <col min="13" max="13" width="17.140625" customWidth="1"/>
    <col min="14" max="14" width="13.7109375" customWidth="1"/>
    <col min="16" max="16" width="17" customWidth="1"/>
    <col min="17" max="17" width="11.140625" bestFit="1" customWidth="1"/>
  </cols>
  <sheetData>
    <row r="1" spans="1:30" x14ac:dyDescent="0.25">
      <c r="A1" s="5" t="s">
        <v>403</v>
      </c>
      <c r="V1" t="s">
        <v>427</v>
      </c>
      <c r="AA1" t="s">
        <v>363</v>
      </c>
    </row>
    <row r="2" spans="1:30" x14ac:dyDescent="0.25">
      <c r="A2" s="5"/>
      <c r="C2" t="s">
        <v>419</v>
      </c>
      <c r="D2" s="28">
        <f>1000000</f>
        <v>1000000</v>
      </c>
      <c r="E2" t="s">
        <v>295</v>
      </c>
      <c r="V2" s="11" t="s">
        <v>70</v>
      </c>
      <c r="W2" s="11" t="s">
        <v>71</v>
      </c>
      <c r="X2" s="11" t="s">
        <v>73</v>
      </c>
      <c r="Y2" s="11" t="s">
        <v>72</v>
      </c>
      <c r="AA2" s="11" t="s">
        <v>70</v>
      </c>
      <c r="AB2" s="11" t="s">
        <v>71</v>
      </c>
      <c r="AC2" s="11" t="s">
        <v>73</v>
      </c>
      <c r="AD2" s="11" t="s">
        <v>72</v>
      </c>
    </row>
    <row r="3" spans="1:30" x14ac:dyDescent="0.25">
      <c r="C3" t="s">
        <v>423</v>
      </c>
      <c r="D3">
        <f>D2/D7</f>
        <v>10</v>
      </c>
      <c r="E3" t="s">
        <v>3</v>
      </c>
      <c r="V3">
        <v>1</v>
      </c>
      <c r="W3">
        <f>V3^(-$D$5)</f>
        <v>1</v>
      </c>
      <c r="X3">
        <f>SUM($W$3:W3)</f>
        <v>1</v>
      </c>
      <c r="Y3">
        <f>X3/V3</f>
        <v>1</v>
      </c>
      <c r="AA3">
        <v>1</v>
      </c>
      <c r="AB3">
        <f>AA3^(-$D$40)</f>
        <v>1</v>
      </c>
      <c r="AC3">
        <f>SUM($AB$3:AB3)</f>
        <v>1</v>
      </c>
      <c r="AD3">
        <f>AC3/AA3</f>
        <v>1</v>
      </c>
    </row>
    <row r="4" spans="1:30" x14ac:dyDescent="0.25">
      <c r="C4" t="s">
        <v>420</v>
      </c>
      <c r="D4" s="7">
        <v>0.1</v>
      </c>
      <c r="E4" t="s">
        <v>3</v>
      </c>
      <c r="F4" t="s">
        <v>292</v>
      </c>
      <c r="V4">
        <v>2</v>
      </c>
      <c r="W4">
        <f t="shared" ref="W4:W67" si="0">V4^(-$D$5)</f>
        <v>0.89999999999999991</v>
      </c>
      <c r="X4">
        <f>SUM($W$3:W4)</f>
        <v>1.9</v>
      </c>
      <c r="Y4" s="4">
        <f>X4/V4</f>
        <v>0.95</v>
      </c>
      <c r="AA4">
        <v>2</v>
      </c>
      <c r="AB4">
        <f t="shared" ref="AB4:AB34" si="1">AA4^(-$D$40)</f>
        <v>0.86</v>
      </c>
      <c r="AC4">
        <f>SUM($AB$3:AB4)</f>
        <v>1.8599999999999999</v>
      </c>
      <c r="AD4" s="4">
        <f>AC4/AA4</f>
        <v>0.92999999999999994</v>
      </c>
    </row>
    <row r="5" spans="1:30" x14ac:dyDescent="0.25">
      <c r="C5" t="s">
        <v>422</v>
      </c>
      <c r="D5" s="7">
        <f>-LN(1-D4)/LN(2)</f>
        <v>0.15200309344504997</v>
      </c>
      <c r="E5" t="s">
        <v>3</v>
      </c>
      <c r="V5">
        <v>3</v>
      </c>
      <c r="W5">
        <f t="shared" si="0"/>
        <v>0.84620598631234178</v>
      </c>
      <c r="X5">
        <f>SUM($W$3:W5)</f>
        <v>2.7462059863123418</v>
      </c>
      <c r="Y5" s="4">
        <f>X5/V5</f>
        <v>0.91540199543744727</v>
      </c>
      <c r="AA5">
        <v>3</v>
      </c>
      <c r="AB5">
        <f t="shared" si="1"/>
        <v>0.78737659566455431</v>
      </c>
      <c r="AC5">
        <f>SUM($AB$3:AB5)</f>
        <v>2.6473765956645541</v>
      </c>
      <c r="AD5" s="4">
        <f>AC5/AA5</f>
        <v>0.88245886522151806</v>
      </c>
    </row>
    <row r="6" spans="1:30" x14ac:dyDescent="0.25">
      <c r="C6" t="s">
        <v>294</v>
      </c>
      <c r="D6" s="28">
        <v>980000</v>
      </c>
      <c r="E6" t="s">
        <v>295</v>
      </c>
      <c r="V6">
        <v>4</v>
      </c>
      <c r="W6">
        <f t="shared" si="0"/>
        <v>0.81</v>
      </c>
      <c r="X6">
        <f>SUM($W$3:W6)</f>
        <v>3.5562059863123419</v>
      </c>
      <c r="Y6" s="4">
        <f t="shared" ref="Y6:Y69" si="2">X6/V6</f>
        <v>0.88905149657808547</v>
      </c>
      <c r="AA6">
        <v>4</v>
      </c>
      <c r="AB6">
        <f t="shared" si="1"/>
        <v>0.73959999999999992</v>
      </c>
      <c r="AC6">
        <f>SUM($AB$3:AB6)</f>
        <v>3.3869765956645539</v>
      </c>
      <c r="AD6" s="4">
        <f t="shared" ref="AD6:AD69" si="3">AC6/AA6</f>
        <v>0.84674414891613847</v>
      </c>
    </row>
    <row r="7" spans="1:30" x14ac:dyDescent="0.25">
      <c r="C7" s="5" t="s">
        <v>310</v>
      </c>
      <c r="D7" s="16">
        <v>100000</v>
      </c>
      <c r="E7" s="5" t="s">
        <v>295</v>
      </c>
      <c r="V7">
        <v>5</v>
      </c>
      <c r="W7">
        <f t="shared" si="0"/>
        <v>0.78298672168038441</v>
      </c>
      <c r="X7">
        <f>SUM($W$3:W7)</f>
        <v>4.3391927079927264</v>
      </c>
      <c r="Y7" s="4">
        <f t="shared" si="2"/>
        <v>0.86783854159854523</v>
      </c>
      <c r="AA7">
        <v>5</v>
      </c>
      <c r="AB7">
        <f t="shared" si="1"/>
        <v>0.704547233106674</v>
      </c>
      <c r="AC7">
        <f>SUM($AB$3:AB7)</f>
        <v>4.0915238287712281</v>
      </c>
      <c r="AD7" s="4">
        <f t="shared" si="3"/>
        <v>0.8183047657542456</v>
      </c>
    </row>
    <row r="8" spans="1:30" x14ac:dyDescent="0.25">
      <c r="C8" t="s">
        <v>424</v>
      </c>
      <c r="D8" s="28">
        <f>L72</f>
        <v>1000000</v>
      </c>
      <c r="E8" t="s">
        <v>295</v>
      </c>
      <c r="V8">
        <v>6</v>
      </c>
      <c r="W8">
        <f t="shared" si="0"/>
        <v>0.76158538768110773</v>
      </c>
      <c r="X8">
        <f>SUM($W$3:W8)</f>
        <v>5.1007780956738342</v>
      </c>
      <c r="Y8" s="4">
        <f t="shared" si="2"/>
        <v>0.8501296826123057</v>
      </c>
      <c r="AA8">
        <v>6</v>
      </c>
      <c r="AB8">
        <f t="shared" si="1"/>
        <v>0.67714387227151684</v>
      </c>
      <c r="AC8">
        <f>SUM($AB$3:AB8)</f>
        <v>4.7686677010427445</v>
      </c>
      <c r="AD8" s="4">
        <f t="shared" si="3"/>
        <v>0.79477795017379071</v>
      </c>
    </row>
    <row r="9" spans="1:30" x14ac:dyDescent="0.25">
      <c r="C9" s="20"/>
      <c r="D9" s="20"/>
      <c r="E9" s="20"/>
      <c r="F9" s="20"/>
      <c r="G9" s="143" t="s">
        <v>466</v>
      </c>
      <c r="H9" s="20"/>
      <c r="I9" s="20"/>
      <c r="J9" s="20"/>
      <c r="K9" s="20"/>
      <c r="L9" s="20"/>
      <c r="V9">
        <v>7</v>
      </c>
      <c r="W9">
        <f t="shared" si="0"/>
        <v>0.74394783398224207</v>
      </c>
      <c r="X9">
        <f>SUM($W$3:W9)</f>
        <v>5.8447259296560761</v>
      </c>
      <c r="Y9" s="4">
        <f t="shared" si="2"/>
        <v>0.8349608470937252</v>
      </c>
      <c r="AA9">
        <v>7</v>
      </c>
      <c r="AB9">
        <f t="shared" si="1"/>
        <v>0.65480789145476015</v>
      </c>
      <c r="AC9">
        <f>SUM($AB$3:AB9)</f>
        <v>5.4234755924975051</v>
      </c>
      <c r="AD9" s="4">
        <f t="shared" si="3"/>
        <v>0.77478222749964354</v>
      </c>
    </row>
    <row r="10" spans="1:30" s="75" customFormat="1" ht="75" x14ac:dyDescent="0.25">
      <c r="C10" s="49" t="s">
        <v>296</v>
      </c>
      <c r="D10" s="49" t="s">
        <v>312</v>
      </c>
      <c r="E10" s="49" t="s">
        <v>307</v>
      </c>
      <c r="F10" s="49" t="s">
        <v>402</v>
      </c>
      <c r="G10" s="49" t="s">
        <v>312</v>
      </c>
      <c r="H10" s="118" t="s">
        <v>312</v>
      </c>
      <c r="I10" s="120" t="s">
        <v>307</v>
      </c>
      <c r="J10" s="49" t="s">
        <v>297</v>
      </c>
      <c r="K10" s="119" t="s">
        <v>311</v>
      </c>
      <c r="L10" s="120" t="s">
        <v>313</v>
      </c>
      <c r="N10" s="80" t="s">
        <v>319</v>
      </c>
      <c r="O10" s="49" t="s">
        <v>320</v>
      </c>
      <c r="Q10" s="84" t="s">
        <v>506</v>
      </c>
      <c r="R10"/>
      <c r="S10"/>
      <c r="T10"/>
      <c r="U10"/>
      <c r="V10">
        <v>8</v>
      </c>
      <c r="W10">
        <f t="shared" si="0"/>
        <v>0.72900000000000009</v>
      </c>
      <c r="X10">
        <f>SUM($W$3:W10)</f>
        <v>6.5737259296560762</v>
      </c>
      <c r="Y10" s="4">
        <f t="shared" si="2"/>
        <v>0.82171574120700952</v>
      </c>
      <c r="AA10">
        <v>8</v>
      </c>
      <c r="AB10">
        <f t="shared" si="1"/>
        <v>0.63605599999999995</v>
      </c>
      <c r="AC10">
        <f>SUM($AB$3:AB10)</f>
        <v>6.0595315924975051</v>
      </c>
      <c r="AD10" s="4">
        <f t="shared" si="3"/>
        <v>0.75744144906218813</v>
      </c>
    </row>
    <row r="11" spans="1:30" x14ac:dyDescent="0.25">
      <c r="C11" s="75" t="s">
        <v>66</v>
      </c>
      <c r="D11" s="75" t="s">
        <v>397</v>
      </c>
      <c r="E11" s="75" t="s">
        <v>397</v>
      </c>
      <c r="F11" s="49" t="s">
        <v>55</v>
      </c>
      <c r="G11" s="49" t="s">
        <v>306</v>
      </c>
      <c r="H11" s="113" t="s">
        <v>306</v>
      </c>
      <c r="I11" s="120" t="s">
        <v>306</v>
      </c>
      <c r="J11" s="75" t="s">
        <v>55</v>
      </c>
      <c r="K11" s="80" t="s">
        <v>306</v>
      </c>
      <c r="L11" s="120" t="s">
        <v>306</v>
      </c>
      <c r="N11" s="17" t="s">
        <v>55</v>
      </c>
      <c r="O11" s="49" t="s">
        <v>55</v>
      </c>
      <c r="V11">
        <v>9</v>
      </c>
      <c r="W11">
        <f t="shared" si="0"/>
        <v>0.71606457127084322</v>
      </c>
      <c r="X11">
        <f>SUM($W$3:W11)</f>
        <v>7.2897905009269195</v>
      </c>
      <c r="Y11" s="4">
        <f t="shared" si="2"/>
        <v>0.80997672232521323</v>
      </c>
      <c r="AA11">
        <v>9</v>
      </c>
      <c r="AB11">
        <f t="shared" si="1"/>
        <v>0.6199619034003031</v>
      </c>
      <c r="AC11">
        <f>SUM($AB$3:AB11)</f>
        <v>6.6794934958978081</v>
      </c>
      <c r="AD11" s="4">
        <f t="shared" si="3"/>
        <v>0.74216594398864533</v>
      </c>
    </row>
    <row r="12" spans="1:30" s="74" customFormat="1" ht="75" x14ac:dyDescent="0.25">
      <c r="C12" s="78" t="s">
        <v>12</v>
      </c>
      <c r="D12" s="78" t="s">
        <v>292</v>
      </c>
      <c r="E12" s="78" t="s">
        <v>292</v>
      </c>
      <c r="F12" s="78" t="s">
        <v>292</v>
      </c>
      <c r="G12" s="107" t="s">
        <v>463</v>
      </c>
      <c r="H12" s="114" t="s">
        <v>465</v>
      </c>
      <c r="I12" s="123"/>
      <c r="J12" s="78" t="s">
        <v>293</v>
      </c>
      <c r="K12" s="110"/>
      <c r="L12" s="121"/>
      <c r="N12" s="112"/>
      <c r="Q12" s="74" t="s">
        <v>502</v>
      </c>
      <c r="R12" s="74" t="s">
        <v>503</v>
      </c>
      <c r="S12" s="74" t="s">
        <v>504</v>
      </c>
      <c r="T12" s="74" t="s">
        <v>505</v>
      </c>
      <c r="V12">
        <v>10</v>
      </c>
      <c r="W12">
        <f t="shared" si="0"/>
        <v>0.70468804951234598</v>
      </c>
      <c r="X12">
        <f>SUM($W$3:W12)</f>
        <v>7.9944785504392657</v>
      </c>
      <c r="Y12" s="4">
        <f t="shared" si="2"/>
        <v>0.79944785504392657</v>
      </c>
      <c r="AA12">
        <v>10</v>
      </c>
      <c r="AB12">
        <f t="shared" si="1"/>
        <v>0.60591062047173949</v>
      </c>
      <c r="AC12">
        <f>SUM($AB$3:AB12)</f>
        <v>7.2854041163695475</v>
      </c>
      <c r="AD12" s="4">
        <f t="shared" si="3"/>
        <v>0.72854041163695471</v>
      </c>
    </row>
    <row r="13" spans="1:30" x14ac:dyDescent="0.25">
      <c r="C13" t="s">
        <v>391</v>
      </c>
      <c r="D13">
        <v>128</v>
      </c>
      <c r="E13">
        <f>238</f>
        <v>238</v>
      </c>
      <c r="F13" s="2">
        <f t="shared" ref="F13:F21" si="4">E13/D13</f>
        <v>1.859375</v>
      </c>
      <c r="G13" s="1">
        <f>D13*$D$25</f>
        <v>148.49187935034803</v>
      </c>
      <c r="H13" s="115">
        <v>148</v>
      </c>
      <c r="I13" s="18">
        <f>G13*F13</f>
        <v>276.10208816705335</v>
      </c>
      <c r="J13">
        <v>0.76</v>
      </c>
      <c r="K13" s="43">
        <f>G13*($D$7/$D$6)^J13</f>
        <v>26.204198843369358</v>
      </c>
      <c r="L13" s="18">
        <f t="shared" ref="L13:L21" si="5">K13*F13</f>
        <v>48.723432224389903</v>
      </c>
      <c r="M13" s="1">
        <f>I13*($D$7/$D$6)^J13</f>
        <v>48.723432224389896</v>
      </c>
      <c r="N13" s="83">
        <f t="shared" ref="N13:N21" si="6">I13/$I$22</f>
        <v>0.33430252974309271</v>
      </c>
      <c r="O13" s="2">
        <f t="shared" ref="O13:O21" si="7">L13/$L$22</f>
        <v>0.29570684856120466</v>
      </c>
      <c r="P13" t="s">
        <v>391</v>
      </c>
      <c r="Q13">
        <v>1.4714241296993733</v>
      </c>
      <c r="R13">
        <v>8.4671620899058784</v>
      </c>
      <c r="S13">
        <v>48.723432224389903</v>
      </c>
      <c r="T13">
        <v>280.37408786054147</v>
      </c>
      <c r="V13">
        <v>11</v>
      </c>
      <c r="W13">
        <f t="shared" si="0"/>
        <v>0.69455251838460985</v>
      </c>
      <c r="X13">
        <f>SUM($W$3:W13)</f>
        <v>8.6890310688238763</v>
      </c>
      <c r="Y13" s="4">
        <f t="shared" si="2"/>
        <v>0.78991191534762517</v>
      </c>
      <c r="AA13">
        <v>11</v>
      </c>
      <c r="AB13">
        <f t="shared" si="1"/>
        <v>0.59347423753746276</v>
      </c>
      <c r="AC13">
        <f>SUM($AB$3:AB13)</f>
        <v>7.8788783539070106</v>
      </c>
      <c r="AD13" s="4">
        <f t="shared" si="3"/>
        <v>0.71626166853700102</v>
      </c>
    </row>
    <row r="14" spans="1:30" x14ac:dyDescent="0.25">
      <c r="C14" t="s">
        <v>392</v>
      </c>
      <c r="D14">
        <v>86.2</v>
      </c>
      <c r="E14">
        <v>146</v>
      </c>
      <c r="F14" s="2">
        <f t="shared" si="4"/>
        <v>1.6937354988399071</v>
      </c>
      <c r="G14" s="1">
        <f t="shared" ref="G14:G21" si="8">D14*$D$25</f>
        <v>100</v>
      </c>
      <c r="H14" s="115">
        <v>100</v>
      </c>
      <c r="I14" s="18">
        <f t="shared" ref="I14:I20" si="9">G14*F14</f>
        <v>169.37354988399071</v>
      </c>
      <c r="J14">
        <v>0.67</v>
      </c>
      <c r="K14" s="43">
        <f t="shared" ref="K14:K20" si="10">G14*($D$7/$D$6)^J14</f>
        <v>21.67097890014135</v>
      </c>
      <c r="L14" s="18">
        <f t="shared" si="5"/>
        <v>36.70490625778001</v>
      </c>
      <c r="M14" s="1">
        <f t="shared" ref="M14:M21" si="11">I14*($D$7/$D$6)^J14</f>
        <v>36.70490625778001</v>
      </c>
      <c r="N14" s="83">
        <f t="shared" si="6"/>
        <v>0.2050763417751745</v>
      </c>
      <c r="O14" s="2">
        <f t="shared" si="7"/>
        <v>0.2227653443262427</v>
      </c>
      <c r="P14" t="s">
        <v>392</v>
      </c>
      <c r="Q14">
        <v>1.6777379151352363</v>
      </c>
      <c r="R14">
        <v>7.8473698077866887</v>
      </c>
      <c r="S14">
        <v>36.70490625778001</v>
      </c>
      <c r="T14">
        <v>171.68174514416103</v>
      </c>
      <c r="V14">
        <v>12</v>
      </c>
      <c r="W14">
        <f t="shared" si="0"/>
        <v>0.68542684891299688</v>
      </c>
      <c r="X14">
        <f>SUM($W$3:W14)</f>
        <v>9.3744579177368728</v>
      </c>
      <c r="Y14" s="4">
        <f t="shared" si="2"/>
        <v>0.78120482647807277</v>
      </c>
      <c r="AA14">
        <v>12</v>
      </c>
      <c r="AB14">
        <f t="shared" si="1"/>
        <v>0.58234373015350438</v>
      </c>
      <c r="AC14">
        <f>SUM($AB$3:AB14)</f>
        <v>8.4612220840605143</v>
      </c>
      <c r="AD14" s="4">
        <f t="shared" si="3"/>
        <v>0.7051018403383762</v>
      </c>
    </row>
    <row r="15" spans="1:30" x14ac:dyDescent="0.25">
      <c r="B15" s="27" t="s">
        <v>400</v>
      </c>
      <c r="C15" t="s">
        <v>398</v>
      </c>
      <c r="D15">
        <v>49.1</v>
      </c>
      <c r="E15">
        <v>87.1</v>
      </c>
      <c r="F15" s="2">
        <f t="shared" si="4"/>
        <v>1.7739307535641546</v>
      </c>
      <c r="G15" s="1">
        <f t="shared" si="8"/>
        <v>56.960556844547568</v>
      </c>
      <c r="H15" s="115">
        <f>57+49</f>
        <v>106</v>
      </c>
      <c r="I15" s="18">
        <f t="shared" si="9"/>
        <v>101.04408352668213</v>
      </c>
      <c r="J15" s="106">
        <f>0.42/2+0.57</f>
        <v>0.77999999999999992</v>
      </c>
      <c r="K15" s="43">
        <f t="shared" si="10"/>
        <v>9.6032423120547499</v>
      </c>
      <c r="L15" s="18">
        <f t="shared" si="5"/>
        <v>17.035486871282458</v>
      </c>
      <c r="M15" s="1">
        <f t="shared" si="11"/>
        <v>17.035486871282455</v>
      </c>
      <c r="N15" s="83">
        <f t="shared" si="6"/>
        <v>0.12234348882614864</v>
      </c>
      <c r="O15" s="2">
        <f t="shared" si="7"/>
        <v>0.10338988668148552</v>
      </c>
      <c r="P15" t="s">
        <v>398</v>
      </c>
      <c r="Q15">
        <v>0.46919626916226698</v>
      </c>
      <c r="R15">
        <v>2.8271870973404818</v>
      </c>
      <c r="S15">
        <v>17.035486871282458</v>
      </c>
      <c r="T15">
        <v>102.64895917735112</v>
      </c>
      <c r="V15">
        <v>13</v>
      </c>
      <c r="W15">
        <f t="shared" si="0"/>
        <v>0.67713796580845109</v>
      </c>
      <c r="X15">
        <f>SUM($W$3:W15)</f>
        <v>10.051595883545325</v>
      </c>
      <c r="Y15" s="4">
        <f t="shared" si="2"/>
        <v>0.7731996833496404</v>
      </c>
      <c r="AA15">
        <v>13</v>
      </c>
      <c r="AB15">
        <f t="shared" si="1"/>
        <v>0.57228909091474345</v>
      </c>
      <c r="AC15">
        <f>SUM($AB$3:AB15)</f>
        <v>9.0335111749752581</v>
      </c>
      <c r="AD15" s="4">
        <f t="shared" si="3"/>
        <v>0.69488547499809683</v>
      </c>
    </row>
    <row r="16" spans="1:30" x14ac:dyDescent="0.25">
      <c r="C16" t="s">
        <v>393</v>
      </c>
      <c r="D16">
        <v>42.6</v>
      </c>
      <c r="E16">
        <v>60.9</v>
      </c>
      <c r="F16" s="2">
        <f t="shared" si="4"/>
        <v>1.4295774647887323</v>
      </c>
      <c r="G16" s="1">
        <f t="shared" si="8"/>
        <v>49.419953596287705</v>
      </c>
      <c r="H16" s="115">
        <f>23</f>
        <v>23</v>
      </c>
      <c r="I16" s="18">
        <f t="shared" si="9"/>
        <v>70.64965197215777</v>
      </c>
      <c r="J16">
        <v>0.67</v>
      </c>
      <c r="K16" s="43">
        <f t="shared" si="10"/>
        <v>10.709787716311155</v>
      </c>
      <c r="L16" s="18">
        <f t="shared" si="5"/>
        <v>15.310471171909608</v>
      </c>
      <c r="M16" s="1">
        <f t="shared" si="11"/>
        <v>15.310471171909606</v>
      </c>
      <c r="N16" s="83">
        <f t="shared" si="6"/>
        <v>8.5542117904850196E-2</v>
      </c>
      <c r="O16" s="2">
        <f t="shared" si="7"/>
        <v>9.2920612804576586E-2</v>
      </c>
      <c r="P16" t="s">
        <v>393</v>
      </c>
      <c r="Q16">
        <v>0.69982355501188953</v>
      </c>
      <c r="R16">
        <v>3.273320693795954</v>
      </c>
      <c r="S16">
        <v>15.310471171909608</v>
      </c>
      <c r="T16">
        <v>71.612453967667165</v>
      </c>
      <c r="V16">
        <v>14</v>
      </c>
      <c r="W16">
        <f t="shared" si="0"/>
        <v>0.66955305058401793</v>
      </c>
      <c r="X16">
        <f>SUM($W$3:W16)</f>
        <v>10.721148934129342</v>
      </c>
      <c r="Y16" s="4">
        <f t="shared" si="2"/>
        <v>0.76579635243781019</v>
      </c>
      <c r="AA16">
        <v>14</v>
      </c>
      <c r="AB16">
        <f t="shared" si="1"/>
        <v>0.56313478665109373</v>
      </c>
      <c r="AC16">
        <f>SUM($AB$3:AB16)</f>
        <v>9.5966459616263524</v>
      </c>
      <c r="AD16" s="4">
        <f t="shared" si="3"/>
        <v>0.68547471154473949</v>
      </c>
    </row>
    <row r="17" spans="3:30" x14ac:dyDescent="0.25">
      <c r="C17" t="s">
        <v>394</v>
      </c>
      <c r="D17">
        <v>19.7</v>
      </c>
      <c r="E17">
        <v>34.6</v>
      </c>
      <c r="F17" s="2">
        <f t="shared" si="4"/>
        <v>1.7563451776649748</v>
      </c>
      <c r="G17" s="1">
        <f t="shared" si="8"/>
        <v>22.8538283062645</v>
      </c>
      <c r="H17" s="115">
        <v>16</v>
      </c>
      <c r="I17" s="18">
        <f t="shared" si="9"/>
        <v>40.13921113689095</v>
      </c>
      <c r="J17">
        <v>0.67</v>
      </c>
      <c r="K17" s="43">
        <f t="shared" si="10"/>
        <v>4.9526483101251113</v>
      </c>
      <c r="L17" s="18">
        <f t="shared" si="5"/>
        <v>8.6985599761588261</v>
      </c>
      <c r="M17" s="1">
        <f t="shared" si="11"/>
        <v>8.6985599761588244</v>
      </c>
      <c r="N17" s="83">
        <f t="shared" si="6"/>
        <v>4.8600283735760537E-2</v>
      </c>
      <c r="O17" s="2">
        <f t="shared" si="7"/>
        <v>5.2792335025260269E-2</v>
      </c>
      <c r="P17" t="s">
        <v>394</v>
      </c>
      <c r="Q17">
        <v>0.39760090317588481</v>
      </c>
      <c r="R17">
        <v>1.8597191462289004</v>
      </c>
      <c r="S17">
        <v>8.6985599761588261</v>
      </c>
      <c r="T17">
        <v>40.686221794438161</v>
      </c>
      <c r="V17">
        <v>15</v>
      </c>
      <c r="W17">
        <f t="shared" si="0"/>
        <v>0.66256805108901673</v>
      </c>
      <c r="X17">
        <f>SUM($W$3:W17)</f>
        <v>11.383716985218358</v>
      </c>
      <c r="Y17" s="4">
        <f t="shared" si="2"/>
        <v>0.75891446568122389</v>
      </c>
      <c r="AA17">
        <v>15</v>
      </c>
      <c r="AB17">
        <f t="shared" si="1"/>
        <v>0.55474400188841411</v>
      </c>
      <c r="AC17">
        <f>SUM($AB$3:AB17)</f>
        <v>10.151389963514767</v>
      </c>
      <c r="AD17" s="4">
        <f t="shared" si="3"/>
        <v>0.67675933090098439</v>
      </c>
    </row>
    <row r="18" spans="3:30" x14ac:dyDescent="0.25">
      <c r="C18" t="s">
        <v>304</v>
      </c>
      <c r="D18">
        <v>14.2</v>
      </c>
      <c r="E18">
        <v>14.4</v>
      </c>
      <c r="F18" s="2">
        <f t="shared" si="4"/>
        <v>1.0140845070422535</v>
      </c>
      <c r="G18" s="1">
        <f t="shared" si="8"/>
        <v>16.473317865429234</v>
      </c>
      <c r="H18" s="115">
        <v>9</v>
      </c>
      <c r="I18" s="18">
        <f t="shared" si="9"/>
        <v>16.705336426914151</v>
      </c>
      <c r="J18">
        <v>0.73</v>
      </c>
      <c r="K18" s="43">
        <f t="shared" si="10"/>
        <v>3.1130496213736731</v>
      </c>
      <c r="L18" s="18">
        <f t="shared" si="5"/>
        <v>3.1568953906887951</v>
      </c>
      <c r="M18" s="1">
        <f t="shared" si="11"/>
        <v>3.1568953906887951</v>
      </c>
      <c r="N18" s="83">
        <f t="shared" si="6"/>
        <v>2.0226707681935019E-2</v>
      </c>
      <c r="O18" s="2">
        <f t="shared" si="7"/>
        <v>1.915947921974755E-2</v>
      </c>
      <c r="P18" t="s">
        <v>304</v>
      </c>
      <c r="Q18">
        <v>0.10946119649755472</v>
      </c>
      <c r="R18">
        <v>0.5878414298791903</v>
      </c>
      <c r="S18">
        <v>3.1568953906887951</v>
      </c>
      <c r="T18">
        <v>16.953532026145744</v>
      </c>
      <c r="V18">
        <v>16</v>
      </c>
      <c r="W18">
        <f t="shared" si="0"/>
        <v>0.65610000000000002</v>
      </c>
      <c r="X18">
        <f>SUM($W$3:W18)</f>
        <v>12.039816985218359</v>
      </c>
      <c r="Y18" s="4">
        <f t="shared" si="2"/>
        <v>0.75248856157614741</v>
      </c>
      <c r="AA18">
        <v>16</v>
      </c>
      <c r="AB18">
        <f t="shared" si="1"/>
        <v>0.54700815999999997</v>
      </c>
      <c r="AC18">
        <f>SUM($AB$3:AB18)</f>
        <v>10.698398123514767</v>
      </c>
      <c r="AD18" s="4">
        <f t="shared" si="3"/>
        <v>0.66864988271967296</v>
      </c>
    </row>
    <row r="19" spans="3:30" x14ac:dyDescent="0.25">
      <c r="C19" t="s">
        <v>395</v>
      </c>
      <c r="D19" s="1">
        <v>7.51</v>
      </c>
      <c r="E19" s="1">
        <v>8.42</v>
      </c>
      <c r="F19" s="2">
        <f t="shared" si="4"/>
        <v>1.1211717709720372</v>
      </c>
      <c r="G19" s="1">
        <f t="shared" si="8"/>
        <v>8.7122969837586997</v>
      </c>
      <c r="H19" s="115">
        <v>3</v>
      </c>
      <c r="I19" s="18">
        <f t="shared" si="9"/>
        <v>9.7679814385150792</v>
      </c>
      <c r="J19">
        <v>0.42</v>
      </c>
      <c r="K19" s="43">
        <f t="shared" si="10"/>
        <v>3.3405480224610584</v>
      </c>
      <c r="L19" s="18">
        <f t="shared" si="5"/>
        <v>3.7453281423598015</v>
      </c>
      <c r="M19" s="1">
        <f t="shared" si="11"/>
        <v>3.7453281423598015</v>
      </c>
      <c r="N19" s="83">
        <f t="shared" si="6"/>
        <v>1.1827005464020336E-2</v>
      </c>
      <c r="O19" s="2">
        <f t="shared" si="7"/>
        <v>2.2730729984379208E-2</v>
      </c>
      <c r="P19" t="s">
        <v>395</v>
      </c>
      <c r="Q19">
        <v>0.5413646251460823</v>
      </c>
      <c r="R19">
        <v>1.423934045466182</v>
      </c>
      <c r="S19">
        <v>3.7453281423598015</v>
      </c>
      <c r="T19">
        <v>9.8512167319939774</v>
      </c>
      <c r="U19" t="s">
        <v>305</v>
      </c>
      <c r="V19">
        <v>17</v>
      </c>
      <c r="W19">
        <f t="shared" si="0"/>
        <v>0.65008172535126163</v>
      </c>
      <c r="X19">
        <f>SUM($W$3:W19)</f>
        <v>12.68989871056962</v>
      </c>
      <c r="Y19" s="4">
        <f t="shared" si="2"/>
        <v>0.74646463003350705</v>
      </c>
      <c r="AA19">
        <v>17</v>
      </c>
      <c r="AB19">
        <f t="shared" si="1"/>
        <v>0.53983974207769558</v>
      </c>
      <c r="AC19">
        <f>SUM($AB$3:AB19)</f>
        <v>11.238237865592463</v>
      </c>
      <c r="AD19" s="4">
        <f t="shared" si="3"/>
        <v>0.66107281562308606</v>
      </c>
    </row>
    <row r="20" spans="3:30" x14ac:dyDescent="0.25">
      <c r="C20" t="s">
        <v>303</v>
      </c>
      <c r="D20">
        <v>2.8</v>
      </c>
      <c r="E20">
        <v>7.51</v>
      </c>
      <c r="F20" s="2">
        <f t="shared" si="4"/>
        <v>2.6821428571428574</v>
      </c>
      <c r="G20" s="1">
        <f t="shared" si="8"/>
        <v>3.2482598607888629</v>
      </c>
      <c r="H20" s="116">
        <v>3</v>
      </c>
      <c r="I20" s="124">
        <f t="shared" si="9"/>
        <v>8.7122969837587014</v>
      </c>
      <c r="J20">
        <v>0.55000000000000004</v>
      </c>
      <c r="K20" s="43">
        <f t="shared" si="10"/>
        <v>0.92571313048712134</v>
      </c>
      <c r="L20" s="18">
        <f t="shared" si="5"/>
        <v>2.4828948606993864</v>
      </c>
      <c r="M20" s="1">
        <f t="shared" si="11"/>
        <v>2.4828948606993864</v>
      </c>
      <c r="N20" s="83">
        <f t="shared" si="6"/>
        <v>1.054878990912028E-2</v>
      </c>
      <c r="O20" s="2">
        <f t="shared" si="7"/>
        <v>1.5068909989446464E-2</v>
      </c>
      <c r="P20" t="s">
        <v>303</v>
      </c>
      <c r="Q20">
        <v>0.19722334917053347</v>
      </c>
      <c r="R20">
        <v>0.69977484955193847</v>
      </c>
      <c r="S20">
        <v>2.4828948606993864</v>
      </c>
      <c r="T20">
        <v>8.8096434063537554</v>
      </c>
      <c r="V20">
        <v>18</v>
      </c>
      <c r="W20">
        <f t="shared" si="0"/>
        <v>0.64445811414375886</v>
      </c>
      <c r="X20">
        <f>SUM($W$3:W20)</f>
        <v>13.33435682471338</v>
      </c>
      <c r="Y20" s="4">
        <f t="shared" si="2"/>
        <v>0.74079760137296558</v>
      </c>
      <c r="AA20">
        <v>18</v>
      </c>
      <c r="AB20">
        <f t="shared" si="1"/>
        <v>0.53316723692426071</v>
      </c>
      <c r="AC20">
        <f>SUM($AB$3:AB20)</f>
        <v>11.771405102516724</v>
      </c>
      <c r="AD20" s="4">
        <f t="shared" si="3"/>
        <v>0.65396695013981798</v>
      </c>
    </row>
    <row r="21" spans="3:30" x14ac:dyDescent="0.25">
      <c r="C21" t="s">
        <v>38</v>
      </c>
      <c r="D21">
        <v>109</v>
      </c>
      <c r="E21">
        <v>115</v>
      </c>
      <c r="F21" s="2">
        <f t="shared" si="4"/>
        <v>1.0550458715596329</v>
      </c>
      <c r="G21" s="1">
        <f t="shared" si="8"/>
        <v>126.45011600928075</v>
      </c>
      <c r="H21" s="115">
        <v>148</v>
      </c>
      <c r="I21" s="125">
        <f>G21*F21</f>
        <v>133.41067285382829</v>
      </c>
      <c r="J21" s="20">
        <v>0.67</v>
      </c>
      <c r="K21" s="43">
        <f>G21*($D$7/$D$6)^J21</f>
        <v>27.402977959575491</v>
      </c>
      <c r="L21" s="18">
        <f t="shared" si="5"/>
        <v>28.911398764689736</v>
      </c>
      <c r="M21" s="1">
        <f t="shared" si="11"/>
        <v>28.911398764689732</v>
      </c>
      <c r="N21" s="83">
        <f t="shared" si="6"/>
        <v>0.16153273495989773</v>
      </c>
      <c r="O21" s="2">
        <f t="shared" si="7"/>
        <v>0.17546585340765694</v>
      </c>
      <c r="P21" t="s">
        <v>38</v>
      </c>
      <c r="Q21">
        <v>1.3215058920585763</v>
      </c>
      <c r="R21">
        <v>6.1811474513388305</v>
      </c>
      <c r="S21">
        <v>28.911398764689736</v>
      </c>
      <c r="T21">
        <v>135.22877186012681</v>
      </c>
      <c r="V21">
        <v>19</v>
      </c>
      <c r="W21">
        <f t="shared" si="0"/>
        <v>0.63918341376562415</v>
      </c>
      <c r="X21">
        <f>SUM($W$3:W21)</f>
        <v>13.973540238479004</v>
      </c>
      <c r="Y21" s="4">
        <f t="shared" si="2"/>
        <v>0.73544948623573703</v>
      </c>
      <c r="AA21">
        <v>19</v>
      </c>
      <c r="AB21">
        <f t="shared" si="1"/>
        <v>0.52693150893312357</v>
      </c>
      <c r="AC21">
        <f>SUM($AB$3:AB21)</f>
        <v>12.298336611449848</v>
      </c>
      <c r="AD21" s="4">
        <f t="shared" si="3"/>
        <v>0.64728087428683412</v>
      </c>
    </row>
    <row r="22" spans="3:30" x14ac:dyDescent="0.25">
      <c r="C22" s="79" t="s">
        <v>28</v>
      </c>
      <c r="D22" s="105">
        <f>SUM(D13:D21)</f>
        <v>459.11</v>
      </c>
      <c r="E22" s="105">
        <f>SUM(E13:E21)</f>
        <v>711.93</v>
      </c>
      <c r="F22" s="39"/>
      <c r="G22" s="108">
        <f>SUM(G13:G21)</f>
        <v>532.61020881670538</v>
      </c>
      <c r="H22" s="117">
        <f>SUM(H13:H21)</f>
        <v>556</v>
      </c>
      <c r="I22" s="126">
        <f>SUM(I13:I21)</f>
        <v>825.90487238979119</v>
      </c>
      <c r="J22" s="9"/>
      <c r="K22" s="81">
        <f>SUM(K13:K20)</f>
        <v>80.520166856323584</v>
      </c>
      <c r="L22" s="122">
        <f>SUM(L13:L21)</f>
        <v>164.76937365995855</v>
      </c>
      <c r="N22" s="17"/>
      <c r="Q22" s="5">
        <f>SUM(Q13:Q21)</f>
        <v>6.8853378350573973</v>
      </c>
      <c r="R22" s="5">
        <f t="shared" ref="R22:T22" si="12">SUM(R13:R21)</f>
        <v>33.16745661129405</v>
      </c>
      <c r="S22" s="5">
        <f t="shared" si="12"/>
        <v>164.76937365995855</v>
      </c>
      <c r="T22" s="5">
        <f t="shared" si="12"/>
        <v>837.84663196877921</v>
      </c>
      <c r="V22">
        <v>20</v>
      </c>
      <c r="W22">
        <f t="shared" si="0"/>
        <v>0.63421924456111134</v>
      </c>
      <c r="X22">
        <f>SUM($W$3:W22)</f>
        <v>14.607759483040114</v>
      </c>
      <c r="Y22" s="4">
        <f t="shared" si="2"/>
        <v>0.73038797415200574</v>
      </c>
      <c r="AA22">
        <v>20</v>
      </c>
      <c r="AB22">
        <f t="shared" si="1"/>
        <v>0.52108313360569603</v>
      </c>
      <c r="AC22">
        <f>SUM($AB$3:AB22)</f>
        <v>12.819419745055544</v>
      </c>
      <c r="AD22" s="4">
        <f t="shared" si="3"/>
        <v>0.64097098725277724</v>
      </c>
    </row>
    <row r="23" spans="3:30" x14ac:dyDescent="0.25">
      <c r="Q23" t="s">
        <v>507</v>
      </c>
      <c r="V23">
        <v>21</v>
      </c>
      <c r="W23">
        <f t="shared" si="0"/>
        <v>0.62953311061987349</v>
      </c>
      <c r="X23">
        <f>SUM($W$3:W23)</f>
        <v>15.237292593659987</v>
      </c>
      <c r="Y23" s="4">
        <f t="shared" si="2"/>
        <v>0.72558536160285647</v>
      </c>
      <c r="AA23">
        <v>21</v>
      </c>
      <c r="AB23">
        <f t="shared" si="1"/>
        <v>0.51558040838793406</v>
      </c>
      <c r="AC23">
        <f>SUM($AB$3:AB23)</f>
        <v>13.335000153443477</v>
      </c>
      <c r="AD23" s="4">
        <f t="shared" si="3"/>
        <v>0.63500000730683226</v>
      </c>
    </row>
    <row r="24" spans="3:30" x14ac:dyDescent="0.25">
      <c r="C24" s="26" t="s">
        <v>404</v>
      </c>
      <c r="D24" s="14">
        <v>44</v>
      </c>
      <c r="Q24">
        <v>1</v>
      </c>
      <c r="R24">
        <v>10</v>
      </c>
      <c r="S24">
        <v>100</v>
      </c>
      <c r="T24">
        <v>1000</v>
      </c>
      <c r="V24">
        <v>22</v>
      </c>
      <c r="W24">
        <f t="shared" si="0"/>
        <v>0.62509726654614894</v>
      </c>
      <c r="X24">
        <f>SUM($W$3:W24)</f>
        <v>15.862389860206136</v>
      </c>
      <c r="Y24" s="4">
        <f t="shared" si="2"/>
        <v>0.72101772091846072</v>
      </c>
      <c r="AA24">
        <v>22</v>
      </c>
      <c r="AB24">
        <f t="shared" si="1"/>
        <v>0.51038784428221795</v>
      </c>
      <c r="AC24">
        <f>SUM($AB$3:AB24)</f>
        <v>13.845387997725695</v>
      </c>
      <c r="AD24" s="4">
        <f t="shared" si="3"/>
        <v>0.62933581807844063</v>
      </c>
    </row>
    <row r="25" spans="3:30" x14ac:dyDescent="0.25">
      <c r="C25" t="s">
        <v>399</v>
      </c>
      <c r="D25" s="23">
        <f>100/86.2</f>
        <v>1.160092807424594</v>
      </c>
      <c r="E25" t="s">
        <v>462</v>
      </c>
      <c r="F25" s="2">
        <f>816/608</f>
        <v>1.3421052631578947</v>
      </c>
      <c r="H25">
        <f>148/128</f>
        <v>1.15625</v>
      </c>
      <c r="Q25" s="74" t="s">
        <v>502</v>
      </c>
      <c r="R25" s="74" t="s">
        <v>508</v>
      </c>
      <c r="S25" s="74" t="s">
        <v>504</v>
      </c>
      <c r="T25" s="74" t="s">
        <v>505</v>
      </c>
      <c r="V25">
        <v>23</v>
      </c>
      <c r="W25">
        <f t="shared" si="0"/>
        <v>0.62088784309011313</v>
      </c>
      <c r="X25">
        <f>SUM($W$3:W25)</f>
        <v>16.483277703296249</v>
      </c>
      <c r="Y25" s="4">
        <f t="shared" si="2"/>
        <v>0.71666424796940209</v>
      </c>
      <c r="AA25">
        <v>23</v>
      </c>
      <c r="AB25">
        <f t="shared" si="1"/>
        <v>0.50547500587504912</v>
      </c>
      <c r="AC25">
        <f>SUM($AB$3:AB25)</f>
        <v>14.350863003600743</v>
      </c>
      <c r="AD25" s="4">
        <f t="shared" si="3"/>
        <v>0.62395056537394533</v>
      </c>
    </row>
    <row r="26" spans="3:30" x14ac:dyDescent="0.25">
      <c r="C26" t="s">
        <v>309</v>
      </c>
      <c r="D26" s="7">
        <v>0.15</v>
      </c>
      <c r="P26" t="s">
        <v>391</v>
      </c>
      <c r="Q26" s="2">
        <f>Q13/Q$22</f>
        <v>0.21370398445918917</v>
      </c>
      <c r="R26" s="2">
        <f t="shared" ref="R26:T26" si="13">R13/R$22</f>
        <v>0.25528523905636691</v>
      </c>
      <c r="S26" s="2">
        <f t="shared" si="13"/>
        <v>0.29570684856120466</v>
      </c>
      <c r="T26" s="2">
        <f t="shared" si="13"/>
        <v>0.33463652793079329</v>
      </c>
      <c r="V26">
        <v>24</v>
      </c>
      <c r="W26">
        <f t="shared" si="0"/>
        <v>0.61688416402169721</v>
      </c>
      <c r="X26">
        <f>SUM($W$3:W26)</f>
        <v>17.100161867317947</v>
      </c>
      <c r="Y26" s="4">
        <f t="shared" si="2"/>
        <v>0.71250674447158113</v>
      </c>
      <c r="AA26">
        <v>24</v>
      </c>
      <c r="AB26">
        <f t="shared" si="1"/>
        <v>0.50081560793201374</v>
      </c>
      <c r="AC26">
        <f>SUM($AB$3:AB26)</f>
        <v>14.851678611532757</v>
      </c>
      <c r="AD26" s="4">
        <f t="shared" si="3"/>
        <v>0.61881994214719815</v>
      </c>
    </row>
    <row r="27" spans="3:30" x14ac:dyDescent="0.25">
      <c r="C27" t="s">
        <v>308</v>
      </c>
      <c r="D27" s="1">
        <f>I22*(1+D26)</f>
        <v>949.7906032482598</v>
      </c>
      <c r="I27" s="1"/>
      <c r="L27" s="1">
        <f>L22*(1+$D$26)</f>
        <v>189.48477970895232</v>
      </c>
      <c r="P27" t="s">
        <v>392</v>
      </c>
      <c r="Q27" s="2">
        <f t="shared" ref="Q27:T34" si="14">Q14/Q$22</f>
        <v>0.24366820558794708</v>
      </c>
      <c r="R27" s="2">
        <f t="shared" si="14"/>
        <v>0.23659847964086983</v>
      </c>
      <c r="S27" s="2">
        <f t="shared" si="14"/>
        <v>0.2227653443262427</v>
      </c>
      <c r="T27" s="2">
        <f t="shared" si="14"/>
        <v>0.20490831924781006</v>
      </c>
      <c r="V27">
        <v>25</v>
      </c>
      <c r="W27">
        <f t="shared" si="0"/>
        <v>0.61306820632779568</v>
      </c>
      <c r="X27">
        <f>SUM($W$3:W27)</f>
        <v>17.713230073645743</v>
      </c>
      <c r="Y27" s="4">
        <f t="shared" si="2"/>
        <v>0.70852920294582977</v>
      </c>
      <c r="AA27">
        <v>25</v>
      </c>
      <c r="AB27">
        <f t="shared" si="1"/>
        <v>0.49638680367826998</v>
      </c>
      <c r="AC27">
        <f>SUM($AB$3:AB27)</f>
        <v>15.348065415211027</v>
      </c>
      <c r="AD27" s="4">
        <f t="shared" si="3"/>
        <v>0.61392261660844105</v>
      </c>
    </row>
    <row r="28" spans="3:30" x14ac:dyDescent="0.25">
      <c r="C28" s="5" t="s">
        <v>318</v>
      </c>
      <c r="D28" s="21">
        <f>D27*1000000/D6</f>
        <v>969.17408494720382</v>
      </c>
      <c r="E28" s="82"/>
      <c r="I28" s="5"/>
      <c r="J28" s="5"/>
      <c r="K28" s="5"/>
      <c r="L28" s="21">
        <f>L27*1000000/$D$7</f>
        <v>1894.8477970895231</v>
      </c>
      <c r="P28" t="s">
        <v>398</v>
      </c>
      <c r="Q28" s="2">
        <f t="shared" si="14"/>
        <v>6.8144262547773116E-2</v>
      </c>
      <c r="R28" s="2">
        <f t="shared" si="14"/>
        <v>8.5239791837936091E-2</v>
      </c>
      <c r="S28" s="2">
        <f t="shared" si="14"/>
        <v>0.10338988668148552</v>
      </c>
      <c r="T28" s="2">
        <f t="shared" si="14"/>
        <v>0.1225152137165554</v>
      </c>
      <c r="V28">
        <v>26</v>
      </c>
      <c r="W28">
        <f t="shared" si="0"/>
        <v>0.60942416922760601</v>
      </c>
      <c r="X28">
        <f>SUM($W$3:W28)</f>
        <v>18.322654242873348</v>
      </c>
      <c r="Y28" s="4">
        <f t="shared" si="2"/>
        <v>0.70471747087974412</v>
      </c>
      <c r="AA28">
        <v>26</v>
      </c>
      <c r="AB28">
        <f t="shared" si="1"/>
        <v>0.49216861818667934</v>
      </c>
      <c r="AC28">
        <f>SUM($AB$3:AB28)</f>
        <v>15.840234033397707</v>
      </c>
      <c r="AD28" s="4">
        <f t="shared" si="3"/>
        <v>0.60923977051529643</v>
      </c>
    </row>
    <row r="29" spans="3:30" x14ac:dyDescent="0.25">
      <c r="C29" t="s">
        <v>426</v>
      </c>
      <c r="D29">
        <f>INDEX(Y:Y,2+ROUNDDOWN($D$3,0))</f>
        <v>0.79944785504392657</v>
      </c>
      <c r="P29" t="s">
        <v>393</v>
      </c>
      <c r="Q29" s="2">
        <f t="shared" si="14"/>
        <v>0.10163968301579435</v>
      </c>
      <c r="R29" s="2">
        <f t="shared" si="14"/>
        <v>9.8690735685814865E-2</v>
      </c>
      <c r="S29" s="2">
        <f t="shared" si="14"/>
        <v>9.2920612804576586E-2</v>
      </c>
      <c r="T29" s="2">
        <f t="shared" si="14"/>
        <v>8.5472031795833098E-2</v>
      </c>
      <c r="V29">
        <v>27</v>
      </c>
      <c r="W29">
        <f t="shared" si="0"/>
        <v>0.60593812679556802</v>
      </c>
      <c r="X29">
        <f>SUM($W$3:W29)</f>
        <v>18.928592369668916</v>
      </c>
      <c r="Y29" s="4">
        <f t="shared" si="2"/>
        <v>0.70105897665440431</v>
      </c>
      <c r="AA29">
        <v>27</v>
      </c>
      <c r="AB29">
        <f t="shared" si="1"/>
        <v>0.48814349294104808</v>
      </c>
      <c r="AC29">
        <f>SUM($AB$3:AB29)</f>
        <v>16.328377526338755</v>
      </c>
      <c r="AD29" s="4">
        <f t="shared" si="3"/>
        <v>0.60475472319773171</v>
      </c>
    </row>
    <row r="30" spans="3:30" x14ac:dyDescent="0.25">
      <c r="C30" s="5" t="s">
        <v>421</v>
      </c>
      <c r="D30" s="21">
        <f>D28*D29</f>
        <v>774.80414337520233</v>
      </c>
      <c r="L30" s="21">
        <f>L28*D29</f>
        <v>1514.8320070179286</v>
      </c>
      <c r="P30" t="s">
        <v>394</v>
      </c>
      <c r="Q30" s="2">
        <f t="shared" si="14"/>
        <v>5.7746026803718972E-2</v>
      </c>
      <c r="R30" s="2">
        <f t="shared" si="14"/>
        <v>5.6070598599822587E-2</v>
      </c>
      <c r="S30" s="2">
        <f t="shared" si="14"/>
        <v>5.2792335025260269E-2</v>
      </c>
      <c r="T30" s="2">
        <f t="shared" si="14"/>
        <v>4.8560464698453619E-2</v>
      </c>
      <c r="V30">
        <v>28</v>
      </c>
      <c r="W30">
        <f t="shared" si="0"/>
        <v>0.60259774552561607</v>
      </c>
      <c r="X30">
        <f>SUM($W$3:W30)</f>
        <v>19.531190115194534</v>
      </c>
      <c r="Y30" s="4">
        <f t="shared" si="2"/>
        <v>0.69754250411409047</v>
      </c>
      <c r="AA30">
        <v>28</v>
      </c>
      <c r="AB30">
        <f t="shared" si="1"/>
        <v>0.48429591651994064</v>
      </c>
      <c r="AC30">
        <f>SUM($AB$3:AB30)</f>
        <v>16.812673442858696</v>
      </c>
      <c r="AD30" s="4">
        <f t="shared" si="3"/>
        <v>0.60045262295923918</v>
      </c>
    </row>
    <row r="31" spans="3:30" x14ac:dyDescent="0.25">
      <c r="C31" s="14" t="s">
        <v>315</v>
      </c>
      <c r="D31" s="12">
        <f>D30/1000*365</f>
        <v>282.80351233194887</v>
      </c>
      <c r="E31" s="1"/>
      <c r="I31" s="1"/>
      <c r="J31" s="1"/>
      <c r="K31" s="1"/>
      <c r="L31" s="12">
        <f>L30/1000*365</f>
        <v>552.91368256154396</v>
      </c>
      <c r="P31" t="s">
        <v>304</v>
      </c>
      <c r="Q31" s="2">
        <f t="shared" si="14"/>
        <v>1.5897723411656274E-2</v>
      </c>
      <c r="R31" s="2">
        <f t="shared" si="14"/>
        <v>1.7723440080691051E-2</v>
      </c>
      <c r="S31" s="2">
        <f t="shared" si="14"/>
        <v>1.915947921974755E-2</v>
      </c>
      <c r="T31" s="2">
        <f t="shared" si="14"/>
        <v>2.0234648418062134E-2</v>
      </c>
      <c r="V31">
        <v>29</v>
      </c>
      <c r="W31">
        <f t="shared" si="0"/>
        <v>0.59939205284605379</v>
      </c>
      <c r="X31">
        <f>SUM($W$3:W31)</f>
        <v>20.130582168040586</v>
      </c>
      <c r="Y31" s="4">
        <f t="shared" si="2"/>
        <v>0.69415800579450293</v>
      </c>
      <c r="AA31">
        <v>29</v>
      </c>
      <c r="AB31">
        <f t="shared" si="1"/>
        <v>0.48061212267221121</v>
      </c>
      <c r="AC31">
        <f>SUM($AB$3:AB31)</f>
        <v>17.293285565530908</v>
      </c>
      <c r="AD31" s="4">
        <f t="shared" si="3"/>
        <v>0.59632019191485885</v>
      </c>
    </row>
    <row r="32" spans="3:30" x14ac:dyDescent="0.25">
      <c r="C32" s="14" t="s">
        <v>316</v>
      </c>
      <c r="D32" s="12">
        <f>D31*24</f>
        <v>6787.2842959667723</v>
      </c>
      <c r="E32" s="12"/>
      <c r="I32" s="12"/>
      <c r="J32" s="12"/>
      <c r="K32" s="12"/>
      <c r="L32" s="12">
        <f t="shared" ref="L32" si="15">L31*24</f>
        <v>13269.928381477055</v>
      </c>
      <c r="P32" t="s">
        <v>395</v>
      </c>
      <c r="Q32" s="2">
        <f t="shared" si="14"/>
        <v>7.8625717156487127E-2</v>
      </c>
      <c r="R32" s="2">
        <f t="shared" si="14"/>
        <v>4.2931662266238096E-2</v>
      </c>
      <c r="S32" s="2">
        <f t="shared" si="14"/>
        <v>2.2730729984379208E-2</v>
      </c>
      <c r="T32" s="2">
        <f t="shared" si="14"/>
        <v>1.1757780429152653E-2</v>
      </c>
      <c r="V32">
        <v>30</v>
      </c>
      <c r="W32">
        <f t="shared" si="0"/>
        <v>0.59631124598011509</v>
      </c>
      <c r="X32">
        <f>SUM($W$3:W32)</f>
        <v>20.726893414020701</v>
      </c>
      <c r="Y32" s="4">
        <f t="shared" si="2"/>
        <v>0.69089644713402332</v>
      </c>
      <c r="AA32">
        <v>30</v>
      </c>
      <c r="AB32">
        <f t="shared" si="1"/>
        <v>0.47707984162403611</v>
      </c>
      <c r="AC32">
        <f>SUM($AB$3:AB32)</f>
        <v>17.770365407154944</v>
      </c>
      <c r="AD32" s="4">
        <f t="shared" si="3"/>
        <v>0.59234551357183152</v>
      </c>
    </row>
    <row r="33" spans="1:30" x14ac:dyDescent="0.25">
      <c r="C33" s="14" t="s">
        <v>317</v>
      </c>
      <c r="D33" s="28">
        <f>D32*$D$24</f>
        <v>298640.50902253797</v>
      </c>
      <c r="E33" s="12"/>
      <c r="I33" s="12"/>
      <c r="J33" s="12"/>
      <c r="K33" s="12"/>
      <c r="L33" s="28">
        <f>L32*$D$60</f>
        <v>583876.84878499038</v>
      </c>
      <c r="P33" t="s">
        <v>303</v>
      </c>
      <c r="Q33" s="2">
        <f t="shared" si="14"/>
        <v>2.8643961109119546E-2</v>
      </c>
      <c r="R33" s="2">
        <f t="shared" si="14"/>
        <v>2.1098236676780756E-2</v>
      </c>
      <c r="S33" s="2">
        <f t="shared" si="14"/>
        <v>1.5068909989446464E-2</v>
      </c>
      <c r="T33" s="2">
        <f t="shared" si="14"/>
        <v>1.0514625314722314E-2</v>
      </c>
      <c r="V33">
        <v>31</v>
      </c>
      <c r="W33">
        <f t="shared" si="0"/>
        <v>0.59334653302960416</v>
      </c>
      <c r="X33">
        <f>SUM($W$3:W33)</f>
        <v>21.320239947050304</v>
      </c>
      <c r="Y33" s="4">
        <f t="shared" si="2"/>
        <v>0.68774967571130008</v>
      </c>
      <c r="AA33">
        <v>31</v>
      </c>
      <c r="AB33">
        <f t="shared" si="1"/>
        <v>0.4736880937984092</v>
      </c>
      <c r="AC33">
        <f>SUM($AB$3:AB33)</f>
        <v>18.244053500953353</v>
      </c>
      <c r="AD33" s="4">
        <f t="shared" si="3"/>
        <v>0.58851785486946295</v>
      </c>
    </row>
    <row r="34" spans="1:30" x14ac:dyDescent="0.25">
      <c r="C34" s="14"/>
      <c r="D34" s="28"/>
      <c r="E34" s="12"/>
      <c r="I34" s="12"/>
      <c r="J34" s="12"/>
      <c r="K34" s="12"/>
      <c r="L34" s="28"/>
      <c r="P34" t="s">
        <v>38</v>
      </c>
      <c r="Q34" s="2">
        <f t="shared" si="14"/>
        <v>0.19193043590831443</v>
      </c>
      <c r="R34" s="2">
        <f t="shared" si="14"/>
        <v>0.18636181615547967</v>
      </c>
      <c r="S34" s="2">
        <f t="shared" si="14"/>
        <v>0.17546585340765694</v>
      </c>
      <c r="T34" s="2">
        <f t="shared" si="14"/>
        <v>0.16140038844861748</v>
      </c>
      <c r="V34">
        <v>32</v>
      </c>
      <c r="W34">
        <f t="shared" si="0"/>
        <v>0.59048999999999996</v>
      </c>
      <c r="X34">
        <f>SUM($W$3:W34)</f>
        <v>21.910729947050303</v>
      </c>
      <c r="Y34" s="4">
        <f t="shared" si="2"/>
        <v>0.68471031084532197</v>
      </c>
      <c r="AA34">
        <v>32</v>
      </c>
      <c r="AB34">
        <f t="shared" si="1"/>
        <v>0.47042701759999989</v>
      </c>
      <c r="AC34">
        <f>SUM($AB$3:AB34)</f>
        <v>18.714480518553351</v>
      </c>
      <c r="AD34" s="4">
        <f t="shared" si="3"/>
        <v>0.58482751620479223</v>
      </c>
    </row>
    <row r="35" spans="1:30" x14ac:dyDescent="0.25">
      <c r="C35" s="14"/>
      <c r="D35" s="28"/>
      <c r="E35" s="12"/>
      <c r="I35" s="12"/>
      <c r="J35" s="12"/>
      <c r="K35" s="12"/>
      <c r="L35" s="28"/>
      <c r="V35">
        <v>33</v>
      </c>
      <c r="W35">
        <f t="shared" si="0"/>
        <v>0.58773449886536977</v>
      </c>
      <c r="X35">
        <f>SUM($W$3:W35)</f>
        <v>22.498464445915673</v>
      </c>
      <c r="Y35" s="4">
        <f t="shared" si="2"/>
        <v>0.68177164987623251</v>
      </c>
      <c r="AA35">
        <v>33</v>
      </c>
      <c r="AB35">
        <f t="shared" ref="AB35:AB67" si="16">AA35^(-$D$5)</f>
        <v>0.58773449886536977</v>
      </c>
      <c r="AC35">
        <f>SUM($AB$3:AB35)</f>
        <v>19.302215017418721</v>
      </c>
      <c r="AD35" s="4">
        <f t="shared" si="3"/>
        <v>0.5849156065884461</v>
      </c>
    </row>
    <row r="36" spans="1:30" x14ac:dyDescent="0.25">
      <c r="A36" s="5" t="s">
        <v>363</v>
      </c>
      <c r="V36">
        <v>34</v>
      </c>
      <c r="W36">
        <f t="shared" si="0"/>
        <v>0.58507355281613549</v>
      </c>
      <c r="X36">
        <f>SUM($W$3:W36)</f>
        <v>23.083537998731806</v>
      </c>
      <c r="Y36" s="4">
        <f t="shared" si="2"/>
        <v>0.67892758819799426</v>
      </c>
      <c r="AA36">
        <v>34</v>
      </c>
      <c r="AB36">
        <f t="shared" si="16"/>
        <v>0.58507355281613549</v>
      </c>
      <c r="AC36">
        <f>SUM($AB$3:AB36)</f>
        <v>19.887288570234858</v>
      </c>
      <c r="AD36" s="4">
        <f t="shared" si="3"/>
        <v>0.58492025206573117</v>
      </c>
    </row>
    <row r="37" spans="1:30" x14ac:dyDescent="0.25">
      <c r="A37" s="5"/>
      <c r="C37" t="s">
        <v>419</v>
      </c>
      <c r="D37" s="28">
        <f>1000000</f>
        <v>1000000</v>
      </c>
      <c r="E37" t="s">
        <v>295</v>
      </c>
      <c r="V37">
        <v>35</v>
      </c>
      <c r="W37">
        <f t="shared" si="0"/>
        <v>0.58250127563097853</v>
      </c>
      <c r="X37">
        <f>SUM($W$3:W37)</f>
        <v>23.666039274362785</v>
      </c>
      <c r="Y37" s="4">
        <f t="shared" si="2"/>
        <v>0.67617255069607951</v>
      </c>
      <c r="AA37">
        <v>35</v>
      </c>
      <c r="AB37">
        <f t="shared" si="16"/>
        <v>0.58250127563097853</v>
      </c>
      <c r="AC37">
        <f>SUM($AB$3:AB37)</f>
        <v>20.469789845865836</v>
      </c>
      <c r="AD37" s="4">
        <f t="shared" si="3"/>
        <v>0.5848511384533096</v>
      </c>
    </row>
    <row r="38" spans="1:30" x14ac:dyDescent="0.25">
      <c r="A38" s="5"/>
      <c r="C38" t="s">
        <v>423</v>
      </c>
      <c r="D38">
        <f>D37/D42</f>
        <v>10</v>
      </c>
      <c r="E38" t="s">
        <v>3</v>
      </c>
      <c r="V38">
        <v>36</v>
      </c>
      <c r="W38">
        <f t="shared" si="0"/>
        <v>0.58001230272938309</v>
      </c>
      <c r="X38">
        <f>SUM($W$3:W38)</f>
        <v>24.246051577092167</v>
      </c>
      <c r="Y38" s="4">
        <f t="shared" si="2"/>
        <v>0.67350143269700469</v>
      </c>
      <c r="AA38">
        <v>36</v>
      </c>
      <c r="AB38">
        <f t="shared" si="16"/>
        <v>0.58001230272938309</v>
      </c>
      <c r="AC38">
        <f>SUM($AB$3:AB38)</f>
        <v>21.049802148595219</v>
      </c>
      <c r="AD38" s="4">
        <f t="shared" si="3"/>
        <v>0.58471672634986716</v>
      </c>
    </row>
    <row r="39" spans="1:30" x14ac:dyDescent="0.25">
      <c r="A39" s="5"/>
      <c r="C39" t="s">
        <v>420</v>
      </c>
      <c r="D39" s="7">
        <v>0.14000000000000001</v>
      </c>
      <c r="E39" t="s">
        <v>3</v>
      </c>
      <c r="F39" t="s">
        <v>485</v>
      </c>
      <c r="H39" s="7"/>
      <c r="V39">
        <v>37</v>
      </c>
      <c r="W39">
        <f t="shared" si="0"/>
        <v>0.57760173193934794</v>
      </c>
      <c r="X39">
        <f>SUM($W$3:W39)</f>
        <v>24.823653309031517</v>
      </c>
      <c r="Y39" s="4">
        <f t="shared" si="2"/>
        <v>0.67090954889274368</v>
      </c>
      <c r="AA39">
        <v>37</v>
      </c>
      <c r="AB39">
        <f t="shared" si="16"/>
        <v>0.57760173193934794</v>
      </c>
      <c r="AC39">
        <f>SUM($AB$3:AB39)</f>
        <v>21.627403880534569</v>
      </c>
      <c r="AD39" s="4">
        <f t="shared" si="3"/>
        <v>0.58452442920363701</v>
      </c>
    </row>
    <row r="40" spans="1:30" x14ac:dyDescent="0.25">
      <c r="A40" s="5"/>
      <c r="C40" t="s">
        <v>422</v>
      </c>
      <c r="D40" s="7">
        <f>-LN(1-D39)/LN(2)</f>
        <v>0.21759143507262679</v>
      </c>
      <c r="E40" t="s">
        <v>3</v>
      </c>
      <c r="V40">
        <v>38</v>
      </c>
      <c r="W40">
        <f t="shared" si="0"/>
        <v>0.57526507238906177</v>
      </c>
      <c r="X40">
        <f>SUM($W$3:W40)</f>
        <v>25.398918381420579</v>
      </c>
      <c r="Y40" s="4">
        <f t="shared" si="2"/>
        <v>0.66839258898475207</v>
      </c>
      <c r="AA40">
        <v>38</v>
      </c>
      <c r="AB40">
        <f t="shared" si="16"/>
        <v>0.57526507238906177</v>
      </c>
      <c r="AC40">
        <f>SUM($AB$3:AB40)</f>
        <v>22.202668952923631</v>
      </c>
      <c r="AD40" s="4">
        <f t="shared" si="3"/>
        <v>0.58428076191904288</v>
      </c>
    </row>
    <row r="41" spans="1:30" x14ac:dyDescent="0.25">
      <c r="C41" t="s">
        <v>294</v>
      </c>
      <c r="D41" s="28">
        <v>4000</v>
      </c>
      <c r="E41" t="s">
        <v>295</v>
      </c>
      <c r="G41" s="60">
        <f>D41*1000/8760/44</f>
        <v>10.377750103777501</v>
      </c>
      <c r="V41">
        <v>39</v>
      </c>
      <c r="W41">
        <f t="shared" si="0"/>
        <v>0.57299820022647319</v>
      </c>
      <c r="X41">
        <f>SUM($W$3:W41)</f>
        <v>25.971916581647051</v>
      </c>
      <c r="Y41" s="4">
        <f t="shared" si="2"/>
        <v>0.66594657901659104</v>
      </c>
      <c r="Z41" s="74"/>
      <c r="AA41">
        <v>39</v>
      </c>
      <c r="AB41">
        <f t="shared" si="16"/>
        <v>0.57299820022647319</v>
      </c>
      <c r="AC41">
        <f>SUM($AB$3:AB41)</f>
        <v>22.775667153150103</v>
      </c>
      <c r="AD41" s="4">
        <f t="shared" si="3"/>
        <v>0.58399146546538727</v>
      </c>
    </row>
    <row r="42" spans="1:30" x14ac:dyDescent="0.25">
      <c r="C42" s="5" t="s">
        <v>310</v>
      </c>
      <c r="D42" s="16">
        <v>100000</v>
      </c>
      <c r="E42" s="5" t="s">
        <v>295</v>
      </c>
      <c r="G42" s="60">
        <f>D42*1000/8760/44</f>
        <v>259.44375259443751</v>
      </c>
      <c r="H42" t="s">
        <v>18</v>
      </c>
      <c r="V42">
        <v>40</v>
      </c>
      <c r="W42">
        <f t="shared" si="0"/>
        <v>0.57079732010500017</v>
      </c>
      <c r="X42">
        <f>SUM($W$3:W42)</f>
        <v>26.542713901752052</v>
      </c>
      <c r="Y42" s="4">
        <f t="shared" si="2"/>
        <v>0.66356784754380127</v>
      </c>
      <c r="AA42">
        <v>40</v>
      </c>
      <c r="AB42">
        <f t="shared" si="16"/>
        <v>0.57079732010500017</v>
      </c>
      <c r="AC42">
        <f>SUM($AB$3:AB42)</f>
        <v>23.346464473255104</v>
      </c>
      <c r="AD42" s="4">
        <f t="shared" si="3"/>
        <v>0.58366161183137755</v>
      </c>
    </row>
    <row r="43" spans="1:30" x14ac:dyDescent="0.25">
      <c r="C43" s="54" t="s">
        <v>405</v>
      </c>
      <c r="D43" s="134">
        <v>960</v>
      </c>
      <c r="E43" s="54" t="s">
        <v>295</v>
      </c>
      <c r="G43" s="60">
        <f>D43*1000/8760/44</f>
        <v>2.4906600249066</v>
      </c>
      <c r="V43">
        <v>41</v>
      </c>
      <c r="W43">
        <f t="shared" si="0"/>
        <v>0.56865893156084724</v>
      </c>
      <c r="X43">
        <f>SUM($W$3:W43)</f>
        <v>27.111372833312899</v>
      </c>
      <c r="Y43" s="4">
        <f t="shared" si="2"/>
        <v>0.66125299593446096</v>
      </c>
      <c r="AA43">
        <v>41</v>
      </c>
      <c r="AB43">
        <f t="shared" si="16"/>
        <v>0.56865893156084724</v>
      </c>
      <c r="AC43">
        <f>SUM($AB$3:AB43)</f>
        <v>23.915123404815951</v>
      </c>
      <c r="AD43" s="4">
        <f t="shared" si="3"/>
        <v>0.58329569280038907</v>
      </c>
    </row>
    <row r="44" spans="1:30" x14ac:dyDescent="0.25">
      <c r="C44" s="54" t="s">
        <v>424</v>
      </c>
      <c r="D44" s="134">
        <v>100000</v>
      </c>
      <c r="E44" s="54" t="s">
        <v>295</v>
      </c>
      <c r="G44" s="60">
        <f t="shared" ref="G44" si="17">D44*1000/8760/44</f>
        <v>259.44375259443751</v>
      </c>
      <c r="V44">
        <v>42</v>
      </c>
      <c r="W44">
        <f t="shared" si="0"/>
        <v>0.56657979955788607</v>
      </c>
      <c r="X44">
        <f>SUM($W$3:W44)</f>
        <v>27.677952632870785</v>
      </c>
      <c r="Y44" s="4">
        <f t="shared" si="2"/>
        <v>0.65899887221120912</v>
      </c>
      <c r="AA44">
        <v>42</v>
      </c>
      <c r="AB44">
        <f t="shared" si="16"/>
        <v>0.56657979955788607</v>
      </c>
      <c r="AC44">
        <f>SUM($AB$3:AB44)</f>
        <v>24.481703204373837</v>
      </c>
      <c r="AD44" s="4">
        <f t="shared" si="3"/>
        <v>0.58289769534223423</v>
      </c>
    </row>
    <row r="45" spans="1:30" x14ac:dyDescent="0.25">
      <c r="C45" s="20"/>
      <c r="D45" s="20"/>
      <c r="E45" s="20"/>
      <c r="F45" s="20"/>
      <c r="G45" s="20"/>
      <c r="H45" s="143" t="s">
        <v>464</v>
      </c>
      <c r="I45" s="20"/>
      <c r="J45" s="20"/>
      <c r="K45" s="20"/>
      <c r="L45" s="20"/>
      <c r="V45">
        <v>43</v>
      </c>
      <c r="W45">
        <f t="shared" si="0"/>
        <v>0.56455692859773132</v>
      </c>
      <c r="X45">
        <f>SUM($W$3:W45)</f>
        <v>28.242509561468516</v>
      </c>
      <c r="Y45" s="4">
        <f t="shared" si="2"/>
        <v>0.65680254794112825</v>
      </c>
      <c r="AA45">
        <v>43</v>
      </c>
      <c r="AB45">
        <f t="shared" si="16"/>
        <v>0.56455692859773132</v>
      </c>
      <c r="AC45">
        <f>SUM($AB$3:AB45)</f>
        <v>25.046260132971568</v>
      </c>
      <c r="AD45" s="4">
        <f t="shared" si="3"/>
        <v>0.58247116588305969</v>
      </c>
    </row>
    <row r="46" spans="1:30" ht="45" x14ac:dyDescent="0.25">
      <c r="C46" s="49" t="s">
        <v>296</v>
      </c>
      <c r="D46" s="49" t="s">
        <v>312</v>
      </c>
      <c r="E46" s="49" t="s">
        <v>307</v>
      </c>
      <c r="F46" s="49" t="s">
        <v>402</v>
      </c>
      <c r="G46" s="138" t="s">
        <v>312</v>
      </c>
      <c r="H46" s="119" t="s">
        <v>312</v>
      </c>
      <c r="I46" s="84" t="s">
        <v>307</v>
      </c>
      <c r="J46" s="84" t="s">
        <v>297</v>
      </c>
      <c r="K46" s="85" t="s">
        <v>311</v>
      </c>
      <c r="L46" s="84" t="s">
        <v>313</v>
      </c>
      <c r="M46" s="86" t="s">
        <v>319</v>
      </c>
      <c r="N46" s="84" t="s">
        <v>320</v>
      </c>
      <c r="P46" s="84" t="s">
        <v>506</v>
      </c>
      <c r="U46" s="76" t="s">
        <v>13</v>
      </c>
      <c r="V46">
        <v>44</v>
      </c>
      <c r="W46">
        <f t="shared" si="0"/>
        <v>0.56258753989153409</v>
      </c>
      <c r="X46">
        <f>SUM($W$3:W46)</f>
        <v>28.805097101360051</v>
      </c>
      <c r="Y46" s="4">
        <f t="shared" si="2"/>
        <v>0.65466129775818294</v>
      </c>
      <c r="AA46">
        <v>44</v>
      </c>
      <c r="AB46">
        <f t="shared" si="16"/>
        <v>0.56258753989153409</v>
      </c>
      <c r="AC46">
        <f>SUM($AB$3:AB46)</f>
        <v>25.608847672863103</v>
      </c>
      <c r="AD46" s="4">
        <f t="shared" si="3"/>
        <v>0.58201926529234327</v>
      </c>
    </row>
    <row r="47" spans="1:30" x14ac:dyDescent="0.25">
      <c r="C47" s="75" t="s">
        <v>66</v>
      </c>
      <c r="D47" s="75" t="s">
        <v>397</v>
      </c>
      <c r="E47" s="75" t="s">
        <v>397</v>
      </c>
      <c r="F47" s="49" t="s">
        <v>55</v>
      </c>
      <c r="G47" s="139" t="s">
        <v>306</v>
      </c>
      <c r="H47" s="80" t="s">
        <v>306</v>
      </c>
      <c r="I47" s="49" t="s">
        <v>306</v>
      </c>
      <c r="J47" s="75" t="s">
        <v>55</v>
      </c>
      <c r="K47" s="80" t="s">
        <v>306</v>
      </c>
      <c r="L47" s="49" t="s">
        <v>306</v>
      </c>
      <c r="M47" s="17" t="s">
        <v>55</v>
      </c>
      <c r="N47" s="49" t="s">
        <v>55</v>
      </c>
      <c r="U47" s="77"/>
      <c r="V47">
        <v>45</v>
      </c>
      <c r="W47">
        <f t="shared" si="0"/>
        <v>0.56066905117082755</v>
      </c>
      <c r="X47">
        <f>SUM($W$3:W47)</f>
        <v>29.365766152530878</v>
      </c>
      <c r="Y47" s="4">
        <f t="shared" si="2"/>
        <v>0.65257258116735284</v>
      </c>
      <c r="AA47">
        <v>45</v>
      </c>
      <c r="AB47">
        <f t="shared" si="16"/>
        <v>0.56066905117082755</v>
      </c>
      <c r="AC47">
        <f>SUM($AB$3:AB47)</f>
        <v>26.169516724033929</v>
      </c>
      <c r="AD47" s="4">
        <f t="shared" si="3"/>
        <v>0.58154481608964292</v>
      </c>
    </row>
    <row r="48" spans="1:30" s="74" customFormat="1" ht="105" x14ac:dyDescent="0.25">
      <c r="C48" s="78" t="s">
        <v>12</v>
      </c>
      <c r="D48" s="78" t="s">
        <v>407</v>
      </c>
      <c r="E48" s="78" t="s">
        <v>407</v>
      </c>
      <c r="F48" s="78" t="s">
        <v>292</v>
      </c>
      <c r="G48" s="140" t="s">
        <v>406</v>
      </c>
      <c r="H48" s="137" t="s">
        <v>425</v>
      </c>
      <c r="I48" s="109"/>
      <c r="J48" s="78" t="s">
        <v>293</v>
      </c>
      <c r="K48" s="110"/>
      <c r="L48" s="111"/>
      <c r="M48" s="112"/>
      <c r="P48" s="74" t="s">
        <v>502</v>
      </c>
      <c r="Q48" s="74" t="s">
        <v>508</v>
      </c>
      <c r="R48" s="74" t="s">
        <v>504</v>
      </c>
      <c r="S48" s="74" t="s">
        <v>505</v>
      </c>
      <c r="U48" s="76"/>
      <c r="V48">
        <v>46</v>
      </c>
      <c r="W48">
        <f t="shared" si="0"/>
        <v>0.55879905878110181</v>
      </c>
      <c r="X48">
        <f>SUM($W$3:W48)</f>
        <v>29.924565211311979</v>
      </c>
      <c r="Y48" s="4">
        <f t="shared" si="2"/>
        <v>0.65053402633286905</v>
      </c>
      <c r="Z48"/>
      <c r="AA48">
        <v>46</v>
      </c>
      <c r="AB48">
        <f t="shared" si="16"/>
        <v>0.55879905878110181</v>
      </c>
      <c r="AC48">
        <f>SUM($AB$3:AB48)</f>
        <v>26.728315782815031</v>
      </c>
      <c r="AD48" s="4">
        <f t="shared" si="3"/>
        <v>0.58105034310467463</v>
      </c>
    </row>
    <row r="49" spans="2:30" x14ac:dyDescent="0.25">
      <c r="C49" t="s">
        <v>401</v>
      </c>
      <c r="D49">
        <f>0.76</f>
        <v>0.76</v>
      </c>
      <c r="E49">
        <f>1.14</f>
        <v>1.1399999999999999</v>
      </c>
      <c r="F49" s="2">
        <f>E49/D49</f>
        <v>1.4999999999999998</v>
      </c>
      <c r="G49" s="50">
        <f>D49*$D$61*($D$41/$D$43)^J49</f>
        <v>3.6736272235112146</v>
      </c>
      <c r="H49" s="17">
        <v>3.7</v>
      </c>
      <c r="I49" s="1">
        <f>H49*F49</f>
        <v>5.55</v>
      </c>
      <c r="J49">
        <v>1</v>
      </c>
      <c r="K49" s="43">
        <f>H49*($D$42/$D$41)^J49</f>
        <v>92.5</v>
      </c>
      <c r="L49" s="1">
        <f t="shared" ref="L49:L57" si="18">K49*F49</f>
        <v>138.74999999999997</v>
      </c>
      <c r="M49" s="83">
        <f>I49/$I$58</f>
        <v>0.34282640997502228</v>
      </c>
      <c r="N49" s="2">
        <f>L49/$L$58</f>
        <v>0.64231679074601133</v>
      </c>
      <c r="O49" t="s">
        <v>401</v>
      </c>
      <c r="P49" s="2">
        <v>0.22228630033512811</v>
      </c>
      <c r="Q49" s="2">
        <v>0.43231634414401215</v>
      </c>
      <c r="R49" s="146">
        <v>0.64</v>
      </c>
      <c r="S49" s="146">
        <v>0.78</v>
      </c>
      <c r="T49" s="146"/>
      <c r="V49">
        <v>47</v>
      </c>
      <c r="W49">
        <f t="shared" si="0"/>
        <v>0.55697532175651931</v>
      </c>
      <c r="X49">
        <f>SUM($W$3:W49)</f>
        <v>30.481540533068497</v>
      </c>
      <c r="Y49" s="4">
        <f t="shared" si="2"/>
        <v>0.64854341559720208</v>
      </c>
      <c r="AA49">
        <v>47</v>
      </c>
      <c r="AB49">
        <f t="shared" si="16"/>
        <v>0.55697532175651931</v>
      </c>
      <c r="AC49">
        <f>SUM($AB$3:AB49)</f>
        <v>27.285291104571549</v>
      </c>
      <c r="AD49" s="4">
        <f t="shared" si="3"/>
        <v>0.58053810860790533</v>
      </c>
    </row>
    <row r="50" spans="2:30" x14ac:dyDescent="0.25">
      <c r="B50" s="41" t="s">
        <v>408</v>
      </c>
      <c r="C50" t="s">
        <v>298</v>
      </c>
      <c r="D50">
        <v>0.433</v>
      </c>
      <c r="E50">
        <v>0.66800000000000004</v>
      </c>
      <c r="F50" s="2">
        <f t="shared" ref="F50:F57" si="19">E50/D50</f>
        <v>1.5427251732101617</v>
      </c>
      <c r="G50" s="50">
        <f t="shared" ref="G50:G57" si="20">D50*$D$61*($D$41/$D$43)^J50</f>
        <v>2.0930007733952047</v>
      </c>
      <c r="H50" s="17">
        <v>0.1</v>
      </c>
      <c r="I50" s="1">
        <f t="shared" ref="I50:I57" si="21">H50*F50</f>
        <v>0.15427251732101618</v>
      </c>
      <c r="J50" s="106">
        <v>1</v>
      </c>
      <c r="K50" s="43">
        <f t="shared" ref="K50:K57" si="22">H50*($D$42/$D$41)^J50</f>
        <v>2.5</v>
      </c>
      <c r="L50" s="1">
        <f t="shared" si="18"/>
        <v>3.8568129330254042</v>
      </c>
      <c r="M50" s="83">
        <f t="shared" ref="M50:M57" si="23">I50/$I$58</f>
        <v>9.5294942830582742E-3</v>
      </c>
      <c r="N50" s="2">
        <f t="shared" ref="N50:N57" si="24">L50/$L$58</f>
        <v>1.7854383464133976E-2</v>
      </c>
      <c r="O50" t="s">
        <v>298</v>
      </c>
      <c r="P50" s="2">
        <v>6.1788589403019203E-3</v>
      </c>
      <c r="Q50" s="2">
        <v>1.2017032556777569E-2</v>
      </c>
      <c r="R50" s="146">
        <v>0.02</v>
      </c>
      <c r="S50" s="146">
        <v>0.02</v>
      </c>
      <c r="T50" s="146"/>
      <c r="U50" t="s">
        <v>314</v>
      </c>
      <c r="V50">
        <v>48</v>
      </c>
      <c r="W50">
        <f t="shared" si="0"/>
        <v>0.55519574761952739</v>
      </c>
      <c r="X50">
        <f>SUM($W$3:W50)</f>
        <v>31.036736280688025</v>
      </c>
      <c r="Y50" s="4">
        <f t="shared" si="2"/>
        <v>0.64659867251433389</v>
      </c>
      <c r="AA50">
        <v>48</v>
      </c>
      <c r="AB50">
        <f t="shared" si="16"/>
        <v>0.55519574761952739</v>
      </c>
      <c r="AC50">
        <f>SUM($AB$3:AB50)</f>
        <v>27.840486852191077</v>
      </c>
      <c r="AD50" s="4">
        <f t="shared" si="3"/>
        <v>0.58001014275398077</v>
      </c>
    </row>
    <row r="51" spans="2:30" x14ac:dyDescent="0.25">
      <c r="C51" t="s">
        <v>299</v>
      </c>
      <c r="D51">
        <v>6.3799999999999996E-2</v>
      </c>
      <c r="E51">
        <v>9.9900000000000003E-2</v>
      </c>
      <c r="F51" s="2">
        <f t="shared" si="19"/>
        <v>1.565830721003135</v>
      </c>
      <c r="G51" s="50">
        <f t="shared" si="20"/>
        <v>0.18187806731076872</v>
      </c>
      <c r="H51" s="17">
        <v>0.2</v>
      </c>
      <c r="I51" s="1">
        <f t="shared" si="21"/>
        <v>0.31316614420062705</v>
      </c>
      <c r="J51">
        <v>0.63</v>
      </c>
      <c r="K51" s="43">
        <f t="shared" si="22"/>
        <v>1.5196102039986286</v>
      </c>
      <c r="L51" s="1">
        <f t="shared" si="18"/>
        <v>2.3794523413708935</v>
      </c>
      <c r="M51" s="83">
        <f t="shared" si="23"/>
        <v>1.9344436926490294E-2</v>
      </c>
      <c r="N51" s="2">
        <f t="shared" si="24"/>
        <v>1.1015223002828362E-2</v>
      </c>
      <c r="O51" t="s">
        <v>299</v>
      </c>
      <c r="P51" s="2">
        <v>2.0948682590327606E-2</v>
      </c>
      <c r="Q51" s="2">
        <v>1.7379835983125855E-2</v>
      </c>
      <c r="R51" s="146">
        <v>0.01</v>
      </c>
      <c r="S51" s="146">
        <v>0.01</v>
      </c>
      <c r="T51" s="146"/>
      <c r="V51">
        <v>49</v>
      </c>
      <c r="W51">
        <f t="shared" si="0"/>
        <v>0.55345837968686962</v>
      </c>
      <c r="X51">
        <f>SUM($W$3:W51)</f>
        <v>31.590194660374895</v>
      </c>
      <c r="Y51" s="4">
        <f t="shared" si="2"/>
        <v>0.64469785021173254</v>
      </c>
      <c r="AA51">
        <v>49</v>
      </c>
      <c r="AB51">
        <f t="shared" si="16"/>
        <v>0.55345837968686962</v>
      </c>
      <c r="AC51">
        <f>SUM($AB$3:AB51)</f>
        <v>28.393945231877947</v>
      </c>
      <c r="AD51" s="4">
        <f t="shared" si="3"/>
        <v>0.57946827003832546</v>
      </c>
    </row>
    <row r="52" spans="2:30" x14ac:dyDescent="0.25">
      <c r="C52" t="s">
        <v>299</v>
      </c>
      <c r="D52">
        <v>3.3799999999999997E-2</v>
      </c>
      <c r="E52">
        <v>6.5000000000000002E-2</v>
      </c>
      <c r="F52" s="2">
        <f t="shared" si="19"/>
        <v>1.9230769230769234</v>
      </c>
      <c r="G52" s="50">
        <f t="shared" si="20"/>
        <v>9.6355465127021658E-2</v>
      </c>
      <c r="H52" s="17">
        <v>0.1</v>
      </c>
      <c r="I52" s="1">
        <f t="shared" si="21"/>
        <v>0.19230769230769235</v>
      </c>
      <c r="J52">
        <v>0.63</v>
      </c>
      <c r="K52" s="43">
        <f t="shared" si="22"/>
        <v>0.75980510199931428</v>
      </c>
      <c r="L52" s="1">
        <f t="shared" si="18"/>
        <v>1.4611636576909892</v>
      </c>
      <c r="M52" s="83">
        <f t="shared" si="23"/>
        <v>1.187894698458151E-2</v>
      </c>
      <c r="N52" s="2">
        <f t="shared" si="24"/>
        <v>6.764179829641657E-3</v>
      </c>
      <c r="O52" t="s">
        <v>299</v>
      </c>
      <c r="P52" s="2">
        <v>1.286407512573055E-2</v>
      </c>
      <c r="Q52" s="2">
        <v>1.0672533453871463E-2</v>
      </c>
      <c r="R52" s="146">
        <v>0.01</v>
      </c>
      <c r="S52" s="146">
        <v>0</v>
      </c>
      <c r="T52" s="146"/>
      <c r="V52">
        <v>50</v>
      </c>
      <c r="W52">
        <f t="shared" si="0"/>
        <v>0.55176138569501609</v>
      </c>
      <c r="X52">
        <f>SUM($W$3:W52)</f>
        <v>32.141956046069907</v>
      </c>
      <c r="Y52" s="4">
        <f t="shared" si="2"/>
        <v>0.64283912092139817</v>
      </c>
      <c r="AA52">
        <v>50</v>
      </c>
      <c r="AB52">
        <f t="shared" si="16"/>
        <v>0.55176138569501609</v>
      </c>
      <c r="AC52">
        <f>SUM($AB$3:AB52)</f>
        <v>28.945706617572963</v>
      </c>
      <c r="AD52" s="4">
        <f t="shared" si="3"/>
        <v>0.57891413235145928</v>
      </c>
    </row>
    <row r="53" spans="2:30" x14ac:dyDescent="0.25">
      <c r="C53" t="s">
        <v>300</v>
      </c>
      <c r="D53">
        <v>0.153</v>
      </c>
      <c r="E53">
        <v>0.24199999999999999</v>
      </c>
      <c r="F53" s="2">
        <f t="shared" si="19"/>
        <v>1.5816993464052287</v>
      </c>
      <c r="G53" s="50">
        <f t="shared" si="20"/>
        <v>0.4361652711371099</v>
      </c>
      <c r="H53" s="17">
        <v>0.4</v>
      </c>
      <c r="I53" s="1">
        <f t="shared" si="21"/>
        <v>0.63267973856209148</v>
      </c>
      <c r="J53">
        <v>0.63</v>
      </c>
      <c r="K53" s="43">
        <f t="shared" si="22"/>
        <v>3.0392204079972571</v>
      </c>
      <c r="L53" s="1">
        <f t="shared" si="18"/>
        <v>4.8071329329106938</v>
      </c>
      <c r="M53" s="83">
        <f t="shared" si="23"/>
        <v>3.9080959177509464E-2</v>
      </c>
      <c r="N53" s="2">
        <f t="shared" si="24"/>
        <v>2.2253709536264207E-2</v>
      </c>
      <c r="O53" t="s">
        <v>300</v>
      </c>
      <c r="P53" s="2">
        <v>4.2321966374429601E-2</v>
      </c>
      <c r="Q53" s="2">
        <v>3.5111937512030969E-2</v>
      </c>
      <c r="R53" s="146">
        <v>0.02</v>
      </c>
      <c r="S53" s="146">
        <v>0.01</v>
      </c>
      <c r="T53" s="146"/>
      <c r="V53">
        <v>51</v>
      </c>
      <c r="W53">
        <f t="shared" si="0"/>
        <v>0.55010304758449335</v>
      </c>
      <c r="X53">
        <f>SUM($W$3:W53)</f>
        <v>32.6920590936544</v>
      </c>
      <c r="Y53" s="4">
        <f t="shared" si="2"/>
        <v>0.64102076654224316</v>
      </c>
      <c r="AA53">
        <v>51</v>
      </c>
      <c r="AB53">
        <f t="shared" si="16"/>
        <v>0.55010304758449335</v>
      </c>
      <c r="AC53">
        <f>SUM($AB$3:AB53)</f>
        <v>29.495809665157456</v>
      </c>
      <c r="AD53" s="4">
        <f t="shared" si="3"/>
        <v>0.5783492091207344</v>
      </c>
    </row>
    <row r="54" spans="2:30" x14ac:dyDescent="0.25">
      <c r="C54" t="s">
        <v>301</v>
      </c>
      <c r="D54">
        <v>1.19</v>
      </c>
      <c r="E54">
        <v>1.19</v>
      </c>
      <c r="F54" s="2">
        <f t="shared" si="19"/>
        <v>1</v>
      </c>
      <c r="G54" s="50">
        <f t="shared" si="20"/>
        <v>3.3923965532886329</v>
      </c>
      <c r="H54" s="17">
        <v>3.4</v>
      </c>
      <c r="I54" s="1">
        <f t="shared" si="21"/>
        <v>3.4</v>
      </c>
      <c r="J54">
        <v>0.63</v>
      </c>
      <c r="K54" s="43">
        <f t="shared" si="22"/>
        <v>25.833373467976681</v>
      </c>
      <c r="L54" s="1">
        <f t="shared" si="18"/>
        <v>25.833373467976681</v>
      </c>
      <c r="M54" s="83">
        <f t="shared" si="23"/>
        <v>0.21001978268740104</v>
      </c>
      <c r="N54" s="2">
        <f t="shared" si="24"/>
        <v>0.11959069938806445</v>
      </c>
      <c r="O54" t="s">
        <v>301</v>
      </c>
      <c r="P54" s="2">
        <v>0.22743684822291607</v>
      </c>
      <c r="Q54" s="2">
        <v>0.18869039146444741</v>
      </c>
      <c r="R54" s="146">
        <v>0.12</v>
      </c>
      <c r="S54" s="146">
        <v>0.06</v>
      </c>
      <c r="T54" s="146"/>
      <c r="V54">
        <v>52</v>
      </c>
      <c r="W54">
        <f t="shared" si="0"/>
        <v>0.54848175230484542</v>
      </c>
      <c r="X54">
        <f>SUM($W$3:W54)</f>
        <v>33.240540845959245</v>
      </c>
      <c r="Y54" s="4">
        <f t="shared" si="2"/>
        <v>0.63924117011460091</v>
      </c>
      <c r="AA54">
        <v>52</v>
      </c>
      <c r="AB54">
        <f t="shared" si="16"/>
        <v>0.54848175230484542</v>
      </c>
      <c r="AC54">
        <f>SUM($AB$3:AB54)</f>
        <v>30.044291417462301</v>
      </c>
      <c r="AD54" s="4">
        <f t="shared" si="3"/>
        <v>0.57777483495119808</v>
      </c>
    </row>
    <row r="55" spans="2:30" x14ac:dyDescent="0.25">
      <c r="C55" t="s">
        <v>302</v>
      </c>
      <c r="D55">
        <v>0.105</v>
      </c>
      <c r="E55">
        <v>0.105</v>
      </c>
      <c r="F55" s="2">
        <f t="shared" si="19"/>
        <v>1</v>
      </c>
      <c r="G55" s="50">
        <f t="shared" si="20"/>
        <v>0.50754060324825989</v>
      </c>
      <c r="H55" s="17">
        <v>0.5</v>
      </c>
      <c r="I55" s="1">
        <f t="shared" si="21"/>
        <v>0.5</v>
      </c>
      <c r="J55">
        <v>1</v>
      </c>
      <c r="K55" s="43">
        <f t="shared" si="22"/>
        <v>12.5</v>
      </c>
      <c r="L55" s="1">
        <f t="shared" si="18"/>
        <v>12.5</v>
      </c>
      <c r="M55" s="83">
        <f t="shared" si="23"/>
        <v>3.0885262159911921E-2</v>
      </c>
      <c r="N55" s="2">
        <f t="shared" si="24"/>
        <v>5.7866377544685717E-2</v>
      </c>
      <c r="O55" t="s">
        <v>302</v>
      </c>
      <c r="P55" s="2">
        <v>2.0025792822984514E-2</v>
      </c>
      <c r="Q55" s="2">
        <v>3.8947418391352455E-2</v>
      </c>
      <c r="R55" s="146">
        <v>0.06</v>
      </c>
      <c r="S55" s="146">
        <v>7.0000000000000007E-2</v>
      </c>
      <c r="T55" s="146"/>
      <c r="V55">
        <v>53</v>
      </c>
      <c r="W55">
        <f t="shared" si="0"/>
        <v>0.54689598352078228</v>
      </c>
      <c r="X55">
        <f>SUM($W$3:W55)</f>
        <v>33.787436829480029</v>
      </c>
      <c r="Y55" s="4">
        <f t="shared" si="2"/>
        <v>0.63749880810339676</v>
      </c>
      <c r="AA55">
        <v>53</v>
      </c>
      <c r="AB55">
        <f t="shared" si="16"/>
        <v>0.54689598352078228</v>
      </c>
      <c r="AC55">
        <f>SUM($AB$3:AB55)</f>
        <v>30.591187400983081</v>
      </c>
      <c r="AD55" s="4">
        <f t="shared" si="3"/>
        <v>0.57719221511288832</v>
      </c>
    </row>
    <row r="56" spans="2:30" x14ac:dyDescent="0.25">
      <c r="C56" t="s">
        <v>303</v>
      </c>
      <c r="D56">
        <v>6.2E-2</v>
      </c>
      <c r="E56">
        <v>0.16600000000000001</v>
      </c>
      <c r="F56" s="2">
        <f t="shared" si="19"/>
        <v>2.67741935483871</v>
      </c>
      <c r="G56" s="50">
        <f t="shared" si="20"/>
        <v>0.15767696092407057</v>
      </c>
      <c r="H56" s="17">
        <v>1</v>
      </c>
      <c r="I56" s="1">
        <f t="shared" si="21"/>
        <v>2.67741935483871</v>
      </c>
      <c r="J56">
        <v>0.55000000000000004</v>
      </c>
      <c r="K56" s="43">
        <f t="shared" si="22"/>
        <v>5.8730947154400956</v>
      </c>
      <c r="L56" s="1">
        <f t="shared" si="18"/>
        <v>15.724737463920258</v>
      </c>
      <c r="M56" s="83">
        <f t="shared" si="23"/>
        <v>0.16538559737243158</v>
      </c>
      <c r="N56" s="2">
        <f t="shared" si="24"/>
        <v>7.2794687590261878E-2</v>
      </c>
      <c r="O56" t="s">
        <v>303</v>
      </c>
      <c r="P56" s="2">
        <v>0.20010738154820934</v>
      </c>
      <c r="Q56" s="2">
        <v>0.13808676846708415</v>
      </c>
      <c r="R56" s="146">
        <v>7.0000000000000007E-2</v>
      </c>
      <c r="S56" s="146">
        <v>0.03</v>
      </c>
      <c r="T56" s="146"/>
      <c r="U56" t="s">
        <v>305</v>
      </c>
      <c r="V56">
        <v>54</v>
      </c>
      <c r="W56">
        <f t="shared" si="0"/>
        <v>0.54534431411601125</v>
      </c>
      <c r="X56">
        <f>SUM($W$3:W56)</f>
        <v>34.332781143596037</v>
      </c>
      <c r="Y56" s="4">
        <f t="shared" si="2"/>
        <v>0.63579224339992657</v>
      </c>
      <c r="AA56">
        <v>54</v>
      </c>
      <c r="AB56">
        <f t="shared" si="16"/>
        <v>0.54534431411601125</v>
      </c>
      <c r="AC56">
        <f>SUM($AB$3:AB56)</f>
        <v>31.136531715099093</v>
      </c>
      <c r="AD56" s="4">
        <f t="shared" si="3"/>
        <v>0.57660243916850173</v>
      </c>
    </row>
    <row r="57" spans="2:30" x14ac:dyDescent="0.25">
      <c r="C57" s="20" t="s">
        <v>304</v>
      </c>
      <c r="D57" s="20">
        <v>1.23</v>
      </c>
      <c r="E57" s="20">
        <v>1.31</v>
      </c>
      <c r="F57" s="2">
        <f t="shared" si="19"/>
        <v>1.0650406504065042</v>
      </c>
      <c r="G57" s="141">
        <f t="shared" si="20"/>
        <v>2.5984186464098307</v>
      </c>
      <c r="H57" s="19">
        <v>2.6</v>
      </c>
      <c r="I57" s="1">
        <f t="shared" si="21"/>
        <v>2.769105691056911</v>
      </c>
      <c r="J57" s="20">
        <v>0.42</v>
      </c>
      <c r="K57" s="43">
        <f t="shared" si="22"/>
        <v>10.048659991860669</v>
      </c>
      <c r="L57" s="1">
        <f t="shared" si="18"/>
        <v>10.702231373445104</v>
      </c>
      <c r="M57" s="83">
        <f t="shared" si="23"/>
        <v>0.17104911043359353</v>
      </c>
      <c r="N57" s="2">
        <f t="shared" si="24"/>
        <v>4.9543948898108377E-2</v>
      </c>
      <c r="O57" s="20" t="s">
        <v>304</v>
      </c>
      <c r="P57" s="2">
        <v>0.24783009403997228</v>
      </c>
      <c r="Q57" s="2">
        <v>0.12677773802729808</v>
      </c>
      <c r="R57" s="146">
        <v>0.05</v>
      </c>
      <c r="S57" s="146">
        <v>0.02</v>
      </c>
      <c r="T57" s="146"/>
      <c r="V57">
        <v>55</v>
      </c>
      <c r="W57">
        <f t="shared" si="0"/>
        <v>0.54382539940482055</v>
      </c>
      <c r="X57">
        <f>SUM($W$3:W57)</f>
        <v>34.876606543000861</v>
      </c>
      <c r="Y57" s="4">
        <f t="shared" si="2"/>
        <v>0.63412011896365206</v>
      </c>
      <c r="AA57">
        <v>55</v>
      </c>
      <c r="AB57">
        <f t="shared" si="16"/>
        <v>0.54382539940482055</v>
      </c>
      <c r="AC57">
        <f>SUM($AB$3:AB57)</f>
        <v>31.680357114503913</v>
      </c>
      <c r="AD57" s="4">
        <f t="shared" si="3"/>
        <v>0.57600649299098028</v>
      </c>
    </row>
    <row r="58" spans="2:30" x14ac:dyDescent="0.25">
      <c r="C58" s="79" t="s">
        <v>28</v>
      </c>
      <c r="D58" s="79"/>
      <c r="E58" s="79"/>
      <c r="F58" s="39"/>
      <c r="G58" s="142">
        <f>SUM(G49:G57)</f>
        <v>13.137059564352116</v>
      </c>
      <c r="H58" s="19">
        <f>SUM(H49:H57)</f>
        <v>12</v>
      </c>
      <c r="I58" s="9">
        <f t="shared" ref="I58" si="25">SUM(I49:I57)</f>
        <v>16.188951138287049</v>
      </c>
      <c r="J58" s="9"/>
      <c r="K58" s="81">
        <f t="shared" ref="K58:L58" si="26">SUM(K49:K57)</f>
        <v>154.57376388927264</v>
      </c>
      <c r="L58" s="81">
        <f t="shared" si="26"/>
        <v>216.01490417034</v>
      </c>
      <c r="M58" s="17"/>
      <c r="V58">
        <v>56</v>
      </c>
      <c r="W58">
        <f t="shared" si="0"/>
        <v>0.54233797097305447</v>
      </c>
      <c r="X58">
        <f>SUM($W$3:W58)</f>
        <v>35.418944513973912</v>
      </c>
      <c r="Y58" s="4">
        <f t="shared" si="2"/>
        <v>0.63248115203524846</v>
      </c>
      <c r="AA58">
        <v>56</v>
      </c>
      <c r="AB58">
        <f t="shared" si="16"/>
        <v>0.54233797097305447</v>
      </c>
      <c r="AC58">
        <f>SUM($AB$3:AB58)</f>
        <v>32.222695085476964</v>
      </c>
      <c r="AD58" s="4">
        <f t="shared" si="3"/>
        <v>0.57540526938351721</v>
      </c>
    </row>
    <row r="59" spans="2:30" x14ac:dyDescent="0.25">
      <c r="V59">
        <v>57</v>
      </c>
      <c r="W59">
        <f t="shared" si="0"/>
        <v>0.54088083108002971</v>
      </c>
      <c r="X59">
        <f>SUM($W$3:W59)</f>
        <v>35.959825345053943</v>
      </c>
      <c r="Y59" s="4">
        <f t="shared" si="2"/>
        <v>0.63087412886059546</v>
      </c>
      <c r="AA59">
        <v>57</v>
      </c>
      <c r="AB59">
        <f t="shared" si="16"/>
        <v>0.54088083108002971</v>
      </c>
      <c r="AC59">
        <f>SUM($AB$3:AB59)</f>
        <v>32.763575916556995</v>
      </c>
      <c r="AD59" s="4">
        <f t="shared" si="3"/>
        <v>0.574799577483456</v>
      </c>
    </row>
    <row r="60" spans="2:30" x14ac:dyDescent="0.25">
      <c r="C60" s="26" t="s">
        <v>404</v>
      </c>
      <c r="D60" s="14">
        <v>44</v>
      </c>
      <c r="V60">
        <v>58</v>
      </c>
      <c r="W60">
        <f t="shared" si="0"/>
        <v>0.53945284756144851</v>
      </c>
      <c r="X60">
        <f>SUM($W$3:W60)</f>
        <v>36.499278192615392</v>
      </c>
      <c r="Y60" s="4">
        <f t="shared" si="2"/>
        <v>0.62929789987267915</v>
      </c>
      <c r="AA60">
        <v>58</v>
      </c>
      <c r="AB60">
        <f t="shared" si="16"/>
        <v>0.53945284756144851</v>
      </c>
      <c r="AC60">
        <f>SUM($AB$3:AB60)</f>
        <v>33.303028764118444</v>
      </c>
      <c r="AD60" s="4">
        <f t="shared" si="3"/>
        <v>0.57419015110549043</v>
      </c>
    </row>
    <row r="61" spans="2:30" x14ac:dyDescent="0.25">
      <c r="C61" t="s">
        <v>399</v>
      </c>
      <c r="D61" s="23">
        <f>D25</f>
        <v>1.160092807424594</v>
      </c>
      <c r="E61" t="s">
        <v>462</v>
      </c>
      <c r="F61" s="2">
        <f>816/608</f>
        <v>1.3421052631578947</v>
      </c>
      <c r="V61">
        <v>59</v>
      </c>
      <c r="W61">
        <f t="shared" si="0"/>
        <v>0.5380529491806797</v>
      </c>
      <c r="X61">
        <f>SUM($W$3:W61)</f>
        <v>37.037331141796074</v>
      </c>
      <c r="Y61" s="4">
        <f t="shared" si="2"/>
        <v>0.62775137528467917</v>
      </c>
      <c r="AA61">
        <v>59</v>
      </c>
      <c r="AB61">
        <f t="shared" si="16"/>
        <v>0.5380529491806797</v>
      </c>
      <c r="AC61">
        <f>SUM($AB$3:AB61)</f>
        <v>33.841081713299126</v>
      </c>
      <c r="AD61" s="4">
        <f t="shared" si="3"/>
        <v>0.57357765615761225</v>
      </c>
    </row>
    <row r="62" spans="2:30" x14ac:dyDescent="0.25">
      <c r="C62" t="s">
        <v>309</v>
      </c>
      <c r="D62" s="7">
        <v>0.15</v>
      </c>
      <c r="V62">
        <v>60</v>
      </c>
      <c r="W62">
        <f t="shared" si="0"/>
        <v>0.53668012138210353</v>
      </c>
      <c r="X62">
        <f>SUM($W$3:W62)</f>
        <v>37.574011263178178</v>
      </c>
      <c r="Y62" s="4">
        <f t="shared" si="2"/>
        <v>0.62623352105296959</v>
      </c>
      <c r="AA62">
        <v>60</v>
      </c>
      <c r="AB62">
        <f t="shared" si="16"/>
        <v>0.53668012138210353</v>
      </c>
      <c r="AC62">
        <f>SUM($AB$3:AB62)</f>
        <v>34.37776183468123</v>
      </c>
      <c r="AD62" s="4">
        <f t="shared" si="3"/>
        <v>0.57296269724468718</v>
      </c>
    </row>
    <row r="63" spans="2:30" x14ac:dyDescent="0.25">
      <c r="C63" t="s">
        <v>308</v>
      </c>
      <c r="D63" s="1">
        <f>I58*(1+D62)</f>
        <v>18.617293809030105</v>
      </c>
      <c r="I63" s="1"/>
      <c r="L63" s="1">
        <f>L58*(1+$D$62)</f>
        <v>248.41713979589099</v>
      </c>
      <c r="V63">
        <v>61</v>
      </c>
      <c r="W63">
        <f t="shared" si="0"/>
        <v>0.5353334024056795</v>
      </c>
      <c r="X63">
        <f>SUM($W$3:W63)</f>
        <v>38.109344665583855</v>
      </c>
      <c r="Y63" s="4">
        <f t="shared" si="2"/>
        <v>0.62474335517350577</v>
      </c>
      <c r="AA63">
        <v>61</v>
      </c>
      <c r="AB63">
        <f t="shared" si="16"/>
        <v>0.5353334024056795</v>
      </c>
      <c r="AC63">
        <f>SUM($AB$3:AB63)</f>
        <v>34.913095237086907</v>
      </c>
      <c r="AD63" s="4">
        <f t="shared" si="3"/>
        <v>0.5723458235588017</v>
      </c>
    </row>
    <row r="64" spans="2:30" x14ac:dyDescent="0.25">
      <c r="C64" s="5" t="s">
        <v>318</v>
      </c>
      <c r="D64" s="16">
        <f>D63*1000000/D41</f>
        <v>4654.3234522575258</v>
      </c>
      <c r="E64" s="5"/>
      <c r="G64" s="82"/>
      <c r="H64" s="82"/>
      <c r="I64" s="5"/>
      <c r="J64" s="5"/>
      <c r="K64" s="5"/>
      <c r="L64" s="16">
        <f>L63*1000000/$D$42</f>
        <v>2484.1713979589099</v>
      </c>
      <c r="V64">
        <v>62</v>
      </c>
      <c r="W64">
        <f t="shared" si="0"/>
        <v>0.53401187972664366</v>
      </c>
      <c r="X64">
        <f>SUM($W$3:W64)</f>
        <v>38.643356545310496</v>
      </c>
      <c r="Y64" s="4">
        <f t="shared" si="2"/>
        <v>0.62327994427920153</v>
      </c>
      <c r="AA64">
        <v>62</v>
      </c>
      <c r="AB64">
        <f t="shared" si="16"/>
        <v>0.53401187972664366</v>
      </c>
      <c r="AC64">
        <f>SUM($AB$3:AB64)</f>
        <v>35.447107116813548</v>
      </c>
      <c r="AD64" s="4">
        <f t="shared" si="3"/>
        <v>0.57172753414215405</v>
      </c>
    </row>
    <row r="65" spans="3:30" ht="15.75" customHeight="1" x14ac:dyDescent="0.25">
      <c r="C65" t="s">
        <v>426</v>
      </c>
      <c r="D65" s="4">
        <f>INDEX(AD:AD,2+ROUNDDOWN($D$38,0))</f>
        <v>0.72854041163695471</v>
      </c>
      <c r="E65" s="5"/>
      <c r="G65" s="82"/>
      <c r="H65" s="82"/>
      <c r="I65" s="5"/>
      <c r="J65" s="5"/>
      <c r="K65" s="5"/>
      <c r="L65" s="21"/>
      <c r="V65">
        <v>63</v>
      </c>
      <c r="W65">
        <f t="shared" si="0"/>
        <v>0.53271468678836664</v>
      </c>
      <c r="X65">
        <f>SUM($W$3:W65)</f>
        <v>39.176071232098863</v>
      </c>
      <c r="Y65" s="4">
        <f t="shared" si="2"/>
        <v>0.62184240050950579</v>
      </c>
      <c r="AA65">
        <v>63</v>
      </c>
      <c r="AB65">
        <f t="shared" si="16"/>
        <v>0.53271468678836664</v>
      </c>
      <c r="AC65">
        <f>SUM($AB$3:AB65)</f>
        <v>35.979821803601915</v>
      </c>
      <c r="AD65" s="4">
        <f t="shared" si="3"/>
        <v>0.57110828259685575</v>
      </c>
    </row>
    <row r="66" spans="3:30" ht="15.75" customHeight="1" x14ac:dyDescent="0.25">
      <c r="C66" s="5" t="s">
        <v>421</v>
      </c>
      <c r="D66" s="16">
        <f>D64*D65</f>
        <v>3390.86272379923</v>
      </c>
      <c r="E66" s="5"/>
      <c r="G66" s="82"/>
      <c r="H66" s="82"/>
      <c r="I66" s="5"/>
      <c r="J66" s="5"/>
      <c r="K66" s="5"/>
      <c r="L66" s="16">
        <f>L64*D65</f>
        <v>1809.8192528457334</v>
      </c>
      <c r="V66">
        <v>64</v>
      </c>
      <c r="W66">
        <f t="shared" si="0"/>
        <v>0.53144100000000005</v>
      </c>
      <c r="X66">
        <f>SUM($W$3:W66)</f>
        <v>39.707512232098864</v>
      </c>
      <c r="Y66" s="4">
        <f t="shared" si="2"/>
        <v>0.62042987862654475</v>
      </c>
      <c r="AA66">
        <v>64</v>
      </c>
      <c r="AB66">
        <f t="shared" si="16"/>
        <v>0.53144100000000005</v>
      </c>
      <c r="AC66">
        <f>SUM($AB$3:AB66)</f>
        <v>36.511262803601916</v>
      </c>
      <c r="AD66" s="4">
        <f t="shared" si="3"/>
        <v>0.57048848130627994</v>
      </c>
    </row>
    <row r="67" spans="3:30" x14ac:dyDescent="0.25">
      <c r="C67" s="14" t="s">
        <v>315</v>
      </c>
      <c r="D67" s="58">
        <f>D66/1000*365</f>
        <v>1237.664894186719</v>
      </c>
      <c r="E67" s="14"/>
      <c r="G67" s="1"/>
      <c r="H67" s="1"/>
      <c r="I67" s="1"/>
      <c r="J67" s="1"/>
      <c r="K67" s="1"/>
      <c r="L67" s="28">
        <f t="shared" ref="L67" si="27">L64/1000*365</f>
        <v>906.72256025500201</v>
      </c>
      <c r="V67">
        <v>65</v>
      </c>
      <c r="W67">
        <f t="shared" si="0"/>
        <v>0.53019003597368342</v>
      </c>
      <c r="X67">
        <f>SUM($W$3:W67)</f>
        <v>40.237702268072546</v>
      </c>
      <c r="Y67" s="4">
        <f t="shared" si="2"/>
        <v>0.61904157335496224</v>
      </c>
      <c r="Z67" s="74"/>
      <c r="AA67">
        <v>65</v>
      </c>
      <c r="AB67">
        <f t="shared" si="16"/>
        <v>0.53019003597368342</v>
      </c>
      <c r="AC67">
        <f>SUM($AB$3:AB67)</f>
        <v>37.041452839575598</v>
      </c>
      <c r="AD67" s="4">
        <f t="shared" si="3"/>
        <v>0.56986850522423993</v>
      </c>
    </row>
    <row r="68" spans="3:30" x14ac:dyDescent="0.25">
      <c r="C68" s="14" t="s">
        <v>316</v>
      </c>
      <c r="D68" s="28">
        <f>D67*24</f>
        <v>29703.957460481259</v>
      </c>
      <c r="E68" s="14"/>
      <c r="G68" s="12"/>
      <c r="H68" s="12"/>
      <c r="I68" s="12"/>
      <c r="J68" s="12"/>
      <c r="K68" s="12"/>
      <c r="L68" s="28">
        <f t="shared" ref="L68" si="28">L67*24</f>
        <v>21761.341446120048</v>
      </c>
      <c r="N68" s="145"/>
      <c r="V68">
        <v>66</v>
      </c>
      <c r="W68">
        <f t="shared" ref="W68:W131" si="29">V68^(-$D$5)</f>
        <v>0.52896104897883289</v>
      </c>
      <c r="X68">
        <f>SUM($W$3:W68)</f>
        <v>40.766663317051382</v>
      </c>
      <c r="Y68" s="4">
        <f t="shared" si="2"/>
        <v>0.61767671692502091</v>
      </c>
      <c r="AA68">
        <v>66</v>
      </c>
      <c r="AB68">
        <f t="shared" ref="AB68:AB131" si="30">AA68^(-$D$5)</f>
        <v>0.52896104897883289</v>
      </c>
      <c r="AC68">
        <f>SUM($AB$3:AB68)</f>
        <v>37.570413888554434</v>
      </c>
      <c r="AD68" s="4">
        <f t="shared" si="3"/>
        <v>0.56924869528112776</v>
      </c>
    </row>
    <row r="69" spans="3:30" x14ac:dyDescent="0.25">
      <c r="C69" s="14" t="s">
        <v>317</v>
      </c>
      <c r="D69" s="28">
        <f>D68*$D$60</f>
        <v>1306974.1282611755</v>
      </c>
      <c r="E69" s="14"/>
      <c r="F69" s="57">
        <f>D63*1000000/G41</f>
        <v>1793962.4314381408</v>
      </c>
      <c r="H69" s="12"/>
      <c r="I69" s="12"/>
      <c r="J69" s="12"/>
      <c r="K69" s="12"/>
      <c r="L69" s="28">
        <f>L68*$D$60</f>
        <v>957499.02362928214</v>
      </c>
      <c r="N69" s="57">
        <f>L63*1000000/G42</f>
        <v>957499.02362928225</v>
      </c>
      <c r="O69" t="s">
        <v>484</v>
      </c>
      <c r="V69">
        <v>67</v>
      </c>
      <c r="W69">
        <f t="shared" si="29"/>
        <v>0.5277533285934517</v>
      </c>
      <c r="X69">
        <f>SUM($W$3:W69)</f>
        <v>41.29441664564483</v>
      </c>
      <c r="Y69" s="4">
        <f t="shared" si="2"/>
        <v>0.61633457680066905</v>
      </c>
      <c r="AA69">
        <v>67</v>
      </c>
      <c r="AB69">
        <f t="shared" si="30"/>
        <v>0.5277533285934517</v>
      </c>
      <c r="AC69">
        <f>SUM($AB$3:AB69)</f>
        <v>38.098167217147889</v>
      </c>
      <c r="AD69" s="4">
        <f t="shared" si="3"/>
        <v>0.56862936144996845</v>
      </c>
    </row>
    <row r="70" spans="3:30" x14ac:dyDescent="0.25">
      <c r="C70" s="14"/>
      <c r="D70" s="14"/>
      <c r="E70" s="14"/>
      <c r="H70" s="12"/>
      <c r="J70" s="12"/>
      <c r="K70" s="12"/>
      <c r="L70" s="28"/>
      <c r="N70" s="60"/>
      <c r="V70">
        <v>68</v>
      </c>
      <c r="W70">
        <f t="shared" si="29"/>
        <v>0.52656619753452194</v>
      </c>
      <c r="X70">
        <f>SUM($W$3:W70)</f>
        <v>41.820982843179351</v>
      </c>
      <c r="Y70" s="4">
        <f t="shared" ref="Y70:Y102" si="31">X70/V70</f>
        <v>0.61501445357616691</v>
      </c>
      <c r="AA70">
        <v>68</v>
      </c>
      <c r="AB70">
        <f t="shared" si="30"/>
        <v>0.52656619753452194</v>
      </c>
      <c r="AC70">
        <f>SUM($AB$3:AB70)</f>
        <v>38.62473341468241</v>
      </c>
      <c r="AD70" s="4">
        <f t="shared" ref="AD70:AD133" si="32">AC70/AA70</f>
        <v>0.56801078551003548</v>
      </c>
    </row>
    <row r="71" spans="3:30" ht="30" x14ac:dyDescent="0.25">
      <c r="C71" s="14"/>
      <c r="D71" s="14"/>
      <c r="E71" s="14"/>
      <c r="F71" s="127" t="s">
        <v>322</v>
      </c>
      <c r="G71" s="13">
        <v>0.83606278456117922</v>
      </c>
      <c r="H71" s="12"/>
      <c r="J71" s="12"/>
      <c r="K71" s="127" t="s">
        <v>322</v>
      </c>
      <c r="L71" s="13">
        <v>0.70828150781078902</v>
      </c>
      <c r="V71">
        <v>69</v>
      </c>
      <c r="W71">
        <f t="shared" si="29"/>
        <v>0.52539900965141162</v>
      </c>
      <c r="X71">
        <f>SUM($W$3:W71)</f>
        <v>42.34638185283076</v>
      </c>
      <c r="Y71" s="4">
        <f t="shared" si="31"/>
        <v>0.61371567902653279</v>
      </c>
      <c r="AA71">
        <v>69</v>
      </c>
      <c r="AB71">
        <f t="shared" si="30"/>
        <v>0.52539900965141162</v>
      </c>
      <c r="AC71">
        <f>SUM($AB$3:AB71)</f>
        <v>39.150132424333819</v>
      </c>
      <c r="AD71" s="4">
        <f t="shared" si="32"/>
        <v>0.5673932235410698</v>
      </c>
    </row>
    <row r="72" spans="3:30" x14ac:dyDescent="0.25">
      <c r="C72" s="14"/>
      <c r="D72" s="14"/>
      <c r="E72" s="14"/>
      <c r="F72" s="5" t="s">
        <v>324</v>
      </c>
      <c r="G72" s="16">
        <v>1000000</v>
      </c>
      <c r="H72" s="12"/>
      <c r="I72" s="12"/>
      <c r="J72" s="12"/>
      <c r="K72" s="5" t="s">
        <v>324</v>
      </c>
      <c r="L72" s="16">
        <v>1000000</v>
      </c>
      <c r="V72">
        <v>70</v>
      </c>
      <c r="W72">
        <f t="shared" si="29"/>
        <v>0.52425114806788076</v>
      </c>
      <c r="X72">
        <f>SUM($W$3:W72)</f>
        <v>42.870633000898643</v>
      </c>
      <c r="Y72" s="4">
        <f t="shared" si="31"/>
        <v>0.61243761429855204</v>
      </c>
      <c r="AA72">
        <v>70</v>
      </c>
      <c r="AB72">
        <f t="shared" si="30"/>
        <v>0.52425114806788076</v>
      </c>
      <c r="AC72">
        <f>SUM($AB$3:AB72)</f>
        <v>39.674383572401702</v>
      </c>
      <c r="AD72" s="4">
        <f t="shared" si="32"/>
        <v>0.56677690817716719</v>
      </c>
    </row>
    <row r="73" spans="3:30" x14ac:dyDescent="0.25">
      <c r="K73" s="11"/>
      <c r="V73">
        <v>71</v>
      </c>
      <c r="W73">
        <f t="shared" si="29"/>
        <v>0.52312202345973147</v>
      </c>
      <c r="X73">
        <f>SUM($W$3:W73)</f>
        <v>43.393755024358377</v>
      </c>
      <c r="Y73" s="4">
        <f t="shared" si="31"/>
        <v>0.61117964823039972</v>
      </c>
      <c r="AA73">
        <v>71</v>
      </c>
      <c r="AB73">
        <f t="shared" si="30"/>
        <v>0.52312202345973147</v>
      </c>
      <c r="AC73">
        <f>SUM($AB$3:AB73)</f>
        <v>40.197505595861436</v>
      </c>
      <c r="AD73" s="4">
        <f t="shared" si="32"/>
        <v>0.56616205064593572</v>
      </c>
    </row>
    <row r="74" spans="3:30" x14ac:dyDescent="0.25">
      <c r="F74" t="s">
        <v>396</v>
      </c>
      <c r="I74" s="87">
        <f>SUM(I77:I576)</f>
        <v>11402856.338065626</v>
      </c>
      <c r="K74" t="s">
        <v>409</v>
      </c>
      <c r="N74" s="87">
        <f>SUM(N77:N226)</f>
        <v>383029.13880522654</v>
      </c>
      <c r="P74" s="59" t="s">
        <v>410</v>
      </c>
      <c r="V74">
        <v>72</v>
      </c>
      <c r="W74">
        <f t="shared" si="29"/>
        <v>0.52201107245644474</v>
      </c>
      <c r="X74">
        <f>SUM($W$3:W74)</f>
        <v>43.915766096814821</v>
      </c>
      <c r="Y74" s="4">
        <f t="shared" si="31"/>
        <v>0.60994119578909478</v>
      </c>
      <c r="AA74">
        <v>72</v>
      </c>
      <c r="AB74">
        <f t="shared" si="30"/>
        <v>0.52201107245644474</v>
      </c>
      <c r="AC74">
        <f>SUM($AB$3:AB74)</f>
        <v>40.71951666831788</v>
      </c>
      <c r="AD74" s="4">
        <f t="shared" si="32"/>
        <v>0.56554884261552607</v>
      </c>
    </row>
    <row r="75" spans="3:30" ht="30" x14ac:dyDescent="0.25">
      <c r="G75" s="74" t="s">
        <v>318</v>
      </c>
      <c r="H75" t="s">
        <v>323</v>
      </c>
      <c r="I75" s="11" t="s">
        <v>291</v>
      </c>
      <c r="L75" s="74" t="s">
        <v>318</v>
      </c>
      <c r="M75" t="s">
        <v>323</v>
      </c>
      <c r="N75" s="11" t="s">
        <v>291</v>
      </c>
      <c r="P75" s="133">
        <f>I74+N74</f>
        <v>11785885.476870853</v>
      </c>
      <c r="R75" t="s">
        <v>418</v>
      </c>
      <c r="V75">
        <v>73</v>
      </c>
      <c r="W75">
        <f t="shared" si="29"/>
        <v>0.52091775615628855</v>
      </c>
      <c r="X75">
        <f>SUM($W$3:W75)</f>
        <v>44.436683852971107</v>
      </c>
      <c r="Y75" s="4">
        <f t="shared" si="31"/>
        <v>0.60872169661604258</v>
      </c>
      <c r="AA75">
        <v>73</v>
      </c>
      <c r="AB75">
        <f t="shared" si="30"/>
        <v>0.52091775615628855</v>
      </c>
      <c r="AC75">
        <f>SUM($AB$3:AB75)</f>
        <v>41.240434424474167</v>
      </c>
      <c r="AD75" s="4">
        <f t="shared" si="32"/>
        <v>0.56493745786950911</v>
      </c>
    </row>
    <row r="76" spans="3:30" s="74" customFormat="1" ht="45" x14ac:dyDescent="0.25">
      <c r="F76" s="74" t="s">
        <v>321</v>
      </c>
      <c r="G76" s="128">
        <f>L64</f>
        <v>2484.1713979589099</v>
      </c>
      <c r="H76" s="128"/>
      <c r="K76" s="74" t="str">
        <f>F76</f>
        <v>input DAC plant scales [tCO2/a]</v>
      </c>
      <c r="L76" s="129">
        <f>L28</f>
        <v>1894.8477970895231</v>
      </c>
      <c r="V76">
        <v>74</v>
      </c>
      <c r="W76">
        <f t="shared" si="29"/>
        <v>0.51984155874541305</v>
      </c>
      <c r="X76">
        <f>SUM($W$3:W76)</f>
        <v>44.95652541171652</v>
      </c>
      <c r="Y76" s="4">
        <f t="shared" si="31"/>
        <v>0.60752061367184484</v>
      </c>
      <c r="Z76"/>
      <c r="AA76">
        <v>74</v>
      </c>
      <c r="AB76">
        <f t="shared" si="30"/>
        <v>0.51984155874541305</v>
      </c>
      <c r="AC76">
        <f>SUM($AB$3:AB76)</f>
        <v>41.760275983219579</v>
      </c>
      <c r="AD76" s="4">
        <f t="shared" si="32"/>
        <v>0.56432805382729156</v>
      </c>
    </row>
    <row r="77" spans="3:30" x14ac:dyDescent="0.25">
      <c r="F77">
        <v>2000</v>
      </c>
      <c r="G77" s="12">
        <f t="dataTable" ref="G77:G576" dt2D="0" dtr="0" r1="D42"/>
        <v>5711.4825671498247</v>
      </c>
      <c r="H77" s="12">
        <f t="shared" ref="H77:H108" si="33">IF(F77&lt;$G$72,$D$64*(F77/$D$41)^-(1-$G$71), $D$64*($G$72/$D$41)^-(1-$G$71))</f>
        <v>5214.4268640044802</v>
      </c>
      <c r="I77" s="12">
        <f t="shared" ref="I77:I108" si="34">(H77-G77)^2</f>
        <v>247064.37202931286</v>
      </c>
      <c r="K77">
        <f>F77</f>
        <v>2000</v>
      </c>
      <c r="L77" s="12">
        <f t="dataTable" ref="L77:L576" dt2D="0" dtr="0" r1="D7"/>
        <v>6330.8809015585794</v>
      </c>
      <c r="M77" s="12">
        <f t="shared" ref="M77:M140" si="35">IF(F77&lt;$L$72,$D$28*(F77/$D$6)^-(1-$L$71), $D$28*($L$72/$D$6)^-(1-$L$71))</f>
        <v>5904.4811035258554</v>
      </c>
      <c r="N77" s="12">
        <f>(M77-L77)^2</f>
        <v>181816.78776234781</v>
      </c>
      <c r="R77" s="2">
        <f>G77/L77-1</f>
        <v>-9.7837622289856485E-2</v>
      </c>
      <c r="V77">
        <v>75</v>
      </c>
      <c r="W77">
        <f t="shared" si="29"/>
        <v>0.51878198621235061</v>
      </c>
      <c r="X77">
        <f>SUM($W$3:W77)</f>
        <v>45.475307397928873</v>
      </c>
      <c r="Y77" s="4">
        <f t="shared" si="31"/>
        <v>0.60633743197238499</v>
      </c>
      <c r="AA77">
        <v>75</v>
      </c>
      <c r="AB77">
        <f t="shared" si="30"/>
        <v>0.51878198621235061</v>
      </c>
      <c r="AC77">
        <f>SUM($AB$3:AB77)</f>
        <v>42.279057969431932</v>
      </c>
      <c r="AD77" s="4">
        <f t="shared" si="32"/>
        <v>0.56372077292575906</v>
      </c>
    </row>
    <row r="78" spans="3:30" x14ac:dyDescent="0.25">
      <c r="F78">
        <v>4000</v>
      </c>
      <c r="G78" s="12">
        <v>4654.3234522575258</v>
      </c>
      <c r="H78" s="12">
        <f t="shared" si="33"/>
        <v>4654.3234522575258</v>
      </c>
      <c r="I78" s="12">
        <f t="shared" si="34"/>
        <v>0</v>
      </c>
      <c r="K78">
        <f t="shared" ref="K78:K141" si="36">F78</f>
        <v>4000</v>
      </c>
      <c r="L78" s="12">
        <v>5079.2883500723738</v>
      </c>
      <c r="M78" s="12">
        <f t="shared" si="35"/>
        <v>4823.5381815116152</v>
      </c>
      <c r="N78" s="12">
        <f t="shared" ref="N78:N141" si="37">(M78-L78)^2</f>
        <v>65408.148718856406</v>
      </c>
      <c r="R78" s="2">
        <f t="shared" ref="R78:R141" si="38">G78/L78-1</f>
        <v>-8.3666228125991893E-2</v>
      </c>
      <c r="V78">
        <v>76</v>
      </c>
      <c r="W78">
        <f t="shared" si="29"/>
        <v>0.51773856515015559</v>
      </c>
      <c r="X78">
        <f>SUM($W$3:W78)</f>
        <v>45.993045963079027</v>
      </c>
      <c r="Y78" s="4">
        <f t="shared" si="31"/>
        <v>0.60517165740893453</v>
      </c>
      <c r="AA78">
        <v>76</v>
      </c>
      <c r="AB78">
        <f t="shared" si="30"/>
        <v>0.51773856515015559</v>
      </c>
      <c r="AC78">
        <f>SUM($AB$3:AB78)</f>
        <v>42.796796534582086</v>
      </c>
      <c r="AD78" s="4">
        <f t="shared" si="32"/>
        <v>0.5631157438760801</v>
      </c>
    </row>
    <row r="79" spans="3:30" x14ac:dyDescent="0.25">
      <c r="F79">
        <v>6000</v>
      </c>
      <c r="G79" s="12">
        <v>4177.3431836380141</v>
      </c>
      <c r="H79" s="12">
        <f t="shared" si="33"/>
        <v>4355.0049264669506</v>
      </c>
      <c r="I79" s="12">
        <f t="shared" si="34"/>
        <v>31563.69486501515</v>
      </c>
      <c r="K79">
        <f t="shared" si="36"/>
        <v>6000</v>
      </c>
      <c r="L79" s="12">
        <v>4471.8030082794639</v>
      </c>
      <c r="M79" s="12">
        <f t="shared" si="35"/>
        <v>4285.4520883572413</v>
      </c>
      <c r="N79" s="12">
        <f t="shared" si="37"/>
        <v>34726.665355858619</v>
      </c>
      <c r="R79" s="2">
        <f t="shared" si="38"/>
        <v>-6.5848120790710785E-2</v>
      </c>
      <c r="V79">
        <v>77</v>
      </c>
      <c r="W79">
        <f t="shared" si="29"/>
        <v>0.51671084163914194</v>
      </c>
      <c r="X79">
        <f>SUM($W$3:W79)</f>
        <v>46.509756804718165</v>
      </c>
      <c r="Y79" s="4">
        <f t="shared" si="31"/>
        <v>0.60402281564569049</v>
      </c>
      <c r="AA79">
        <v>77</v>
      </c>
      <c r="AB79">
        <f t="shared" si="30"/>
        <v>0.51671084163914194</v>
      </c>
      <c r="AC79">
        <f>SUM($AB$3:AB79)</f>
        <v>43.313507376221224</v>
      </c>
      <c r="AD79" s="4">
        <f t="shared" si="32"/>
        <v>0.56251308280806789</v>
      </c>
    </row>
    <row r="80" spans="3:30" x14ac:dyDescent="0.25">
      <c r="F80">
        <v>8000</v>
      </c>
      <c r="G80" s="12">
        <v>3889.3671065807239</v>
      </c>
      <c r="H80" s="12">
        <f t="shared" si="33"/>
        <v>4154.3830919891861</v>
      </c>
      <c r="I80" s="12">
        <f t="shared" si="34"/>
        <v>70233.472522018274</v>
      </c>
      <c r="K80">
        <f t="shared" si="36"/>
        <v>8000</v>
      </c>
      <c r="L80" s="12">
        <v>4087.8996749010444</v>
      </c>
      <c r="M80" s="12">
        <f t="shared" si="35"/>
        <v>3940.4852315653634</v>
      </c>
      <c r="N80" s="12">
        <f t="shared" si="37"/>
        <v>21731.018103968698</v>
      </c>
      <c r="R80" s="2">
        <f t="shared" si="38"/>
        <v>-4.856591015167866E-2</v>
      </c>
      <c r="V80">
        <v>78</v>
      </c>
      <c r="W80">
        <f t="shared" si="29"/>
        <v>0.51569838020382586</v>
      </c>
      <c r="X80">
        <f>SUM($W$3:W80)</f>
        <v>47.025455184921988</v>
      </c>
      <c r="Y80" s="4">
        <f t="shared" si="31"/>
        <v>0.6028904510887434</v>
      </c>
      <c r="AA80">
        <v>78</v>
      </c>
      <c r="AB80">
        <f t="shared" si="30"/>
        <v>0.51569838020382586</v>
      </c>
      <c r="AC80">
        <f>SUM($AB$3:AB80)</f>
        <v>43.829205756425047</v>
      </c>
      <c r="AD80" s="4">
        <f t="shared" si="32"/>
        <v>0.56191289431314162</v>
      </c>
    </row>
    <row r="81" spans="6:30" x14ac:dyDescent="0.25">
      <c r="F81">
        <v>10000</v>
      </c>
      <c r="G81" s="12">
        <v>3690.8736429092041</v>
      </c>
      <c r="H81" s="12">
        <f t="shared" si="33"/>
        <v>4005.1555198503679</v>
      </c>
      <c r="I81" s="12">
        <f t="shared" si="34"/>
        <v>98773.098173660808</v>
      </c>
      <c r="K81">
        <f t="shared" si="36"/>
        <v>10000</v>
      </c>
      <c r="L81" s="12">
        <v>3814.2575102988153</v>
      </c>
      <c r="M81" s="12">
        <f t="shared" si="35"/>
        <v>3692.1493590958908</v>
      </c>
      <c r="N81" s="12">
        <f t="shared" si="37"/>
        <v>14910.400590196283</v>
      </c>
      <c r="R81" s="2">
        <f t="shared" si="38"/>
        <v>-3.2348069593220785E-2</v>
      </c>
      <c r="V81">
        <v>79</v>
      </c>
      <c r="W81">
        <f t="shared" si="29"/>
        <v>0.51470076283826427</v>
      </c>
      <c r="X81">
        <f>SUM($W$3:W81)</f>
        <v>47.540155947760255</v>
      </c>
      <c r="Y81" s="4">
        <f t="shared" si="31"/>
        <v>0.60177412592101587</v>
      </c>
      <c r="AA81">
        <v>79</v>
      </c>
      <c r="AB81">
        <f t="shared" si="30"/>
        <v>0.51470076283826427</v>
      </c>
      <c r="AC81">
        <f>SUM($AB$3:AB81)</f>
        <v>44.343906519263314</v>
      </c>
      <c r="AD81" s="4">
        <f t="shared" si="32"/>
        <v>0.5613152723957382</v>
      </c>
    </row>
    <row r="82" spans="6:30" x14ac:dyDescent="0.25">
      <c r="F82">
        <v>12000</v>
      </c>
      <c r="G82" s="12">
        <v>3543.134370656694</v>
      </c>
      <c r="H82" s="12">
        <f t="shared" si="33"/>
        <v>3887.2156216965154</v>
      </c>
      <c r="I82" s="12">
        <f t="shared" si="34"/>
        <v>118391.90731712859</v>
      </c>
      <c r="K82">
        <f t="shared" si="36"/>
        <v>12000</v>
      </c>
      <c r="L82" s="12">
        <v>3605.0964798652572</v>
      </c>
      <c r="M82" s="12">
        <f t="shared" si="35"/>
        <v>3500.9074312874254</v>
      </c>
      <c r="N82" s="12">
        <f t="shared" si="37"/>
        <v>10855.35784355378</v>
      </c>
      <c r="R82" s="2">
        <f t="shared" si="38"/>
        <v>-1.7187365041303693E-2</v>
      </c>
      <c r="V82">
        <v>80</v>
      </c>
      <c r="W82">
        <f t="shared" si="29"/>
        <v>0.51371758809450019</v>
      </c>
      <c r="X82">
        <f>SUM($W$3:W82)</f>
        <v>48.053873535854756</v>
      </c>
      <c r="Y82" s="4">
        <f t="shared" si="31"/>
        <v>0.6006734191981844</v>
      </c>
      <c r="AA82">
        <v>80</v>
      </c>
      <c r="AB82">
        <f t="shared" si="30"/>
        <v>0.51371758809450019</v>
      </c>
      <c r="AC82">
        <f>SUM($AB$3:AB82)</f>
        <v>44.857624107357815</v>
      </c>
      <c r="AD82" s="4">
        <f t="shared" si="32"/>
        <v>0.5607203013419727</v>
      </c>
    </row>
    <row r="83" spans="6:30" x14ac:dyDescent="0.25">
      <c r="F83">
        <v>14000</v>
      </c>
      <c r="G83" s="12">
        <v>3427.4921716163285</v>
      </c>
      <c r="H83" s="12">
        <f t="shared" si="33"/>
        <v>3790.2125133469631</v>
      </c>
      <c r="I83" s="12">
        <f t="shared" si="34"/>
        <v>131566.04630518833</v>
      </c>
      <c r="K83">
        <f t="shared" si="36"/>
        <v>14000</v>
      </c>
      <c r="L83" s="12">
        <v>3437.7279052290351</v>
      </c>
      <c r="M83" s="12">
        <f t="shared" si="35"/>
        <v>3346.9637684374902</v>
      </c>
      <c r="N83" s="12">
        <f t="shared" si="37"/>
        <v>8238.1285275142636</v>
      </c>
      <c r="R83" s="2">
        <f t="shared" si="38"/>
        <v>-2.9774705546466995E-3</v>
      </c>
      <c r="V83">
        <v>81</v>
      </c>
      <c r="W83">
        <f t="shared" si="29"/>
        <v>0.51274847022929648</v>
      </c>
      <c r="X83">
        <f>SUM($W$3:W83)</f>
        <v>48.566622006084053</v>
      </c>
      <c r="Y83" s="4">
        <f t="shared" si="31"/>
        <v>0.59958792600103772</v>
      </c>
      <c r="AA83">
        <v>81</v>
      </c>
      <c r="AB83">
        <f t="shared" si="30"/>
        <v>0.51274847022929648</v>
      </c>
      <c r="AC83">
        <f>SUM($AB$3:AB83)</f>
        <v>45.370372577587112</v>
      </c>
      <c r="AD83" s="4">
        <f t="shared" si="32"/>
        <v>0.56012805651342112</v>
      </c>
    </row>
    <row r="84" spans="6:30" x14ac:dyDescent="0.25">
      <c r="F84">
        <v>16000</v>
      </c>
      <c r="G84" s="12">
        <v>3333.6909160755968</v>
      </c>
      <c r="H84" s="12">
        <f t="shared" si="33"/>
        <v>3708.1434180588394</v>
      </c>
      <c r="I84" s="12">
        <f t="shared" si="34"/>
        <v>140214.67624151034</v>
      </c>
      <c r="K84">
        <f t="shared" si="36"/>
        <v>16000</v>
      </c>
      <c r="L84" s="12">
        <v>3299.3891568698064</v>
      </c>
      <c r="M84" s="12">
        <f t="shared" si="35"/>
        <v>3219.0942158809025</v>
      </c>
      <c r="N84" s="12">
        <f t="shared" si="37"/>
        <v>6447.2775484115464</v>
      </c>
      <c r="R84" s="2">
        <f t="shared" si="38"/>
        <v>1.0396396901035221E-2</v>
      </c>
      <c r="V84">
        <v>82</v>
      </c>
      <c r="W84">
        <f t="shared" si="29"/>
        <v>0.51179303840476242</v>
      </c>
      <c r="X84">
        <f>SUM($W$3:W84)</f>
        <v>49.078415044488814</v>
      </c>
      <c r="Y84" s="4">
        <f t="shared" si="31"/>
        <v>0.59851725664010746</v>
      </c>
      <c r="AA84">
        <v>82</v>
      </c>
      <c r="AB84">
        <f t="shared" si="30"/>
        <v>0.51179303840476242</v>
      </c>
      <c r="AC84">
        <f>SUM($AB$3:AB84)</f>
        <v>45.882165615991873</v>
      </c>
      <c r="AD84" s="4">
        <f t="shared" si="32"/>
        <v>0.55953860507307163</v>
      </c>
    </row>
    <row r="85" spans="6:30" x14ac:dyDescent="0.25">
      <c r="F85">
        <v>18000</v>
      </c>
      <c r="G85" s="12">
        <v>3255.55808274638</v>
      </c>
      <c r="H85" s="12">
        <f t="shared" si="33"/>
        <v>3637.2296331309922</v>
      </c>
      <c r="I85" s="12">
        <f t="shared" si="34"/>
        <v>145673.17237299352</v>
      </c>
      <c r="K85">
        <f t="shared" si="36"/>
        <v>18000</v>
      </c>
      <c r="L85" s="12">
        <v>3182.2486090825141</v>
      </c>
      <c r="M85" s="12">
        <f t="shared" si="35"/>
        <v>3110.3663945403669</v>
      </c>
      <c r="N85" s="12">
        <f t="shared" si="37"/>
        <v>5167.0527674832883</v>
      </c>
      <c r="R85" s="2">
        <f t="shared" si="38"/>
        <v>2.3037003914349041E-2</v>
      </c>
      <c r="V85">
        <v>83</v>
      </c>
      <c r="W85">
        <f t="shared" si="29"/>
        <v>0.510850935938857</v>
      </c>
      <c r="X85">
        <f>SUM($W$3:W85)</f>
        <v>49.589265980427669</v>
      </c>
      <c r="Y85" s="4">
        <f t="shared" si="31"/>
        <v>0.59746103590876709</v>
      </c>
      <c r="AA85">
        <v>83</v>
      </c>
      <c r="AB85">
        <f t="shared" si="30"/>
        <v>0.510850935938857</v>
      </c>
      <c r="AC85">
        <f>SUM($AB$3:AB85)</f>
        <v>46.393016551930728</v>
      </c>
      <c r="AD85" s="4">
        <f t="shared" si="32"/>
        <v>0.55895200664976785</v>
      </c>
    </row>
    <row r="86" spans="6:30" x14ac:dyDescent="0.25">
      <c r="F86">
        <v>20000</v>
      </c>
      <c r="G86" s="12">
        <v>3189.124093476898</v>
      </c>
      <c r="H86" s="12">
        <f t="shared" si="33"/>
        <v>3574.9450039582016</v>
      </c>
      <c r="I86" s="12">
        <f t="shared" si="34"/>
        <v>148857.77496462208</v>
      </c>
      <c r="K86">
        <f t="shared" si="36"/>
        <v>20000</v>
      </c>
      <c r="L86" s="12">
        <v>3081.1842532437563</v>
      </c>
      <c r="M86" s="12">
        <f t="shared" si="35"/>
        <v>3016.2215939361563</v>
      </c>
      <c r="N86" s="12">
        <f t="shared" si="37"/>
        <v>4220.1471043153097</v>
      </c>
      <c r="R86" s="2">
        <f t="shared" si="38"/>
        <v>3.5031932971715918E-2</v>
      </c>
      <c r="V86">
        <v>84</v>
      </c>
      <c r="W86">
        <f t="shared" si="29"/>
        <v>0.50992181960209748</v>
      </c>
      <c r="X86">
        <f>SUM($W$3:W86)</f>
        <v>50.099187800029767</v>
      </c>
      <c r="Y86" s="4">
        <f t="shared" si="31"/>
        <v>0.59641890238130679</v>
      </c>
      <c r="AA86">
        <v>84</v>
      </c>
      <c r="AB86">
        <f t="shared" si="30"/>
        <v>0.50992181960209748</v>
      </c>
      <c r="AC86">
        <f>SUM($AB$3:AB86)</f>
        <v>46.902938371532827</v>
      </c>
      <c r="AD86" s="4">
        <f t="shared" si="32"/>
        <v>0.55836831394681941</v>
      </c>
    </row>
    <row r="87" spans="6:30" x14ac:dyDescent="0.25">
      <c r="F87">
        <v>22000</v>
      </c>
      <c r="G87" s="12">
        <v>3131.7031190562161</v>
      </c>
      <c r="H87" s="12">
        <f t="shared" si="33"/>
        <v>3519.5210219423275</v>
      </c>
      <c r="I87" s="12">
        <f t="shared" si="34"/>
        <v>150402.72579898132</v>
      </c>
      <c r="K87">
        <f t="shared" si="36"/>
        <v>22000</v>
      </c>
      <c r="L87" s="12">
        <v>2992.6786526203696</v>
      </c>
      <c r="M87" s="12">
        <f t="shared" si="35"/>
        <v>2933.5144589949996</v>
      </c>
      <c r="N87" s="12">
        <f t="shared" si="37"/>
        <v>3500.4018073402708</v>
      </c>
      <c r="R87" s="2">
        <f t="shared" si="38"/>
        <v>4.6454859533320736E-2</v>
      </c>
      <c r="V87">
        <v>85</v>
      </c>
      <c r="W87">
        <f t="shared" si="29"/>
        <v>0.50900535895711241</v>
      </c>
      <c r="X87">
        <f>SUM($W$3:W87)</f>
        <v>50.608193158986879</v>
      </c>
      <c r="Y87" s="4">
        <f t="shared" si="31"/>
        <v>0.59539050775278679</v>
      </c>
      <c r="AA87">
        <v>85</v>
      </c>
      <c r="AB87">
        <f t="shared" si="30"/>
        <v>0.50900535895711241</v>
      </c>
      <c r="AC87">
        <f>SUM($AB$3:AB87)</f>
        <v>47.411943730489938</v>
      </c>
      <c r="AD87" s="4">
        <f t="shared" si="32"/>
        <v>0.5577875732998816</v>
      </c>
    </row>
    <row r="88" spans="6:30" x14ac:dyDescent="0.25">
      <c r="F88">
        <v>24000</v>
      </c>
      <c r="G88" s="12">
        <v>3081.4034121223203</v>
      </c>
      <c r="H88" s="12">
        <f t="shared" si="33"/>
        <v>3469.6735238414431</v>
      </c>
      <c r="I88" s="12">
        <f t="shared" si="34"/>
        <v>150753.67965438004</v>
      </c>
      <c r="K88">
        <f t="shared" si="36"/>
        <v>24000</v>
      </c>
      <c r="L88" s="12">
        <v>2914.2211317611382</v>
      </c>
      <c r="M88" s="12">
        <f t="shared" si="35"/>
        <v>2859.9906357001869</v>
      </c>
      <c r="N88" s="12">
        <f t="shared" si="37"/>
        <v>2940.9467030168526</v>
      </c>
      <c r="R88" s="2">
        <f t="shared" si="38"/>
        <v>5.7367740058953398E-2</v>
      </c>
      <c r="V88">
        <v>86</v>
      </c>
      <c r="W88">
        <f t="shared" si="29"/>
        <v>0.50810123573795829</v>
      </c>
      <c r="X88">
        <f>SUM($W$3:W88)</f>
        <v>51.116294394724839</v>
      </c>
      <c r="Y88" s="4">
        <f t="shared" si="31"/>
        <v>0.59437551621773066</v>
      </c>
      <c r="AA88">
        <v>86</v>
      </c>
      <c r="AB88">
        <f t="shared" si="30"/>
        <v>0.50810123573795829</v>
      </c>
      <c r="AC88">
        <f>SUM($AB$3:AB88)</f>
        <v>47.920044966227898</v>
      </c>
      <c r="AD88" s="4">
        <f t="shared" si="32"/>
        <v>0.55720982518869644</v>
      </c>
    </row>
    <row r="89" spans="6:30" x14ac:dyDescent="0.25">
      <c r="F89">
        <v>26000</v>
      </c>
      <c r="G89" s="12">
        <v>3036.8483538065948</v>
      </c>
      <c r="H89" s="12">
        <f t="shared" si="33"/>
        <v>3424.4419549298618</v>
      </c>
      <c r="I89" s="12">
        <f t="shared" si="34"/>
        <v>150228.79963170222</v>
      </c>
      <c r="K89">
        <f t="shared" si="36"/>
        <v>26000</v>
      </c>
      <c r="L89" s="12">
        <v>2843.96251977767</v>
      </c>
      <c r="M89" s="12">
        <f t="shared" si="35"/>
        <v>2793.9836600866247</v>
      </c>
      <c r="N89" s="12">
        <f t="shared" si="37"/>
        <v>2497.8864160171897</v>
      </c>
      <c r="R89" s="2">
        <f t="shared" si="38"/>
        <v>6.7822917034787045E-2</v>
      </c>
      <c r="V89">
        <v>87</v>
      </c>
      <c r="W89">
        <f t="shared" si="29"/>
        <v>0.50720914326637423</v>
      </c>
      <c r="X89">
        <f>SUM($W$3:W89)</f>
        <v>51.623503537991212</v>
      </c>
      <c r="Y89" s="4">
        <f t="shared" si="31"/>
        <v>0.59337360388495641</v>
      </c>
      <c r="AA89">
        <v>87</v>
      </c>
      <c r="AB89">
        <f t="shared" si="30"/>
        <v>0.50720914326637423</v>
      </c>
      <c r="AC89">
        <f>SUM($AB$3:AB89)</f>
        <v>48.427254109494271</v>
      </c>
      <c r="AD89" s="4">
        <f t="shared" si="32"/>
        <v>0.55663510470683075</v>
      </c>
    </row>
    <row r="90" spans="6:30" x14ac:dyDescent="0.25">
      <c r="F90">
        <v>28000</v>
      </c>
      <c r="G90" s="12">
        <v>2997.008744128771</v>
      </c>
      <c r="H90" s="12">
        <f t="shared" si="33"/>
        <v>3383.0899253160092</v>
      </c>
      <c r="I90" s="12">
        <f t="shared" si="34"/>
        <v>149058.67846693302</v>
      </c>
      <c r="K90">
        <f t="shared" si="36"/>
        <v>28000</v>
      </c>
      <c r="L90" s="12">
        <v>2780.5050009682454</v>
      </c>
      <c r="M90" s="12">
        <f t="shared" si="35"/>
        <v>2734.2296886264467</v>
      </c>
      <c r="N90" s="12">
        <f t="shared" si="37"/>
        <v>2141.4045323310347</v>
      </c>
      <c r="R90" s="2">
        <f t="shared" si="38"/>
        <v>7.7864899752071448E-2</v>
      </c>
      <c r="V90">
        <v>88</v>
      </c>
      <c r="W90">
        <f t="shared" si="29"/>
        <v>0.50632878590238062</v>
      </c>
      <c r="X90">
        <f>SUM($W$3:W90)</f>
        <v>52.129832323893595</v>
      </c>
      <c r="Y90" s="4">
        <f t="shared" si="31"/>
        <v>0.59238445822606356</v>
      </c>
      <c r="AA90">
        <v>88</v>
      </c>
      <c r="AB90">
        <f t="shared" si="30"/>
        <v>0.50632878590238062</v>
      </c>
      <c r="AC90">
        <f>SUM($AB$3:AB90)</f>
        <v>48.933582895396654</v>
      </c>
      <c r="AD90" s="4">
        <f t="shared" si="32"/>
        <v>0.55606344199314384</v>
      </c>
    </row>
    <row r="91" spans="6:30" x14ac:dyDescent="0.25">
      <c r="F91">
        <v>30000</v>
      </c>
      <c r="G91" s="12">
        <v>2961.0974088581911</v>
      </c>
      <c r="H91" s="12">
        <f t="shared" si="33"/>
        <v>3345.0410706919956</v>
      </c>
      <c r="I91" s="12">
        <f t="shared" si="34"/>
        <v>147412.73546235086</v>
      </c>
      <c r="K91">
        <f t="shared" si="36"/>
        <v>30000</v>
      </c>
      <c r="L91" s="12">
        <v>2722.7685588864465</v>
      </c>
      <c r="M91" s="12">
        <f t="shared" si="35"/>
        <v>2679.7493131133788</v>
      </c>
      <c r="N91" s="12">
        <f t="shared" si="37"/>
        <v>1850.6555068836051</v>
      </c>
      <c r="R91" s="2">
        <f t="shared" si="38"/>
        <v>8.7531806254298683E-2</v>
      </c>
      <c r="V91">
        <v>89</v>
      </c>
      <c r="W91">
        <f t="shared" si="29"/>
        <v>0.50545987852683372</v>
      </c>
      <c r="X91">
        <f>SUM($W$3:W91)</f>
        <v>52.63529220242043</v>
      </c>
      <c r="Y91" s="4">
        <f t="shared" si="31"/>
        <v>0.59140777755528573</v>
      </c>
      <c r="AA91">
        <v>89</v>
      </c>
      <c r="AB91">
        <f t="shared" si="30"/>
        <v>0.50545987852683372</v>
      </c>
      <c r="AC91">
        <f>SUM($AB$3:AB91)</f>
        <v>49.439042773923489</v>
      </c>
      <c r="AD91" s="4">
        <f t="shared" si="32"/>
        <v>0.55549486262835379</v>
      </c>
    </row>
    <row r="92" spans="6:30" x14ac:dyDescent="0.25">
      <c r="F92">
        <v>32000</v>
      </c>
      <c r="G92" s="12">
        <v>2928.500466386985</v>
      </c>
      <c r="H92" s="12">
        <f t="shared" si="33"/>
        <v>3309.8362150104958</v>
      </c>
      <c r="I92" s="12">
        <f t="shared" si="34"/>
        <v>145416.95317825349</v>
      </c>
      <c r="K92">
        <f t="shared" si="36"/>
        <v>32000</v>
      </c>
      <c r="L92" s="12">
        <v>2669.9029729535187</v>
      </c>
      <c r="M92" s="12">
        <f t="shared" si="35"/>
        <v>2629.7694222295904</v>
      </c>
      <c r="N92" s="12">
        <f t="shared" si="37"/>
        <v>1610.7018937101209</v>
      </c>
      <c r="R92" s="2">
        <f t="shared" si="38"/>
        <v>9.6856513533672972E-2</v>
      </c>
      <c r="V92">
        <v>90</v>
      </c>
      <c r="W92">
        <f t="shared" si="29"/>
        <v>0.50460214605374476</v>
      </c>
      <c r="X92">
        <f>SUM($W$3:W92)</f>
        <v>53.139894348474172</v>
      </c>
      <c r="Y92" s="4">
        <f t="shared" si="31"/>
        <v>0.59044327053860191</v>
      </c>
      <c r="AA92">
        <v>90</v>
      </c>
      <c r="AB92">
        <f t="shared" si="30"/>
        <v>0.50460214605374476</v>
      </c>
      <c r="AC92">
        <f>SUM($AB$3:AB92)</f>
        <v>49.943644919977231</v>
      </c>
      <c r="AD92" s="4">
        <f t="shared" si="32"/>
        <v>0.554929387999747</v>
      </c>
    </row>
    <row r="93" spans="6:30" x14ac:dyDescent="0.25">
      <c r="F93">
        <v>34000</v>
      </c>
      <c r="G93" s="12">
        <v>2898.7310676392617</v>
      </c>
      <c r="H93" s="12">
        <f t="shared" si="33"/>
        <v>3277.1038985730984</v>
      </c>
      <c r="I93" s="12">
        <f t="shared" si="34"/>
        <v>143165.99918888573</v>
      </c>
      <c r="K93">
        <f t="shared" si="36"/>
        <v>34000</v>
      </c>
      <c r="L93" s="12">
        <v>2621.2280206215819</v>
      </c>
      <c r="M93" s="12">
        <f t="shared" si="35"/>
        <v>2583.6699435153505</v>
      </c>
      <c r="N93" s="12">
        <f t="shared" si="37"/>
        <v>1410.6091559176227</v>
      </c>
      <c r="R93" s="2">
        <f t="shared" si="38"/>
        <v>0.10586757231134536</v>
      </c>
      <c r="V93">
        <v>91</v>
      </c>
      <c r="W93">
        <f t="shared" si="29"/>
        <v>0.50375532297033865</v>
      </c>
      <c r="X93">
        <f>SUM($W$3:W93)</f>
        <v>53.643649671444514</v>
      </c>
      <c r="Y93" s="4">
        <f t="shared" si="31"/>
        <v>0.58949065573015946</v>
      </c>
      <c r="AA93">
        <v>91</v>
      </c>
      <c r="AB93">
        <f t="shared" si="30"/>
        <v>0.50375532297033865</v>
      </c>
      <c r="AC93">
        <f>SUM($AB$3:AB93)</f>
        <v>50.447400242947573</v>
      </c>
      <c r="AD93" s="4">
        <f t="shared" si="32"/>
        <v>0.55436703563678646</v>
      </c>
    </row>
    <row r="94" spans="6:30" x14ac:dyDescent="0.25">
      <c r="F94">
        <v>36000</v>
      </c>
      <c r="G94" s="12">
        <v>2871.3974048076302</v>
      </c>
      <c r="H94" s="12">
        <f t="shared" si="33"/>
        <v>3246.5395764946852</v>
      </c>
      <c r="I94" s="12">
        <f t="shared" si="34"/>
        <v>140731.64897807984</v>
      </c>
      <c r="K94">
        <f t="shared" si="36"/>
        <v>36000</v>
      </c>
      <c r="L94" s="12">
        <v>2576.1917551596675</v>
      </c>
      <c r="M94" s="12">
        <f t="shared" si="35"/>
        <v>2540.9465793017907</v>
      </c>
      <c r="N94" s="12">
        <f t="shared" si="37"/>
        <v>1242.2224212526619</v>
      </c>
      <c r="R94" s="2">
        <f t="shared" si="38"/>
        <v>0.11458993650481042</v>
      </c>
      <c r="V94">
        <v>92</v>
      </c>
      <c r="W94">
        <f t="shared" si="29"/>
        <v>0.50291915290299161</v>
      </c>
      <c r="X94">
        <f>SUM($W$3:W94)</f>
        <v>54.146568824347504</v>
      </c>
      <c r="Y94" s="4">
        <f t="shared" si="31"/>
        <v>0.58854966113421203</v>
      </c>
      <c r="AA94">
        <v>92</v>
      </c>
      <c r="AB94">
        <f t="shared" si="30"/>
        <v>0.50291915290299161</v>
      </c>
      <c r="AC94">
        <f>SUM($AB$3:AB94)</f>
        <v>50.950319395850563</v>
      </c>
      <c r="AD94" s="4">
        <f t="shared" si="32"/>
        <v>0.55380781952011482</v>
      </c>
    </row>
    <row r="95" spans="6:30" x14ac:dyDescent="0.25">
      <c r="F95">
        <v>38000</v>
      </c>
      <c r="G95" s="12">
        <v>2846.1800589946283</v>
      </c>
      <c r="H95" s="12">
        <f t="shared" si="33"/>
        <v>3217.8906063728091</v>
      </c>
      <c r="I95" s="12">
        <f t="shared" si="34"/>
        <v>138168.73103218677</v>
      </c>
      <c r="K95">
        <f t="shared" si="36"/>
        <v>38000</v>
      </c>
      <c r="L95" s="12">
        <v>2534.3407166588195</v>
      </c>
      <c r="M95" s="12">
        <f t="shared" si="35"/>
        <v>2501.1841315526549</v>
      </c>
      <c r="N95" s="12">
        <f t="shared" si="37"/>
        <v>1099.3591359023351</v>
      </c>
      <c r="R95" s="2">
        <f t="shared" si="38"/>
        <v>0.12304554801413059</v>
      </c>
      <c r="V95">
        <v>93</v>
      </c>
      <c r="W95">
        <f t="shared" si="29"/>
        <v>0.50209338820732452</v>
      </c>
      <c r="X95">
        <f>SUM($W$3:W95)</f>
        <v>54.648662212554832</v>
      </c>
      <c r="Y95" s="4">
        <f t="shared" si="31"/>
        <v>0.58762002379091216</v>
      </c>
      <c r="AA95">
        <v>93</v>
      </c>
      <c r="AB95">
        <f t="shared" si="30"/>
        <v>0.50209338820732452</v>
      </c>
      <c r="AC95">
        <f>SUM($AB$3:AB95)</f>
        <v>51.452412784057891</v>
      </c>
      <c r="AD95" s="4">
        <f t="shared" si="32"/>
        <v>0.55325175036621388</v>
      </c>
    </row>
    <row r="96" spans="6:30" x14ac:dyDescent="0.25">
      <c r="F96">
        <v>40000</v>
      </c>
      <c r="G96" s="12">
        <v>2822.8156242564169</v>
      </c>
      <c r="H96" s="12">
        <f t="shared" si="33"/>
        <v>3190.9452000014148</v>
      </c>
      <c r="I96" s="12">
        <f t="shared" si="34"/>
        <v>135519.38453819219</v>
      </c>
      <c r="K96">
        <f t="shared" si="36"/>
        <v>40000</v>
      </c>
      <c r="L96" s="12">
        <v>2495.2982282170883</v>
      </c>
      <c r="M96" s="12">
        <f t="shared" si="35"/>
        <v>2464.0370198768242</v>
      </c>
      <c r="N96" s="12">
        <f t="shared" si="37"/>
        <v>977.26314689340074</v>
      </c>
      <c r="R96" s="2">
        <f t="shared" si="38"/>
        <v>0.13125380859719615</v>
      </c>
      <c r="V96">
        <v>94</v>
      </c>
      <c r="W96">
        <f t="shared" si="29"/>
        <v>0.50127778958086733</v>
      </c>
      <c r="X96">
        <f>SUM($W$3:W96)</f>
        <v>55.1499400021357</v>
      </c>
      <c r="Y96" s="4">
        <f t="shared" si="31"/>
        <v>0.58670148938442235</v>
      </c>
      <c r="AA96">
        <v>94</v>
      </c>
      <c r="AB96">
        <f t="shared" si="30"/>
        <v>0.50127778958086733</v>
      </c>
      <c r="AC96">
        <f>SUM($AB$3:AB96)</f>
        <v>51.95369057363876</v>
      </c>
      <c r="AD96" s="4">
        <f t="shared" si="32"/>
        <v>0.55269883588977409</v>
      </c>
    </row>
    <row r="97" spans="6:30" x14ac:dyDescent="0.25">
      <c r="F97">
        <v>42000</v>
      </c>
      <c r="G97" s="12">
        <v>2801.0846494438192</v>
      </c>
      <c r="H97" s="12">
        <f t="shared" si="33"/>
        <v>3165.5241503006578</v>
      </c>
      <c r="I97" s="12">
        <f t="shared" si="34"/>
        <v>132816.14978478162</v>
      </c>
      <c r="K97">
        <f t="shared" si="36"/>
        <v>42000</v>
      </c>
      <c r="L97" s="12">
        <v>2458.7482967718415</v>
      </c>
      <c r="M97" s="12">
        <f t="shared" si="35"/>
        <v>2429.2147979847723</v>
      </c>
      <c r="N97" s="12">
        <f t="shared" si="37"/>
        <v>872.22755060581915</v>
      </c>
      <c r="R97" s="2">
        <f t="shared" si="38"/>
        <v>0.13923196332110965</v>
      </c>
      <c r="V97">
        <v>95</v>
      </c>
      <c r="W97">
        <f t="shared" si="29"/>
        <v>0.50047212569682276</v>
      </c>
      <c r="X97">
        <f>SUM($W$3:W97)</f>
        <v>55.650412127832524</v>
      </c>
      <c r="Y97" s="4">
        <f t="shared" si="31"/>
        <v>0.58579381187192126</v>
      </c>
      <c r="AA97">
        <v>95</v>
      </c>
      <c r="AB97">
        <f t="shared" si="30"/>
        <v>0.50047212569682276</v>
      </c>
      <c r="AC97">
        <f>SUM($AB$3:AB97)</f>
        <v>52.454162699335583</v>
      </c>
      <c r="AD97" s="4">
        <f t="shared" si="32"/>
        <v>0.55214908104563776</v>
      </c>
    </row>
    <row r="98" spans="6:30" x14ac:dyDescent="0.25">
      <c r="F98">
        <v>44000</v>
      </c>
      <c r="G98" s="12">
        <v>2780.8026126321765</v>
      </c>
      <c r="H98" s="12">
        <f t="shared" si="33"/>
        <v>3141.474539842251</v>
      </c>
      <c r="I98" s="12">
        <f t="shared" si="34"/>
        <v>130084.23907742927</v>
      </c>
      <c r="K98">
        <f t="shared" si="36"/>
        <v>44000</v>
      </c>
      <c r="L98" s="12">
        <v>2424.4234787264245</v>
      </c>
      <c r="M98" s="12">
        <f t="shared" si="35"/>
        <v>2396.4712141307659</v>
      </c>
      <c r="N98" s="12">
        <f t="shared" si="37"/>
        <v>781.32909602570714</v>
      </c>
      <c r="R98" s="2">
        <f t="shared" si="38"/>
        <v>0.14699541438732555</v>
      </c>
      <c r="V98">
        <v>96</v>
      </c>
      <c r="W98">
        <f t="shared" si="29"/>
        <v>0.49967617285757482</v>
      </c>
      <c r="X98">
        <f>SUM($W$3:W98)</f>
        <v>56.150088300690101</v>
      </c>
      <c r="Y98" s="4">
        <f t="shared" si="31"/>
        <v>0.58489675313218858</v>
      </c>
      <c r="AA98">
        <v>96</v>
      </c>
      <c r="AB98">
        <f t="shared" si="30"/>
        <v>0.49967617285757482</v>
      </c>
      <c r="AC98">
        <f>SUM($AB$3:AB98)</f>
        <v>52.95383887219316</v>
      </c>
      <c r="AD98" s="4">
        <f t="shared" si="32"/>
        <v>0.55160248825201208</v>
      </c>
    </row>
    <row r="99" spans="6:30" x14ac:dyDescent="0.25">
      <c r="F99">
        <v>46000</v>
      </c>
      <c r="G99" s="12">
        <v>2761.8130653056919</v>
      </c>
      <c r="H99" s="12">
        <f t="shared" si="33"/>
        <v>3118.6648894577174</v>
      </c>
      <c r="I99" s="12">
        <f t="shared" si="34"/>
        <v>127343.22440062815</v>
      </c>
      <c r="K99">
        <f t="shared" si="36"/>
        <v>46000</v>
      </c>
      <c r="L99" s="12">
        <v>2392.095601673791</v>
      </c>
      <c r="M99" s="12">
        <f t="shared" si="35"/>
        <v>2365.5958299424992</v>
      </c>
      <c r="N99" s="12">
        <f t="shared" si="37"/>
        <v>702.23790181056836</v>
      </c>
      <c r="R99" s="2">
        <f t="shared" si="38"/>
        <v>0.15455797977856878</v>
      </c>
      <c r="V99">
        <v>97</v>
      </c>
      <c r="W99">
        <f t="shared" si="29"/>
        <v>0.49888971466668042</v>
      </c>
      <c r="X99">
        <f>SUM($W$3:W99)</f>
        <v>56.648978015356782</v>
      </c>
      <c r="Y99" s="4">
        <f t="shared" si="31"/>
        <v>0.58401008263254417</v>
      </c>
      <c r="AA99">
        <v>97</v>
      </c>
      <c r="AB99">
        <f t="shared" si="30"/>
        <v>0.49888971466668042</v>
      </c>
      <c r="AC99">
        <f>SUM($AB$3:AB99)</f>
        <v>53.452728586859841</v>
      </c>
      <c r="AD99" s="4">
        <f t="shared" si="32"/>
        <v>0.55105905759649321</v>
      </c>
    </row>
    <row r="100" spans="6:30" x14ac:dyDescent="0.25">
      <c r="F100">
        <v>48000</v>
      </c>
      <c r="G100" s="12">
        <v>2743.982355042514</v>
      </c>
      <c r="H100" s="12">
        <f t="shared" si="33"/>
        <v>3096.9813701232811</v>
      </c>
      <c r="I100" s="12">
        <f t="shared" si="34"/>
        <v>124608.30464799164</v>
      </c>
      <c r="K100">
        <f t="shared" si="36"/>
        <v>48000</v>
      </c>
      <c r="L100" s="12">
        <v>2361.5685774062358</v>
      </c>
      <c r="M100" s="12">
        <f t="shared" si="35"/>
        <v>2336.4075162892286</v>
      </c>
      <c r="N100" s="12">
        <f t="shared" si="37"/>
        <v>633.07899653377126</v>
      </c>
      <c r="R100" s="2">
        <f t="shared" si="38"/>
        <v>0.16193210787733792</v>
      </c>
      <c r="V100">
        <v>98</v>
      </c>
      <c r="W100">
        <f t="shared" si="29"/>
        <v>0.49811254171818264</v>
      </c>
      <c r="X100">
        <f>SUM($W$3:W100)</f>
        <v>57.147090557074968</v>
      </c>
      <c r="Y100" s="4">
        <f t="shared" si="31"/>
        <v>0.58313357711300984</v>
      </c>
      <c r="AA100">
        <v>98</v>
      </c>
      <c r="AB100">
        <f t="shared" si="30"/>
        <v>0.49811254171818264</v>
      </c>
      <c r="AC100">
        <f>SUM($AB$3:AB100)</f>
        <v>53.950841128578027</v>
      </c>
      <c r="AD100" s="4">
        <f t="shared" si="32"/>
        <v>0.55051878702630641</v>
      </c>
    </row>
    <row r="101" spans="6:30" x14ac:dyDescent="0.25">
      <c r="F101">
        <v>50000</v>
      </c>
      <c r="G101" s="12">
        <v>2727.1955140009018</v>
      </c>
      <c r="H101" s="12">
        <f t="shared" si="33"/>
        <v>3076.3248112504525</v>
      </c>
      <c r="I101" s="12">
        <f t="shared" si="34"/>
        <v>121891.26619796516</v>
      </c>
      <c r="K101">
        <f t="shared" si="36"/>
        <v>50000</v>
      </c>
      <c r="L101" s="12">
        <v>2332.6727689751519</v>
      </c>
      <c r="M101" s="12">
        <f t="shared" si="35"/>
        <v>2308.7493466160599</v>
      </c>
      <c r="N101" s="12">
        <f t="shared" si="37"/>
        <v>572.33013737150304</v>
      </c>
      <c r="R101" s="2">
        <f t="shared" si="38"/>
        <v>0.16912905670823331</v>
      </c>
      <c r="V101">
        <v>99</v>
      </c>
      <c r="W101">
        <f t="shared" si="29"/>
        <v>0.49734445130216015</v>
      </c>
      <c r="X101">
        <f>SUM($W$3:W101)</f>
        <v>57.64443500837713</v>
      </c>
      <c r="Y101" s="4">
        <f t="shared" si="31"/>
        <v>0.58226702028663768</v>
      </c>
      <c r="AA101">
        <v>99</v>
      </c>
      <c r="AB101">
        <f t="shared" si="30"/>
        <v>0.49734445130216015</v>
      </c>
      <c r="AC101">
        <f>SUM($AB$3:AB101)</f>
        <v>54.448185579880189</v>
      </c>
      <c r="AD101" s="4">
        <f t="shared" si="32"/>
        <v>0.54998167252404229</v>
      </c>
    </row>
    <row r="102" spans="6:30" x14ac:dyDescent="0.25">
      <c r="F102">
        <v>52000</v>
      </c>
      <c r="G102" s="12">
        <v>2711.3530202828824</v>
      </c>
      <c r="H102" s="12">
        <f t="shared" si="33"/>
        <v>3056.6083133218094</v>
      </c>
      <c r="I102" s="12">
        <f t="shared" si="34"/>
        <v>119201.21737139535</v>
      </c>
      <c r="K102">
        <f t="shared" si="36"/>
        <v>52000</v>
      </c>
      <c r="L102" s="12">
        <v>2305.2605281760539</v>
      </c>
      <c r="M102" s="12">
        <f t="shared" si="35"/>
        <v>2282.4845446452009</v>
      </c>
      <c r="N102" s="12">
        <f t="shared" si="37"/>
        <v>518.74542579768502</v>
      </c>
      <c r="R102" s="2">
        <f t="shared" si="38"/>
        <v>0.1761590445606307</v>
      </c>
      <c r="V102">
        <v>100</v>
      </c>
      <c r="W102">
        <f t="shared" si="29"/>
        <v>0.4965852471255145</v>
      </c>
      <c r="X102">
        <f>SUM($W$3:W102)</f>
        <v>58.141020255502646</v>
      </c>
      <c r="Y102" s="4">
        <f t="shared" si="31"/>
        <v>0.58141020255502651</v>
      </c>
      <c r="AA102">
        <v>100</v>
      </c>
      <c r="AB102">
        <f t="shared" si="30"/>
        <v>0.4965852471255145</v>
      </c>
      <c r="AC102">
        <f>SUM($AB$3:AB102)</f>
        <v>54.944770827005705</v>
      </c>
      <c r="AD102" s="4">
        <f t="shared" si="32"/>
        <v>0.54944770827005707</v>
      </c>
    </row>
    <row r="103" spans="6:30" x14ac:dyDescent="0.25">
      <c r="F103">
        <v>54000</v>
      </c>
      <c r="G103" s="12">
        <v>2696.3682210775637</v>
      </c>
      <c r="H103" s="12">
        <f t="shared" si="33"/>
        <v>3037.7553246211264</v>
      </c>
      <c r="I103" s="12">
        <f t="shared" si="34"/>
        <v>116545.1544658632</v>
      </c>
      <c r="K103">
        <f t="shared" si="36"/>
        <v>54000</v>
      </c>
      <c r="L103" s="12">
        <v>2279.2026253983881</v>
      </c>
      <c r="M103" s="12">
        <f t="shared" si="35"/>
        <v>2257.493237310829</v>
      </c>
      <c r="N103" s="12">
        <f t="shared" si="37"/>
        <v>471.29753113625259</v>
      </c>
      <c r="R103" s="2">
        <f t="shared" si="38"/>
        <v>0.18303137730295393</v>
      </c>
      <c r="V103">
        <v>101</v>
      </c>
      <c r="W103">
        <f t="shared" si="29"/>
        <v>0.49583473904705866</v>
      </c>
      <c r="X103">
        <f>SUM($W$3:W103)</f>
        <v>58.636854994549708</v>
      </c>
      <c r="Y103" s="4">
        <f t="shared" ref="Y103:Y117" si="39">X103/V103</f>
        <v>0.58056292073811588</v>
      </c>
      <c r="AA103">
        <v>101</v>
      </c>
      <c r="AB103">
        <f t="shared" si="30"/>
        <v>0.49583473904705866</v>
      </c>
      <c r="AC103">
        <f>SUM($AB$3:AB103)</f>
        <v>55.440605566052767</v>
      </c>
      <c r="AD103" s="4">
        <f t="shared" si="32"/>
        <v>0.54891688679260164</v>
      </c>
    </row>
    <row r="104" spans="6:30" x14ac:dyDescent="0.25">
      <c r="F104">
        <v>56000</v>
      </c>
      <c r="G104" s="12">
        <v>2682.1652633232911</v>
      </c>
      <c r="H104" s="12">
        <f t="shared" si="33"/>
        <v>3019.6980782662936</v>
      </c>
      <c r="I104" s="12">
        <f t="shared" si="34"/>
        <v>113928.40116334714</v>
      </c>
      <c r="K104">
        <f t="shared" si="36"/>
        <v>56000</v>
      </c>
      <c r="L104" s="12">
        <v>2254.385367522088</v>
      </c>
      <c r="M104" s="12">
        <f t="shared" si="35"/>
        <v>2233.6698295531314</v>
      </c>
      <c r="N104" s="12">
        <f t="shared" si="37"/>
        <v>429.1335133432824</v>
      </c>
      <c r="R104" s="2">
        <f t="shared" si="38"/>
        <v>0.18975455659180329</v>
      </c>
      <c r="V104">
        <v>102</v>
      </c>
      <c r="W104">
        <f t="shared" si="29"/>
        <v>0.49509274282604393</v>
      </c>
      <c r="X104">
        <f>SUM($W$3:W104)</f>
        <v>59.131947737375754</v>
      </c>
      <c r="Y104" s="4">
        <f t="shared" si="39"/>
        <v>0.57972497781740939</v>
      </c>
      <c r="AA104">
        <v>102</v>
      </c>
      <c r="AB104">
        <f t="shared" si="30"/>
        <v>0.49509274282604393</v>
      </c>
      <c r="AC104">
        <f>SUM($AB$3:AB104)</f>
        <v>55.935698308878813</v>
      </c>
      <c r="AD104" s="4">
        <f t="shared" si="32"/>
        <v>0.54838919910665507</v>
      </c>
    </row>
    <row r="105" spans="6:30" x14ac:dyDescent="0.25">
      <c r="F105">
        <v>58000</v>
      </c>
      <c r="G105" s="12">
        <v>2668.6774177129255</v>
      </c>
      <c r="H105" s="12">
        <f t="shared" si="33"/>
        <v>3002.3763117892154</v>
      </c>
      <c r="I105" s="12">
        <f t="shared" si="34"/>
        <v>111354.95190773894</v>
      </c>
      <c r="K105">
        <f t="shared" si="36"/>
        <v>58000</v>
      </c>
      <c r="L105" s="12">
        <v>2230.7082518334259</v>
      </c>
      <c r="M105" s="12">
        <f t="shared" si="35"/>
        <v>2210.9208643066686</v>
      </c>
      <c r="N105" s="12">
        <f t="shared" si="37"/>
        <v>391.5407051340726</v>
      </c>
      <c r="R105" s="2">
        <f t="shared" si="38"/>
        <v>0.19633637232458856</v>
      </c>
      <c r="V105">
        <v>103</v>
      </c>
      <c r="W105">
        <f t="shared" si="29"/>
        <v>0.49435907988331762</v>
      </c>
      <c r="X105">
        <f>SUM($W$3:W105)</f>
        <v>59.626306817259071</v>
      </c>
      <c r="Y105" s="4">
        <f t="shared" si="39"/>
        <v>0.57889618269183563</v>
      </c>
      <c r="AA105">
        <v>103</v>
      </c>
      <c r="AB105">
        <f t="shared" si="30"/>
        <v>0.49435907988331762</v>
      </c>
      <c r="AC105">
        <f>SUM($AB$3:AB105)</f>
        <v>56.43005738876213</v>
      </c>
      <c r="AD105" s="4">
        <f t="shared" si="32"/>
        <v>0.54786463484235082</v>
      </c>
    </row>
    <row r="106" spans="6:30" x14ac:dyDescent="0.25">
      <c r="F106">
        <v>60000</v>
      </c>
      <c r="G106" s="12">
        <v>2655.8457105352627</v>
      </c>
      <c r="H106" s="12">
        <f t="shared" si="33"/>
        <v>2985.7362103512287</v>
      </c>
      <c r="I106" s="12">
        <f t="shared" si="34"/>
        <v>108827.74186882786</v>
      </c>
      <c r="K106">
        <f t="shared" si="36"/>
        <v>60000</v>
      </c>
      <c r="L106" s="12">
        <v>2208.0820415259836</v>
      </c>
      <c r="M106" s="12">
        <f t="shared" si="35"/>
        <v>2189.1632646538969</v>
      </c>
      <c r="N106" s="12">
        <f t="shared" si="37"/>
        <v>357.92011833580301</v>
      </c>
      <c r="R106" s="2">
        <f t="shared" si="38"/>
        <v>0.20278398202081016</v>
      </c>
      <c r="V106">
        <v>104</v>
      </c>
      <c r="W106">
        <f t="shared" si="29"/>
        <v>0.4936335770743609</v>
      </c>
      <c r="X106">
        <f>SUM($W$3:W106)</f>
        <v>60.119940394333433</v>
      </c>
      <c r="Y106" s="4">
        <f t="shared" si="39"/>
        <v>0.57807634994551382</v>
      </c>
      <c r="AA106">
        <v>104</v>
      </c>
      <c r="AB106">
        <f t="shared" si="30"/>
        <v>0.4936335770743609</v>
      </c>
      <c r="AC106">
        <f>SUM($AB$3:AB106)</f>
        <v>56.923690965836492</v>
      </c>
      <c r="AD106" s="4">
        <f t="shared" si="32"/>
        <v>0.54734318236381241</v>
      </c>
    </row>
    <row r="107" spans="6:30" x14ac:dyDescent="0.25">
      <c r="F107">
        <v>62000</v>
      </c>
      <c r="G107" s="12">
        <v>2643.61779861582</v>
      </c>
      <c r="H107" s="12">
        <f t="shared" si="33"/>
        <v>2969.7295284923753</v>
      </c>
      <c r="I107" s="12">
        <f t="shared" si="34"/>
        <v>106348.86036307935</v>
      </c>
      <c r="K107">
        <f t="shared" si="36"/>
        <v>62000</v>
      </c>
      <c r="L107" s="12">
        <v>2186.4271757248498</v>
      </c>
      <c r="M107" s="12">
        <f t="shared" si="35"/>
        <v>2168.3228796435319</v>
      </c>
      <c r="N107" s="12">
        <f t="shared" si="37"/>
        <v>327.76553660002259</v>
      </c>
      <c r="R107" s="2">
        <f t="shared" si="38"/>
        <v>0.20910397929873947</v>
      </c>
      <c r="V107">
        <v>105</v>
      </c>
      <c r="W107">
        <f t="shared" si="29"/>
        <v>0.49291606647350944</v>
      </c>
      <c r="X107">
        <f>SUM($W$3:W107)</f>
        <v>60.612856460806945</v>
      </c>
      <c r="Y107" s="4">
        <f t="shared" si="39"/>
        <v>0.57726529962673279</v>
      </c>
      <c r="AA107">
        <v>105</v>
      </c>
      <c r="AB107">
        <f t="shared" si="30"/>
        <v>0.49291606647350944</v>
      </c>
      <c r="AC107">
        <f>SUM($AB$3:AB107)</f>
        <v>57.416607032310004</v>
      </c>
      <c r="AD107" s="4">
        <f t="shared" si="32"/>
        <v>0.54682482887914285</v>
      </c>
    </row>
    <row r="108" spans="6:30" x14ac:dyDescent="0.25">
      <c r="F108">
        <v>64000</v>
      </c>
      <c r="G108" s="12">
        <v>2631.9470378485075</v>
      </c>
      <c r="H108" s="12">
        <f t="shared" si="33"/>
        <v>2954.3128555501771</v>
      </c>
      <c r="I108" s="12">
        <f t="shared" si="34"/>
        <v>103919.72042246607</v>
      </c>
      <c r="K108">
        <f t="shared" si="36"/>
        <v>64000</v>
      </c>
      <c r="L108" s="12">
        <v>2165.6724471378884</v>
      </c>
      <c r="M108" s="12">
        <f t="shared" si="35"/>
        <v>2148.3332733712132</v>
      </c>
      <c r="N108" s="12">
        <f t="shared" si="37"/>
        <v>300.64694691095849</v>
      </c>
      <c r="R108" s="2">
        <f t="shared" si="38"/>
        <v>0.21530245320654973</v>
      </c>
      <c r="V108">
        <v>106</v>
      </c>
      <c r="W108">
        <f t="shared" si="29"/>
        <v>0.49220638516870407</v>
      </c>
      <c r="X108">
        <f>SUM($W$3:W108)</f>
        <v>61.105062845975652</v>
      </c>
      <c r="Y108" s="4">
        <f t="shared" si="39"/>
        <v>0.5764628570375061</v>
      </c>
      <c r="AA108">
        <v>106</v>
      </c>
      <c r="AB108">
        <f t="shared" si="30"/>
        <v>0.49220638516870407</v>
      </c>
      <c r="AC108">
        <f>SUM($AB$3:AB108)</f>
        <v>57.908813417478711</v>
      </c>
      <c r="AD108" s="4">
        <f t="shared" si="32"/>
        <v>0.54630956054225199</v>
      </c>
    </row>
    <row r="109" spans="6:30" x14ac:dyDescent="0.25">
      <c r="F109">
        <v>66000</v>
      </c>
      <c r="G109" s="12">
        <v>2620.791707099399</v>
      </c>
      <c r="H109" s="12">
        <f t="shared" ref="H109:H140" si="40">IF(F109&lt;$G$72,$D$64*(F109/$D$41)^-(1-$G$71), $D$64*($G$72/$D$41)^-(1-$G$71))</f>
        <v>2939.4469975539887</v>
      </c>
      <c r="I109" s="12">
        <f t="shared" ref="I109:I140" si="41">(H109-G109)^2</f>
        <v>101541.19413469893</v>
      </c>
      <c r="K109">
        <f t="shared" si="36"/>
        <v>66000</v>
      </c>
      <c r="L109" s="12">
        <v>2145.7538954574761</v>
      </c>
      <c r="M109" s="12">
        <f t="shared" si="35"/>
        <v>2129.1347104183742</v>
      </c>
      <c r="N109" s="12">
        <f t="shared" si="37"/>
        <v>276.19731136390914</v>
      </c>
      <c r="R109" s="2">
        <f t="shared" si="38"/>
        <v>0.22138503984430358</v>
      </c>
      <c r="V109">
        <v>107</v>
      </c>
      <c r="W109">
        <f t="shared" si="29"/>
        <v>0.49150437506616301</v>
      </c>
      <c r="X109">
        <f>SUM($W$3:W109)</f>
        <v>61.596567221041816</v>
      </c>
      <c r="Y109" s="4">
        <f t="shared" si="39"/>
        <v>0.57566885253310107</v>
      </c>
      <c r="AA109">
        <v>107</v>
      </c>
      <c r="AB109">
        <f t="shared" si="30"/>
        <v>0.49150437506616301</v>
      </c>
      <c r="AC109">
        <f>SUM($AB$3:AB109)</f>
        <v>58.400317792544875</v>
      </c>
      <c r="AD109" s="4">
        <f t="shared" si="32"/>
        <v>0.54579736254714839</v>
      </c>
    </row>
    <row r="110" spans="6:30" x14ac:dyDescent="0.25">
      <c r="F110">
        <v>68000</v>
      </c>
      <c r="G110" s="12">
        <v>2610.1143577200664</v>
      </c>
      <c r="H110" s="12">
        <f t="shared" si="40"/>
        <v>2925.0964542054858</v>
      </c>
      <c r="I110" s="12">
        <f t="shared" si="41"/>
        <v>99213.721106350014</v>
      </c>
      <c r="K110">
        <f t="shared" si="36"/>
        <v>68000</v>
      </c>
      <c r="L110" s="12">
        <v>2126.6138759366595</v>
      </c>
      <c r="M110" s="12">
        <f t="shared" si="35"/>
        <v>2110.6733009151849</v>
      </c>
      <c r="N110" s="12">
        <f t="shared" si="37"/>
        <v>254.10193201526042</v>
      </c>
      <c r="R110" s="2">
        <f t="shared" si="38"/>
        <v>0.2273569674562812</v>
      </c>
      <c r="V110">
        <v>108</v>
      </c>
      <c r="W110">
        <f t="shared" si="29"/>
        <v>0.49080988270441012</v>
      </c>
      <c r="X110">
        <f>SUM($W$3:W110)</f>
        <v>62.087377103746228</v>
      </c>
      <c r="Y110" s="4">
        <f t="shared" si="39"/>
        <v>0.57488312133098363</v>
      </c>
      <c r="AA110">
        <v>108</v>
      </c>
      <c r="AB110">
        <f t="shared" si="30"/>
        <v>0.49080988270441012</v>
      </c>
      <c r="AC110">
        <f>SUM($AB$3:AB110)</f>
        <v>58.891127675249287</v>
      </c>
      <c r="AD110" s="4">
        <f t="shared" si="32"/>
        <v>0.54528821921527115</v>
      </c>
    </row>
    <row r="111" spans="6:30" x14ac:dyDescent="0.25">
      <c r="F111">
        <v>70000</v>
      </c>
      <c r="G111" s="12">
        <v>2599.8812653033401</v>
      </c>
      <c r="H111" s="12">
        <f t="shared" si="40"/>
        <v>2911.228973989208</v>
      </c>
      <c r="I111" s="12">
        <f t="shared" si="41"/>
        <v>96937.395703940085</v>
      </c>
      <c r="K111">
        <f t="shared" si="36"/>
        <v>70000</v>
      </c>
      <c r="L111" s="12">
        <v>2108.20027114715</v>
      </c>
      <c r="M111" s="12">
        <f t="shared" si="35"/>
        <v>2092.9002762282335</v>
      </c>
      <c r="N111" s="12">
        <f t="shared" si="37"/>
        <v>234.08984451887321</v>
      </c>
      <c r="R111" s="2">
        <f t="shared" si="38"/>
        <v>0.23322309596737134</v>
      </c>
      <c r="V111">
        <v>109</v>
      </c>
      <c r="W111">
        <f t="shared" si="29"/>
        <v>0.49012275907712788</v>
      </c>
      <c r="X111">
        <f>SUM($W$3:W111)</f>
        <v>62.577499862823359</v>
      </c>
      <c r="Y111" s="4">
        <f t="shared" si="39"/>
        <v>0.57410550332865462</v>
      </c>
      <c r="AA111">
        <v>109</v>
      </c>
      <c r="AB111">
        <f t="shared" si="30"/>
        <v>0.49012275907712788</v>
      </c>
      <c r="AC111">
        <f>SUM($AB$3:AB111)</f>
        <v>59.381250434326418</v>
      </c>
      <c r="AD111" s="4">
        <f t="shared" si="32"/>
        <v>0.5447821140763891</v>
      </c>
    </row>
    <row r="112" spans="6:30" x14ac:dyDescent="0.25">
      <c r="F112">
        <v>72000</v>
      </c>
      <c r="G112" s="12">
        <v>2590.0619651945976</v>
      </c>
      <c r="H112" s="12">
        <f t="shared" si="40"/>
        <v>2897.8151738726629</v>
      </c>
      <c r="I112" s="12">
        <f t="shared" si="41"/>
        <v>94712.037451644763</v>
      </c>
      <c r="K112">
        <f t="shared" si="36"/>
        <v>72000</v>
      </c>
      <c r="L112" s="12">
        <v>2090.4658205041474</v>
      </c>
      <c r="M112" s="12">
        <f t="shared" si="35"/>
        <v>2075.7713722082453</v>
      </c>
      <c r="N112" s="12">
        <f t="shared" si="37"/>
        <v>215.92681072093779</v>
      </c>
      <c r="R112" s="2">
        <f t="shared" si="38"/>
        <v>0.23898795177142151</v>
      </c>
      <c r="V112">
        <v>110</v>
      </c>
      <c r="W112">
        <f t="shared" si="29"/>
        <v>0.48944285946433858</v>
      </c>
      <c r="X112">
        <f>SUM($W$3:W112)</f>
        <v>63.066942722287699</v>
      </c>
      <c r="Y112" s="4">
        <f t="shared" si="39"/>
        <v>0.57333584292988815</v>
      </c>
      <c r="AA112">
        <v>110</v>
      </c>
      <c r="AB112">
        <f t="shared" si="30"/>
        <v>0.48944285946433858</v>
      </c>
      <c r="AC112">
        <f>SUM($AB$3:AB112)</f>
        <v>59.870693293790758</v>
      </c>
      <c r="AD112" s="4">
        <f t="shared" si="32"/>
        <v>0.54427902994355237</v>
      </c>
    </row>
    <row r="113" spans="6:30" x14ac:dyDescent="0.25">
      <c r="F113">
        <v>74000</v>
      </c>
      <c r="G113" s="12">
        <v>2580.6288570275024</v>
      </c>
      <c r="H113" s="12">
        <f t="shared" si="40"/>
        <v>2884.8282127084294</v>
      </c>
      <c r="I113" s="12">
        <f t="shared" si="41"/>
        <v>92537.247996691163</v>
      </c>
      <c r="K113">
        <f t="shared" si="36"/>
        <v>74000</v>
      </c>
      <c r="L113" s="12">
        <v>2073.3675472253922</v>
      </c>
      <c r="M113" s="12">
        <f t="shared" si="35"/>
        <v>2059.246301524402</v>
      </c>
      <c r="N113" s="12">
        <f t="shared" si="37"/>
        <v>199.40958014773221</v>
      </c>
      <c r="R113" s="2">
        <f t="shared" si="38"/>
        <v>0.2446557584452087</v>
      </c>
      <c r="V113">
        <v>111</v>
      </c>
      <c r="W113">
        <f t="shared" si="29"/>
        <v>0.48877004327145279</v>
      </c>
      <c r="X113">
        <f>SUM($W$3:W113)</f>
        <v>63.55571276555915</v>
      </c>
      <c r="Y113" s="4">
        <f t="shared" si="39"/>
        <v>0.57257398887891131</v>
      </c>
      <c r="AA113">
        <v>111</v>
      </c>
      <c r="AB113">
        <f t="shared" si="30"/>
        <v>0.48877004327145279</v>
      </c>
      <c r="AC113">
        <f>SUM($AB$3:AB113)</f>
        <v>60.359463337062209</v>
      </c>
      <c r="AD113" s="4">
        <f t="shared" si="32"/>
        <v>0.54377894898254242</v>
      </c>
    </row>
    <row r="114" spans="6:30" x14ac:dyDescent="0.25">
      <c r="F114">
        <v>76000</v>
      </c>
      <c r="G114" s="12">
        <v>2571.5568664663365</v>
      </c>
      <c r="H114" s="12">
        <f t="shared" si="40"/>
        <v>2872.2435095270107</v>
      </c>
      <c r="I114" s="12">
        <f t="shared" si="41"/>
        <v>90412.457315097301</v>
      </c>
      <c r="K114">
        <f t="shared" si="36"/>
        <v>76000</v>
      </c>
      <c r="L114" s="12">
        <v>2056.8662663498294</v>
      </c>
      <c r="M114" s="12">
        <f t="shared" si="35"/>
        <v>2043.2883001913351</v>
      </c>
      <c r="N114" s="12">
        <f t="shared" si="37"/>
        <v>184.36116500121622</v>
      </c>
      <c r="R114" s="2">
        <f t="shared" si="38"/>
        <v>0.25023046395227766</v>
      </c>
      <c r="V114">
        <v>112</v>
      </c>
      <c r="W114">
        <f t="shared" si="29"/>
        <v>0.488104173875749</v>
      </c>
      <c r="X114">
        <f>SUM($W$3:W114)</f>
        <v>64.043816939434905</v>
      </c>
      <c r="Y114" s="4">
        <f t="shared" si="39"/>
        <v>0.57181979410209738</v>
      </c>
      <c r="AA114">
        <v>112</v>
      </c>
      <c r="AB114">
        <f t="shared" si="30"/>
        <v>0.488104173875749</v>
      </c>
      <c r="AC114">
        <f>SUM($AB$3:AB114)</f>
        <v>60.847567510937957</v>
      </c>
      <c r="AD114" s="4">
        <f t="shared" si="32"/>
        <v>0.54328185277623176</v>
      </c>
    </row>
    <row r="115" spans="6:30" x14ac:dyDescent="0.25">
      <c r="F115">
        <v>78000</v>
      </c>
      <c r="G115" s="12">
        <v>2562.8231546138027</v>
      </c>
      <c r="H115" s="12">
        <f t="shared" si="40"/>
        <v>2860.0384995459872</v>
      </c>
      <c r="I115" s="12">
        <f t="shared" si="41"/>
        <v>88336.961263157413</v>
      </c>
      <c r="K115">
        <f t="shared" si="36"/>
        <v>78000</v>
      </c>
      <c r="L115" s="12">
        <v>2040.9261605461006</v>
      </c>
      <c r="M115" s="12">
        <f t="shared" si="35"/>
        <v>2027.8637362060963</v>
      </c>
      <c r="N115" s="12">
        <f t="shared" si="37"/>
        <v>170.62692963833749</v>
      </c>
      <c r="R115" s="2">
        <f t="shared" si="38"/>
        <v>0.25571576481143032</v>
      </c>
      <c r="V115">
        <v>113</v>
      </c>
      <c r="W115">
        <f t="shared" si="29"/>
        <v>0.4874451184798807</v>
      </c>
      <c r="X115">
        <f>SUM($W$3:W115)</f>
        <v>64.531262057914788</v>
      </c>
      <c r="Y115" s="4">
        <f t="shared" si="39"/>
        <v>0.57107311555676799</v>
      </c>
      <c r="AA115">
        <v>113</v>
      </c>
      <c r="AB115">
        <f t="shared" si="30"/>
        <v>0.4874451184798807</v>
      </c>
      <c r="AC115">
        <f>SUM($AB$3:AB115)</f>
        <v>61.335012629417839</v>
      </c>
      <c r="AD115" s="4">
        <f t="shared" si="32"/>
        <v>0.54278772238422868</v>
      </c>
    </row>
    <row r="116" spans="6:30" x14ac:dyDescent="0.25">
      <c r="F116">
        <v>80000</v>
      </c>
      <c r="G116" s="12">
        <v>2554.4068673349029</v>
      </c>
      <c r="H116" s="12">
        <f t="shared" si="40"/>
        <v>2848.1924220200181</v>
      </c>
      <c r="I116" s="12">
        <f t="shared" si="41"/>
        <v>86309.952141640766</v>
      </c>
      <c r="K116">
        <f t="shared" si="36"/>
        <v>80000</v>
      </c>
      <c r="L116" s="12">
        <v>2025.5144128937081</v>
      </c>
      <c r="M116" s="12">
        <f t="shared" si="35"/>
        <v>2012.9417704354439</v>
      </c>
      <c r="N116" s="12">
        <f t="shared" si="37"/>
        <v>158.07133838334835</v>
      </c>
      <c r="R116" s="2">
        <f t="shared" si="38"/>
        <v>0.26111512763101197</v>
      </c>
      <c r="V116">
        <v>114</v>
      </c>
      <c r="W116">
        <f t="shared" si="29"/>
        <v>0.48679274797202676</v>
      </c>
      <c r="X116">
        <f>SUM($W$3:W116)</f>
        <v>65.01805480588682</v>
      </c>
      <c r="Y116" s="4">
        <f t="shared" si="39"/>
        <v>0.57033381408672645</v>
      </c>
      <c r="AA116">
        <v>114</v>
      </c>
      <c r="AB116">
        <f t="shared" si="30"/>
        <v>0.48679274797202676</v>
      </c>
      <c r="AC116">
        <f>SUM($AB$3:AB116)</f>
        <v>61.821805377389865</v>
      </c>
      <c r="AD116" s="4">
        <f t="shared" si="32"/>
        <v>0.54229653839815672</v>
      </c>
    </row>
    <row r="117" spans="6:30" x14ac:dyDescent="0.25">
      <c r="F117">
        <v>82000</v>
      </c>
      <c r="G117" s="12">
        <v>2546.2889181670103</v>
      </c>
      <c r="H117" s="12">
        <f t="shared" si="40"/>
        <v>2836.6861350938498</v>
      </c>
      <c r="I117" s="12">
        <f t="shared" si="41"/>
        <v>84330.543598853896</v>
      </c>
      <c r="K117">
        <f t="shared" si="36"/>
        <v>82000</v>
      </c>
      <c r="L117" s="12">
        <v>2010.6008877697452</v>
      </c>
      <c r="M117" s="12">
        <f t="shared" si="35"/>
        <v>1998.4940616631291</v>
      </c>
      <c r="N117" s="12">
        <f t="shared" si="37"/>
        <v>146.57523837584247</v>
      </c>
      <c r="R117" s="2">
        <f t="shared" si="38"/>
        <v>0.26643180834933178</v>
      </c>
      <c r="V117">
        <v>115</v>
      </c>
      <c r="W117">
        <f t="shared" si="29"/>
        <v>0.48614693679233256</v>
      </c>
      <c r="X117">
        <f>SUM($W$3:W117)</f>
        <v>65.504201742679157</v>
      </c>
      <c r="Y117" s="4">
        <f t="shared" si="39"/>
        <v>0.56960175428416659</v>
      </c>
      <c r="AA117">
        <v>115</v>
      </c>
      <c r="AB117">
        <f t="shared" si="30"/>
        <v>0.48614693679233256</v>
      </c>
      <c r="AC117">
        <f>SUM($AB$3:AB117)</f>
        <v>62.307952314182195</v>
      </c>
      <c r="AD117" s="4">
        <f t="shared" si="32"/>
        <v>0.54180828099288869</v>
      </c>
    </row>
    <row r="118" spans="6:30" x14ac:dyDescent="0.25">
      <c r="F118">
        <v>84000</v>
      </c>
      <c r="G118" s="12">
        <v>2538.4517996178552</v>
      </c>
      <c r="H118" s="12">
        <f t="shared" si="40"/>
        <v>2825.5019536542627</v>
      </c>
      <c r="I118" s="12">
        <f t="shared" si="41"/>
        <v>82397.790932325297</v>
      </c>
      <c r="K118">
        <f t="shared" si="36"/>
        <v>84000</v>
      </c>
      <c r="L118" s="12">
        <v>1996.1578525341463</v>
      </c>
      <c r="M118" s="12">
        <f t="shared" si="35"/>
        <v>1984.4945091238478</v>
      </c>
      <c r="N118" s="12">
        <f t="shared" si="37"/>
        <v>136.03357950655266</v>
      </c>
      <c r="R118" s="2">
        <f t="shared" si="38"/>
        <v>0.27166886947104918</v>
      </c>
      <c r="V118">
        <v>116</v>
      </c>
      <c r="W118">
        <f t="shared" si="29"/>
        <v>0.48550756280530361</v>
      </c>
      <c r="X118">
        <f>SUM($W$3:W118)</f>
        <v>65.989709305484467</v>
      </c>
      <c r="Y118" s="4">
        <f t="shared" ref="Y118:Y181" si="42">X118/V118</f>
        <v>0.56887680435762467</v>
      </c>
      <c r="AA118">
        <v>116</v>
      </c>
      <c r="AB118">
        <f t="shared" si="30"/>
        <v>0.48550756280530361</v>
      </c>
      <c r="AC118">
        <f>SUM($AB$3:AB118)</f>
        <v>62.793459876987498</v>
      </c>
      <c r="AD118" s="4">
        <f t="shared" si="32"/>
        <v>0.5413229299740302</v>
      </c>
    </row>
    <row r="119" spans="6:30" x14ac:dyDescent="0.25">
      <c r="F119">
        <v>86000</v>
      </c>
      <c r="G119" s="12">
        <v>2530.8794185607385</v>
      </c>
      <c r="H119" s="12">
        <f t="shared" si="40"/>
        <v>2814.6235068507558</v>
      </c>
      <c r="I119" s="12">
        <f t="shared" si="41"/>
        <v>80510.707639533139</v>
      </c>
      <c r="K119">
        <f t="shared" si="36"/>
        <v>86000</v>
      </c>
      <c r="L119" s="12">
        <v>1982.1597339618297</v>
      </c>
      <c r="M119" s="12">
        <f t="shared" si="35"/>
        <v>1970.9190269918763</v>
      </c>
      <c r="N119" s="12">
        <f t="shared" si="37"/>
        <v>126.35349318435912</v>
      </c>
      <c r="R119" s="2">
        <f t="shared" si="38"/>
        <v>0.27682919554730256</v>
      </c>
      <c r="V119">
        <v>117</v>
      </c>
      <c r="W119">
        <f t="shared" si="29"/>
        <v>0.48487450717783948</v>
      </c>
      <c r="X119">
        <f>SUM($W$3:W119)</f>
        <v>66.474583812662303</v>
      </c>
      <c r="Y119" s="4">
        <f t="shared" si="42"/>
        <v>0.56815883600566075</v>
      </c>
      <c r="AA119">
        <v>117</v>
      </c>
      <c r="AB119">
        <f t="shared" si="30"/>
        <v>0.48487450717783948</v>
      </c>
      <c r="AC119">
        <f>SUM($AB$3:AB119)</f>
        <v>63.278334384165341</v>
      </c>
      <c r="AD119" s="4">
        <f t="shared" si="32"/>
        <v>0.54084046482192594</v>
      </c>
    </row>
    <row r="120" spans="6:30" x14ac:dyDescent="0.25">
      <c r="F120">
        <v>88000</v>
      </c>
      <c r="G120" s="12">
        <v>2523.5569521682091</v>
      </c>
      <c r="H120" s="12">
        <f t="shared" si="40"/>
        <v>2804.0356125023877</v>
      </c>
      <c r="I120" s="12">
        <f t="shared" si="41"/>
        <v>78668.278902855527</v>
      </c>
      <c r="K120">
        <f t="shared" si="36"/>
        <v>88000</v>
      </c>
      <c r="L120" s="12">
        <v>1968.5829043859867</v>
      </c>
      <c r="M120" s="12">
        <f t="shared" si="35"/>
        <v>1957.7453462168799</v>
      </c>
      <c r="N120" s="12">
        <f t="shared" si="37"/>
        <v>117.45266706877445</v>
      </c>
      <c r="R120" s="2">
        <f t="shared" si="38"/>
        <v>0.28191550711211844</v>
      </c>
      <c r="V120">
        <v>118</v>
      </c>
      <c r="W120">
        <f t="shared" si="29"/>
        <v>0.48424765426261174</v>
      </c>
      <c r="X120">
        <f>SUM($W$3:W120)</f>
        <v>66.95883146692492</v>
      </c>
      <c r="Y120" s="4">
        <f t="shared" si="42"/>
        <v>0.5674477242959739</v>
      </c>
      <c r="AA120">
        <v>118</v>
      </c>
      <c r="AB120">
        <f t="shared" si="30"/>
        <v>0.48424765426261174</v>
      </c>
      <c r="AC120">
        <f>SUM($AB$3:AB120)</f>
        <v>63.762582038427951</v>
      </c>
      <c r="AD120" s="4">
        <f t="shared" si="32"/>
        <v>0.54036086473244027</v>
      </c>
    </row>
    <row r="121" spans="6:30" x14ac:dyDescent="0.25">
      <c r="F121">
        <v>90000</v>
      </c>
      <c r="G121" s="12">
        <v>2516.4707214189229</v>
      </c>
      <c r="H121" s="12">
        <f t="shared" si="40"/>
        <v>2793.7241660554255</v>
      </c>
      <c r="I121" s="12">
        <f t="shared" si="41"/>
        <v>76869.472562806171</v>
      </c>
      <c r="K121">
        <f t="shared" si="36"/>
        <v>90000</v>
      </c>
      <c r="L121" s="12">
        <v>1955.4054933431457</v>
      </c>
      <c r="M121" s="12">
        <f t="shared" si="35"/>
        <v>1944.9528398520893</v>
      </c>
      <c r="N121" s="12">
        <f t="shared" si="37"/>
        <v>109.25796500409523</v>
      </c>
      <c r="R121" s="2">
        <f t="shared" si="38"/>
        <v>0.28693037325804327</v>
      </c>
      <c r="V121">
        <v>119</v>
      </c>
      <c r="W121">
        <f t="shared" si="29"/>
        <v>0.48362689148650989</v>
      </c>
      <c r="X121">
        <f>SUM($W$3:W121)</f>
        <v>67.442458358411429</v>
      </c>
      <c r="Y121" s="4">
        <f t="shared" si="42"/>
        <v>0.56674334754967592</v>
      </c>
      <c r="AA121">
        <v>119</v>
      </c>
      <c r="AB121">
        <f t="shared" si="30"/>
        <v>0.48362689148650989</v>
      </c>
      <c r="AC121">
        <f>SUM($AB$3:AB121)</f>
        <v>64.246208929914459</v>
      </c>
      <c r="AD121" s="4">
        <f t="shared" si="32"/>
        <v>0.53988410865474334</v>
      </c>
    </row>
    <row r="122" spans="6:30" x14ac:dyDescent="0.25">
      <c r="F122">
        <v>92000</v>
      </c>
      <c r="G122" s="12">
        <v>2509.6080796961255</v>
      </c>
      <c r="H122" s="12">
        <f t="shared" si="40"/>
        <v>2783.6760421236404</v>
      </c>
      <c r="I122" s="12">
        <f t="shared" si="41"/>
        <v>75113.248029169714</v>
      </c>
      <c r="K122">
        <f t="shared" si="36"/>
        <v>92000</v>
      </c>
      <c r="L122" s="12">
        <v>1942.6072211862447</v>
      </c>
      <c r="M122" s="12">
        <f t="shared" si="35"/>
        <v>1932.5223686360023</v>
      </c>
      <c r="N122" s="12">
        <f t="shared" si="37"/>
        <v>101.70425096013126</v>
      </c>
      <c r="R122" s="2">
        <f t="shared" si="38"/>
        <v>0.29187622300901572</v>
      </c>
      <c r="V122">
        <v>120</v>
      </c>
      <c r="W122">
        <f t="shared" si="29"/>
        <v>0.48301210924389321</v>
      </c>
      <c r="X122">
        <f>SUM($W$3:W122)</f>
        <v>67.925470467655316</v>
      </c>
      <c r="Y122" s="4">
        <f t="shared" si="42"/>
        <v>0.56604558723046094</v>
      </c>
      <c r="AA122">
        <v>120</v>
      </c>
      <c r="AB122">
        <f t="shared" si="30"/>
        <v>0.48301210924389321</v>
      </c>
      <c r="AC122">
        <f>SUM($AB$3:AB122)</f>
        <v>64.729221039158347</v>
      </c>
      <c r="AD122" s="4">
        <f t="shared" si="32"/>
        <v>0.53941017532631952</v>
      </c>
    </row>
    <row r="123" spans="6:30" x14ac:dyDescent="0.25">
      <c r="F123">
        <v>94000</v>
      </c>
      <c r="G123" s="12">
        <v>2502.9573143922589</v>
      </c>
      <c r="H123" s="12">
        <f t="shared" si="40"/>
        <v>2773.8790069458428</v>
      </c>
      <c r="I123" s="12">
        <f t="shared" si="41"/>
        <v>73398.563496098606</v>
      </c>
      <c r="K123">
        <f t="shared" si="36"/>
        <v>94000</v>
      </c>
      <c r="L123" s="12">
        <v>1930.1692516869969</v>
      </c>
      <c r="M123" s="12">
        <f t="shared" si="35"/>
        <v>1920.4361440951673</v>
      </c>
      <c r="N123" s="12">
        <f t="shared" si="37"/>
        <v>94.733383394130868</v>
      </c>
      <c r="R123" s="2">
        <f t="shared" si="38"/>
        <v>0.29675535562730393</v>
      </c>
      <c r="V123">
        <v>121</v>
      </c>
      <c r="W123">
        <f t="shared" si="29"/>
        <v>0.48240320079440391</v>
      </c>
      <c r="X123">
        <f>SUM($W$3:W123)</f>
        <v>68.407873668449724</v>
      </c>
      <c r="Y123" s="4">
        <f t="shared" si="42"/>
        <v>0.56535432783842743</v>
      </c>
      <c r="AA123">
        <v>121</v>
      </c>
      <c r="AB123">
        <f t="shared" si="30"/>
        <v>0.48240320079440391</v>
      </c>
      <c r="AC123">
        <f>SUM($AB$3:AB123)</f>
        <v>65.211624239952755</v>
      </c>
      <c r="AD123" s="4">
        <f t="shared" si="32"/>
        <v>0.53893904330539466</v>
      </c>
    </row>
    <row r="124" spans="6:30" x14ac:dyDescent="0.25">
      <c r="F124">
        <v>96000</v>
      </c>
      <c r="G124" s="12">
        <v>2496.5075597601435</v>
      </c>
      <c r="H124" s="12">
        <f t="shared" si="40"/>
        <v>2764.3216403460606</v>
      </c>
      <c r="I124" s="12">
        <f t="shared" si="41"/>
        <v>71724.381760080068</v>
      </c>
      <c r="K124">
        <f t="shared" si="36"/>
        <v>96000</v>
      </c>
      <c r="L124" s="12">
        <v>1918.0740611067893</v>
      </c>
      <c r="M124" s="12">
        <f t="shared" si="35"/>
        <v>1908.6776068539023</v>
      </c>
      <c r="N124" s="12">
        <f t="shared" si="37"/>
        <v>88.293352526598127</v>
      </c>
      <c r="R124" s="2">
        <f t="shared" si="38"/>
        <v>0.3015699499734541</v>
      </c>
      <c r="V124">
        <v>122</v>
      </c>
      <c r="W124">
        <f t="shared" si="29"/>
        <v>0.48180006216511151</v>
      </c>
      <c r="X124">
        <f>SUM($W$3:W124)</f>
        <v>68.889673730614831</v>
      </c>
      <c r="Y124" s="4">
        <f t="shared" si="42"/>
        <v>0.56466945680831826</v>
      </c>
      <c r="AA124">
        <v>122</v>
      </c>
      <c r="AB124">
        <f t="shared" si="30"/>
        <v>0.48180006216511151</v>
      </c>
      <c r="AC124">
        <f>SUM($AB$3:AB124)</f>
        <v>65.693424302117862</v>
      </c>
      <c r="AD124" s="4">
        <f t="shared" si="32"/>
        <v>0.53847069100096612</v>
      </c>
    </row>
    <row r="125" spans="6:30" x14ac:dyDescent="0.25">
      <c r="F125">
        <v>98000</v>
      </c>
      <c r="G125" s="12">
        <v>2490.2487195204794</v>
      </c>
      <c r="H125" s="12">
        <f t="shared" si="40"/>
        <v>2754.993265990423</v>
      </c>
      <c r="I125" s="12">
        <f t="shared" si="41"/>
        <v>70089.674885576096</v>
      </c>
      <c r="K125">
        <f t="shared" si="36"/>
        <v>98000</v>
      </c>
      <c r="L125" s="12">
        <v>1906.3053215949947</v>
      </c>
      <c r="M125" s="12">
        <f t="shared" si="35"/>
        <v>1897.2313181837308</v>
      </c>
      <c r="N125" s="12">
        <f t="shared" si="37"/>
        <v>82.337537907628942</v>
      </c>
      <c r="R125" s="2">
        <f t="shared" si="38"/>
        <v>0.30632207302285797</v>
      </c>
      <c r="V125">
        <v>123</v>
      </c>
      <c r="W125">
        <f t="shared" si="29"/>
        <v>0.48120259205676924</v>
      </c>
      <c r="X125">
        <f>SUM($W$3:W125)</f>
        <v>69.370876322671606</v>
      </c>
      <c r="Y125" s="4">
        <f t="shared" si="42"/>
        <v>0.56399086441196422</v>
      </c>
      <c r="AA125">
        <v>123</v>
      </c>
      <c r="AB125">
        <f t="shared" si="30"/>
        <v>0.48120259205676924</v>
      </c>
      <c r="AC125">
        <f>SUM($AB$3:AB125)</f>
        <v>66.174626894174637</v>
      </c>
      <c r="AD125" s="4">
        <f t="shared" si="32"/>
        <v>0.53800509670060681</v>
      </c>
    </row>
    <row r="126" spans="6:30" x14ac:dyDescent="0.25">
      <c r="F126">
        <v>100000</v>
      </c>
      <c r="G126" s="12">
        <v>2484.1713979589099</v>
      </c>
      <c r="H126" s="12">
        <f t="shared" si="40"/>
        <v>2745.8838889090966</v>
      </c>
      <c r="I126" s="12">
        <f t="shared" si="41"/>
        <v>68493.427919351583</v>
      </c>
      <c r="K126">
        <f t="shared" si="36"/>
        <v>100000</v>
      </c>
      <c r="L126" s="12">
        <v>1894.8477970895231</v>
      </c>
      <c r="M126" s="12">
        <f t="shared" si="35"/>
        <v>1886.0828631143397</v>
      </c>
      <c r="N126" s="12">
        <f t="shared" si="37"/>
        <v>76.824067589323221</v>
      </c>
      <c r="R126" s="2">
        <f t="shared" si="38"/>
        <v>0.31101368762946824</v>
      </c>
      <c r="V126">
        <v>124</v>
      </c>
      <c r="W126">
        <f t="shared" si="29"/>
        <v>0.48061069175397925</v>
      </c>
      <c r="X126">
        <f>SUM($W$3:W126)</f>
        <v>69.851487014425587</v>
      </c>
      <c r="Y126" s="4">
        <f t="shared" si="42"/>
        <v>0.5633184436647225</v>
      </c>
      <c r="AA126">
        <v>124</v>
      </c>
      <c r="AB126">
        <f t="shared" si="30"/>
        <v>0.48061069175397925</v>
      </c>
      <c r="AC126">
        <f>SUM($AB$3:AB126)</f>
        <v>66.655237585928617</v>
      </c>
      <c r="AD126" s="4">
        <f t="shared" si="32"/>
        <v>0.53754223859619854</v>
      </c>
    </row>
    <row r="127" spans="6:30" x14ac:dyDescent="0.25">
      <c r="F127">
        <v>102000</v>
      </c>
      <c r="G127" s="12">
        <v>2478.2668384321705</v>
      </c>
      <c r="H127" s="12">
        <f t="shared" si="40"/>
        <v>2736.9841393977654</v>
      </c>
      <c r="I127" s="12">
        <f t="shared" si="41"/>
        <v>66934.641818922188</v>
      </c>
      <c r="K127">
        <f t="shared" si="36"/>
        <v>102000</v>
      </c>
      <c r="L127" s="12">
        <v>1883.6872501584094</v>
      </c>
      <c r="M127" s="12">
        <f t="shared" si="35"/>
        <v>1875.2187636695028</v>
      </c>
      <c r="N127" s="12">
        <f t="shared" si="37"/>
        <v>71.715263412793504</v>
      </c>
      <c r="R127" s="2">
        <f t="shared" si="38"/>
        <v>0.31564665961600569</v>
      </c>
      <c r="V127">
        <v>125</v>
      </c>
      <c r="W127">
        <f t="shared" si="29"/>
        <v>0.48002426503907414</v>
      </c>
      <c r="X127">
        <f>SUM($W$3:W127)</f>
        <v>70.331511279464664</v>
      </c>
      <c r="Y127" s="4">
        <f t="shared" si="42"/>
        <v>0.56265209023571727</v>
      </c>
      <c r="AA127">
        <v>125</v>
      </c>
      <c r="AB127">
        <f t="shared" si="30"/>
        <v>0.48002426503907414</v>
      </c>
      <c r="AC127">
        <f>SUM($AB$3:AB127)</f>
        <v>67.135261850967694</v>
      </c>
      <c r="AD127" s="4">
        <f t="shared" si="32"/>
        <v>0.53708209480774161</v>
      </c>
    </row>
    <row r="128" spans="6:30" x14ac:dyDescent="0.25">
      <c r="F128">
        <v>104000</v>
      </c>
      <c r="G128" s="12">
        <v>2472.5268683585409</v>
      </c>
      <c r="H128" s="12">
        <f t="shared" si="40"/>
        <v>2728.2852225361635</v>
      </c>
      <c r="I128" s="12">
        <f t="shared" si="41"/>
        <v>65412.335731646221</v>
      </c>
      <c r="K128">
        <f t="shared" si="36"/>
        <v>104000</v>
      </c>
      <c r="L128" s="12">
        <v>1872.8103584426867</v>
      </c>
      <c r="M128" s="12">
        <f t="shared" si="35"/>
        <v>1864.626400994302</v>
      </c>
      <c r="N128" s="12">
        <f t="shared" si="37"/>
        <v>66.977159516971696</v>
      </c>
      <c r="R128" s="2">
        <f t="shared" si="38"/>
        <v>0.32022276426030727</v>
      </c>
      <c r="V128">
        <v>126</v>
      </c>
      <c r="W128">
        <f t="shared" si="29"/>
        <v>0.47944321810952995</v>
      </c>
      <c r="X128">
        <f>SUM($W$3:W128)</f>
        <v>70.810954497574187</v>
      </c>
      <c r="Y128" s="4">
        <f t="shared" si="42"/>
        <v>0.56199170236169993</v>
      </c>
      <c r="AA128">
        <v>126</v>
      </c>
      <c r="AB128">
        <f t="shared" si="30"/>
        <v>0.47944321810952995</v>
      </c>
      <c r="AC128">
        <f>SUM($AB$3:AB128)</f>
        <v>67.614705069077218</v>
      </c>
      <c r="AD128" s="4">
        <f t="shared" si="32"/>
        <v>0.53662464340537475</v>
      </c>
    </row>
    <row r="129" spans="6:30" x14ac:dyDescent="0.25">
      <c r="F129">
        <v>106000</v>
      </c>
      <c r="G129" s="12">
        <v>2466.9438498987079</v>
      </c>
      <c r="H129" s="12">
        <f t="shared" si="40"/>
        <v>2719.7788726650692</v>
      </c>
      <c r="I129" s="12">
        <f t="shared" si="41"/>
        <v>63925.548737266472</v>
      </c>
      <c r="K129">
        <f t="shared" si="36"/>
        <v>106000</v>
      </c>
      <c r="L129" s="12">
        <v>1862.2046395472044</v>
      </c>
      <c r="M129" s="12">
        <f t="shared" si="35"/>
        <v>1854.2939453108695</v>
      </c>
      <c r="N129" s="12">
        <f t="shared" si="37"/>
        <v>62.579083300781384</v>
      </c>
      <c r="R129" s="2">
        <f t="shared" si="38"/>
        <v>0.32474369223918709</v>
      </c>
      <c r="V129">
        <v>127</v>
      </c>
      <c r="W129">
        <f t="shared" si="29"/>
        <v>0.47886745949874199</v>
      </c>
      <c r="X129">
        <f>SUM($W$3:W129)</f>
        <v>71.289821957072931</v>
      </c>
      <c r="Y129" s="4">
        <f t="shared" si="42"/>
        <v>0.56133718076435379</v>
      </c>
      <c r="AA129">
        <v>127</v>
      </c>
      <c r="AB129">
        <f t="shared" si="30"/>
        <v>0.47886745949874199</v>
      </c>
      <c r="AC129">
        <f>SUM($AB$3:AB129)</f>
        <v>68.093572528575962</v>
      </c>
      <c r="AD129" s="4">
        <f t="shared" si="32"/>
        <v>0.53616986242973197</v>
      </c>
    </row>
    <row r="130" spans="6:30" x14ac:dyDescent="0.25">
      <c r="F130">
        <v>108000</v>
      </c>
      <c r="G130" s="12">
        <v>2461.5106356432511</v>
      </c>
      <c r="H130" s="12">
        <f t="shared" si="40"/>
        <v>2711.4573122512456</v>
      </c>
      <c r="I130" s="12">
        <f t="shared" si="41"/>
        <v>62473.34114738139</v>
      </c>
      <c r="K130">
        <f t="shared" si="36"/>
        <v>108000</v>
      </c>
      <c r="L130" s="12">
        <v>1851.8583833835446</v>
      </c>
      <c r="M130" s="12">
        <f t="shared" si="35"/>
        <v>1844.2102927843446</v>
      </c>
      <c r="N130" s="12">
        <f t="shared" si="37"/>
        <v>58.493289813571899</v>
      </c>
      <c r="R130" s="2">
        <f t="shared" si="38"/>
        <v>0.32921105508392401</v>
      </c>
      <c r="V130">
        <v>128</v>
      </c>
      <c r="W130">
        <f t="shared" si="29"/>
        <v>0.47829690000000002</v>
      </c>
      <c r="X130">
        <f>SUM($W$3:W130)</f>
        <v>71.768118857072935</v>
      </c>
      <c r="Y130" s="4">
        <f t="shared" si="42"/>
        <v>0.5606884285708823</v>
      </c>
      <c r="AA130">
        <v>128</v>
      </c>
      <c r="AB130">
        <f t="shared" si="30"/>
        <v>0.47829690000000002</v>
      </c>
      <c r="AC130">
        <f>SUM($AB$3:AB130)</f>
        <v>68.571869428575965</v>
      </c>
      <c r="AD130" s="4">
        <f t="shared" si="32"/>
        <v>0.53571772991074973</v>
      </c>
    </row>
    <row r="131" spans="6:30" x14ac:dyDescent="0.25">
      <c r="F131">
        <v>110000</v>
      </c>
      <c r="G131" s="12">
        <v>2456.2205287162028</v>
      </c>
      <c r="H131" s="12">
        <f t="shared" si="40"/>
        <v>2703.3132146447165</v>
      </c>
      <c r="I131" s="12">
        <f t="shared" si="41"/>
        <v>61054.795439367103</v>
      </c>
      <c r="K131">
        <f t="shared" si="36"/>
        <v>110000</v>
      </c>
      <c r="L131" s="12">
        <v>1841.7605911026399</v>
      </c>
      <c r="M131" s="12">
        <f t="shared" si="35"/>
        <v>1834.3650085033228</v>
      </c>
      <c r="N131" s="12">
        <f t="shared" si="37"/>
        <v>54.694641983321794</v>
      </c>
      <c r="R131" s="2">
        <f t="shared" si="38"/>
        <v>0.3336263901953147</v>
      </c>
      <c r="V131">
        <v>129</v>
      </c>
      <c r="W131">
        <f t="shared" si="29"/>
        <v>0.47773145259350958</v>
      </c>
      <c r="X131">
        <f>SUM($W$3:W131)</f>
        <v>72.245850309666437</v>
      </c>
      <c r="Y131" s="4">
        <f t="shared" si="42"/>
        <v>0.56004535123772436</v>
      </c>
      <c r="AA131">
        <v>129</v>
      </c>
      <c r="AB131">
        <f t="shared" si="30"/>
        <v>0.47773145259350958</v>
      </c>
      <c r="AC131">
        <f>SUM($AB$3:AB131)</f>
        <v>69.049600881169468</v>
      </c>
      <c r="AD131" s="4">
        <f t="shared" si="32"/>
        <v>0.53526822388503459</v>
      </c>
    </row>
    <row r="132" spans="6:30" x14ac:dyDescent="0.25">
      <c r="F132">
        <v>112000</v>
      </c>
      <c r="G132" s="12">
        <v>2451.0672467831023</v>
      </c>
      <c r="H132" s="12">
        <f t="shared" si="40"/>
        <v>2695.3396702966425</v>
      </c>
      <c r="I132" s="12">
        <f t="shared" si="41"/>
        <v>59669.016889178325</v>
      </c>
      <c r="K132">
        <f t="shared" si="36"/>
        <v>112000</v>
      </c>
      <c r="L132" s="12">
        <v>1831.9009198682734</v>
      </c>
      <c r="M132" s="12">
        <f t="shared" si="35"/>
        <v>1824.7482748833384</v>
      </c>
      <c r="N132" s="12">
        <f t="shared" si="37"/>
        <v>51.160330280516135</v>
      </c>
      <c r="R132" s="2">
        <f t="shared" si="38"/>
        <v>0.33799116546071239</v>
      </c>
      <c r="V132">
        <v>130</v>
      </c>
      <c r="W132">
        <f t="shared" ref="W132:W195" si="43">V132^(-$D$5)</f>
        <v>0.47717103237631503</v>
      </c>
      <c r="X132">
        <f>SUM($W$3:W132)</f>
        <v>72.723021342042756</v>
      </c>
      <c r="Y132" s="4">
        <f t="shared" si="42"/>
        <v>0.559407856477252</v>
      </c>
      <c r="AA132">
        <v>130</v>
      </c>
      <c r="AB132">
        <f t="shared" ref="AB132:AB195" si="44">AA132^(-$D$5)</f>
        <v>0.47717103237631503</v>
      </c>
      <c r="AC132">
        <f>SUM($AB$3:AB132)</f>
        <v>69.526771913545787</v>
      </c>
      <c r="AD132" s="4">
        <f t="shared" si="32"/>
        <v>0.53482132241189062</v>
      </c>
    </row>
    <row r="133" spans="6:30" x14ac:dyDescent="0.25">
      <c r="F133">
        <v>114000</v>
      </c>
      <c r="G133" s="12">
        <v>2446.0448895192503</v>
      </c>
      <c r="H133" s="12">
        <f t="shared" si="40"/>
        <v>2687.5301560607459</v>
      </c>
      <c r="I133" s="12">
        <f t="shared" si="41"/>
        <v>58315.133956617152</v>
      </c>
      <c r="K133">
        <f t="shared" si="36"/>
        <v>114000</v>
      </c>
      <c r="L133" s="12">
        <v>1822.2696328193929</v>
      </c>
      <c r="M133" s="12">
        <f t="shared" si="35"/>
        <v>1815.3508448909511</v>
      </c>
      <c r="N133" s="12">
        <f t="shared" si="37"/>
        <v>47.869626398752196</v>
      </c>
      <c r="R133" s="2">
        <f t="shared" si="38"/>
        <v>0.34230678351082444</v>
      </c>
      <c r="V133">
        <v>131</v>
      </c>
      <c r="W133">
        <f t="shared" si="43"/>
        <v>0.4766155564949876</v>
      </c>
      <c r="X133">
        <f>SUM($W$3:W133)</f>
        <v>73.199636898537747</v>
      </c>
      <c r="Y133" s="4">
        <f t="shared" si="42"/>
        <v>0.55877585418731102</v>
      </c>
      <c r="AA133">
        <v>131</v>
      </c>
      <c r="AB133">
        <f t="shared" si="44"/>
        <v>0.4766155564949876</v>
      </c>
      <c r="AC133">
        <f>SUM($AB$3:AB133)</f>
        <v>70.003387470040778</v>
      </c>
      <c r="AD133" s="4">
        <f t="shared" si="32"/>
        <v>0.53437700358809759</v>
      </c>
    </row>
    <row r="134" spans="6:30" x14ac:dyDescent="0.25">
      <c r="F134">
        <v>116000</v>
      </c>
      <c r="G134" s="12">
        <v>2441.1479091512392</v>
      </c>
      <c r="H134" s="12">
        <f t="shared" si="40"/>
        <v>2679.8785072481533</v>
      </c>
      <c r="I134" s="12">
        <f t="shared" si="41"/>
        <v>56992.298467710294</v>
      </c>
      <c r="K134">
        <f t="shared" si="36"/>
        <v>116000</v>
      </c>
      <c r="L134" s="12">
        <v>1812.8575536521023</v>
      </c>
      <c r="M134" s="12">
        <f t="shared" si="35"/>
        <v>1806.1639995622318</v>
      </c>
      <c r="N134" s="12">
        <f t="shared" si="37"/>
        <v>44.803666354022518</v>
      </c>
      <c r="R134" s="2">
        <f t="shared" si="38"/>
        <v>0.34657458564982724</v>
      </c>
      <c r="V134">
        <v>132</v>
      </c>
      <c r="W134">
        <f t="shared" si="43"/>
        <v>0.47606494408094957</v>
      </c>
      <c r="X134">
        <f>SUM($W$3:W134)</f>
        <v>73.675701842618693</v>
      </c>
      <c r="Y134" s="4">
        <f t="shared" si="42"/>
        <v>0.5581492563834749</v>
      </c>
      <c r="AA134">
        <v>132</v>
      </c>
      <c r="AB134">
        <f t="shared" si="44"/>
        <v>0.47606494408094957</v>
      </c>
      <c r="AC134">
        <f>SUM($AB$3:AB134)</f>
        <v>70.479452414121724</v>
      </c>
      <c r="AD134" s="4">
        <f t="shared" ref="AD134:AD197" si="45">AC134/AA134</f>
        <v>0.53393524556152816</v>
      </c>
    </row>
    <row r="135" spans="6:30" x14ac:dyDescent="0.25">
      <c r="F135">
        <v>118000</v>
      </c>
      <c r="G135" s="12">
        <v>2436.3710837339486</v>
      </c>
      <c r="H135" s="12">
        <f t="shared" si="40"/>
        <v>2672.3788921458954</v>
      </c>
      <c r="I135" s="12">
        <f t="shared" si="41"/>
        <v>55699.685631410197</v>
      </c>
      <c r="K135">
        <f t="shared" si="36"/>
        <v>118000</v>
      </c>
      <c r="L135" s="12">
        <v>1803.6560253232005</v>
      </c>
      <c r="M135" s="12">
        <f t="shared" si="35"/>
        <v>1797.1795093548549</v>
      </c>
      <c r="N135" s="12">
        <f t="shared" si="37"/>
        <v>41.945259088236398</v>
      </c>
      <c r="R135" s="2">
        <f t="shared" si="38"/>
        <v>0.35079585548878178</v>
      </c>
      <c r="V135">
        <v>133</v>
      </c>
      <c r="W135">
        <f t="shared" si="43"/>
        <v>0.47551911618831133</v>
      </c>
      <c r="X135">
        <f>SUM($W$3:W135)</f>
        <v>74.151220958807002</v>
      </c>
      <c r="Y135" s="4">
        <f t="shared" si="42"/>
        <v>0.55752797713388724</v>
      </c>
      <c r="AA135">
        <v>133</v>
      </c>
      <c r="AB135">
        <f t="shared" si="44"/>
        <v>0.47551911618831133</v>
      </c>
      <c r="AC135">
        <f>SUM($AB$3:AB135)</f>
        <v>70.954971530310033</v>
      </c>
      <c r="AD135" s="4">
        <f t="shared" si="45"/>
        <v>0.53349602654368444</v>
      </c>
    </row>
    <row r="136" spans="6:30" x14ac:dyDescent="0.25">
      <c r="F136">
        <v>120000</v>
      </c>
      <c r="G136" s="12">
        <v>2431.7094928674078</v>
      </c>
      <c r="H136" s="12">
        <f t="shared" si="40"/>
        <v>2665.0257887441517</v>
      </c>
      <c r="I136" s="12">
        <f t="shared" si="41"/>
        <v>54436.493921644294</v>
      </c>
      <c r="K136">
        <f t="shared" si="36"/>
        <v>120000</v>
      </c>
      <c r="L136" s="12">
        <v>1794.6568724383701</v>
      </c>
      <c r="M136" s="12">
        <f t="shared" si="35"/>
        <v>1788.3895989293769</v>
      </c>
      <c r="N136" s="12">
        <f t="shared" si="37"/>
        <v>39.278717236527747</v>
      </c>
      <c r="R136" s="2">
        <f t="shared" si="38"/>
        <v>0.35497182230912205</v>
      </c>
      <c r="V136">
        <v>134</v>
      </c>
      <c r="W136">
        <f t="shared" si="43"/>
        <v>0.47497799573410648</v>
      </c>
      <c r="X136">
        <f>SUM($W$3:W136)</f>
        <v>74.62619895454111</v>
      </c>
      <c r="Y136" s="4">
        <f t="shared" si="42"/>
        <v>0.55691193249657545</v>
      </c>
      <c r="AA136">
        <v>134</v>
      </c>
      <c r="AB136">
        <f t="shared" si="44"/>
        <v>0.47497799573410648</v>
      </c>
      <c r="AC136">
        <f>SUM($AB$3:AB136)</f>
        <v>71.42994952604414</v>
      </c>
      <c r="AD136" s="4">
        <f t="shared" si="45"/>
        <v>0.53305932482122498</v>
      </c>
    </row>
    <row r="137" spans="6:30" x14ac:dyDescent="0.25">
      <c r="F137">
        <v>122000</v>
      </c>
      <c r="G137" s="12">
        <v>2427.1584955941694</v>
      </c>
      <c r="H137" s="12">
        <f t="shared" si="40"/>
        <v>2657.8139634474828</v>
      </c>
      <c r="I137" s="12">
        <f t="shared" si="41"/>
        <v>53201.944850630913</v>
      </c>
      <c r="K137">
        <f t="shared" si="36"/>
        <v>122000</v>
      </c>
      <c r="L137" s="12">
        <v>1785.8523669408244</v>
      </c>
      <c r="M137" s="12">
        <f t="shared" si="35"/>
        <v>1779.7869150038809</v>
      </c>
      <c r="N137" s="12">
        <f t="shared" si="37"/>
        <v>36.789707199370667</v>
      </c>
      <c r="R137" s="2">
        <f t="shared" si="38"/>
        <v>0.35910366418020656</v>
      </c>
      <c r="V137">
        <v>135</v>
      </c>
      <c r="W137">
        <f t="shared" si="43"/>
        <v>0.47444150744081487</v>
      </c>
      <c r="X137">
        <f>SUM($W$3:W137)</f>
        <v>75.100640461981925</v>
      </c>
      <c r="Y137" s="4">
        <f t="shared" si="42"/>
        <v>0.55630104045912532</v>
      </c>
      <c r="AA137">
        <v>135</v>
      </c>
      <c r="AB137">
        <f t="shared" si="44"/>
        <v>0.47444150744081487</v>
      </c>
      <c r="AC137">
        <f>SUM($AB$3:AB137)</f>
        <v>71.904391033484956</v>
      </c>
      <c r="AD137" s="4">
        <f t="shared" si="45"/>
        <v>0.53262511876655527</v>
      </c>
    </row>
    <row r="138" spans="6:30" x14ac:dyDescent="0.25">
      <c r="F138">
        <v>124000</v>
      </c>
      <c r="G138" s="12">
        <v>2422.7137102492061</v>
      </c>
      <c r="H138" s="12">
        <f t="shared" si="40"/>
        <v>2650.738451571438</v>
      </c>
      <c r="I138" s="12">
        <f t="shared" si="41"/>
        <v>51995.282655070761</v>
      </c>
      <c r="K138">
        <f t="shared" si="36"/>
        <v>124000</v>
      </c>
      <c r="L138" s="12">
        <v>1777.2351967619127</v>
      </c>
      <c r="M138" s="12">
        <f t="shared" si="35"/>
        <v>1771.36449696828</v>
      </c>
      <c r="N138" s="12">
        <f t="shared" si="37"/>
        <v>34.465116066958309</v>
      </c>
      <c r="R138" s="2">
        <f t="shared" si="38"/>
        <v>0.36319251085244231</v>
      </c>
      <c r="V138">
        <v>136</v>
      </c>
      <c r="W138">
        <f t="shared" si="43"/>
        <v>0.47390957778106968</v>
      </c>
      <c r="X138">
        <f>SUM($W$3:W138)</f>
        <v>75.574550039762997</v>
      </c>
      <c r="Y138" s="4">
        <f t="shared" si="42"/>
        <v>0.5556952208806103</v>
      </c>
      <c r="AA138">
        <v>136</v>
      </c>
      <c r="AB138">
        <f t="shared" si="44"/>
        <v>0.47390957778106968</v>
      </c>
      <c r="AC138">
        <f>SUM($AB$3:AB138)</f>
        <v>72.378300611266027</v>
      </c>
      <c r="AD138" s="4">
        <f t="shared" si="45"/>
        <v>0.53219338684754436</v>
      </c>
    </row>
    <row r="139" spans="6:30" x14ac:dyDescent="0.25">
      <c r="F139">
        <v>126000</v>
      </c>
      <c r="G139" s="12">
        <v>2418.3709960614151</v>
      </c>
      <c r="H139" s="12">
        <f t="shared" si="40"/>
        <v>2643.7945394486651</v>
      </c>
      <c r="I139" s="12">
        <f t="shared" si="41"/>
        <v>50815.77391326338</v>
      </c>
      <c r="K139">
        <f t="shared" si="36"/>
        <v>126000</v>
      </c>
      <c r="L139" s="12">
        <v>1768.7984371347236</v>
      </c>
      <c r="M139" s="12">
        <f t="shared" si="35"/>
        <v>1763.1157499810893</v>
      </c>
      <c r="N139" s="12">
        <f t="shared" si="37"/>
        <v>32.292933286080682</v>
      </c>
      <c r="R139" s="2">
        <f t="shared" si="38"/>
        <v>0.36723944644531348</v>
      </c>
      <c r="V139">
        <v>137</v>
      </c>
      <c r="W139">
        <f t="shared" si="43"/>
        <v>0.47338213492445091</v>
      </c>
      <c r="X139">
        <f>SUM($W$3:W139)</f>
        <v>76.047932174687446</v>
      </c>
      <c r="Y139" s="4">
        <f t="shared" si="42"/>
        <v>0.55509439543567474</v>
      </c>
      <c r="AA139">
        <v>137</v>
      </c>
      <c r="AB139">
        <f t="shared" si="44"/>
        <v>0.47338213492445091</v>
      </c>
      <c r="AC139">
        <f>SUM($AB$3:AB139)</f>
        <v>72.851682746190477</v>
      </c>
      <c r="AD139" s="4">
        <f t="shared" si="45"/>
        <v>0.53176410763642679</v>
      </c>
    </row>
    <row r="140" spans="6:30" x14ac:dyDescent="0.25">
      <c r="F140">
        <v>128000</v>
      </c>
      <c r="G140" s="12">
        <v>2414.1264363293371</v>
      </c>
      <c r="H140" s="12">
        <f t="shared" si="40"/>
        <v>2636.9777479884651</v>
      </c>
      <c r="I140" s="12">
        <f t="shared" si="41"/>
        <v>49662.70710819379</v>
      </c>
      <c r="K140">
        <f t="shared" si="36"/>
        <v>128000</v>
      </c>
      <c r="L140" s="12">
        <v>1760.5355243061535</v>
      </c>
      <c r="M140" s="12">
        <f t="shared" si="35"/>
        <v>1755.0344203032305</v>
      </c>
      <c r="N140" s="12">
        <f t="shared" si="37"/>
        <v>30.262145250976083</v>
      </c>
      <c r="R140" s="2">
        <f t="shared" si="38"/>
        <v>0.37124551194771893</v>
      </c>
      <c r="V140">
        <v>138</v>
      </c>
      <c r="W140">
        <f t="shared" si="43"/>
        <v>0.47285910868627051</v>
      </c>
      <c r="X140">
        <f>SUM($W$3:W140)</f>
        <v>76.520791283373711</v>
      </c>
      <c r="Y140" s="4">
        <f t="shared" si="42"/>
        <v>0.5544984875606791</v>
      </c>
      <c r="AA140">
        <v>138</v>
      </c>
      <c r="AB140">
        <f t="shared" si="44"/>
        <v>0.47285910868627051</v>
      </c>
      <c r="AC140">
        <f>SUM($AB$3:AB140)</f>
        <v>73.324541854876742</v>
      </c>
      <c r="AD140" s="4">
        <f t="shared" si="45"/>
        <v>0.53133725981794744</v>
      </c>
    </row>
    <row r="141" spans="6:30" x14ac:dyDescent="0.25">
      <c r="F141">
        <v>130000</v>
      </c>
      <c r="G141" s="12">
        <v>2409.9763230141216</v>
      </c>
      <c r="H141" s="12">
        <f t="shared" ref="H141:H172" si="46">IF(F141&lt;$G$72,$D$64*(F141/$D$41)^-(1-$G$71), $D$64*($G$72/$D$41)^-(1-$G$71))</f>
        <v>2630.2838175510628</v>
      </c>
      <c r="I141" s="12">
        <f t="shared" ref="I141:I172" si="47">(H141-G141)^2</f>
        <v>48535.392149144398</v>
      </c>
      <c r="K141">
        <f t="shared" si="36"/>
        <v>130000</v>
      </c>
      <c r="L141" s="12">
        <v>1752.440231412847</v>
      </c>
      <c r="M141" s="12">
        <f t="shared" ref="M141:M204" si="48">IF(F141&lt;$L$72,$D$28*(F141/$D$6)^-(1-$L$71), $D$28*($L$72/$D$6)^-(1-$L$71))</f>
        <v>1747.1145726511254</v>
      </c>
      <c r="N141" s="12">
        <f t="shared" si="37"/>
        <v>28.362641246301727</v>
      </c>
      <c r="R141" s="2">
        <f t="shared" si="38"/>
        <v>0.3752117075463155</v>
      </c>
      <c r="V141">
        <v>139</v>
      </c>
      <c r="W141">
        <f t="shared" si="43"/>
        <v>0.47234043047826246</v>
      </c>
      <c r="X141">
        <f>SUM($W$3:W141)</f>
        <v>76.99313171385198</v>
      </c>
      <c r="Y141" s="4">
        <f t="shared" si="42"/>
        <v>0.55390742240181279</v>
      </c>
      <c r="AA141">
        <v>139</v>
      </c>
      <c r="AB141">
        <f t="shared" si="44"/>
        <v>0.47234043047826246</v>
      </c>
      <c r="AC141">
        <f>SUM($AB$3:AB141)</f>
        <v>73.796882285355011</v>
      </c>
      <c r="AD141" s="4">
        <f t="shared" si="45"/>
        <v>0.53091282219679858</v>
      </c>
    </row>
    <row r="142" spans="6:30" x14ac:dyDescent="0.25">
      <c r="F142">
        <v>132000</v>
      </c>
      <c r="G142" s="12">
        <v>2405.9171426105709</v>
      </c>
      <c r="H142" s="12">
        <f t="shared" si="46"/>
        <v>2623.7086940130002</v>
      </c>
      <c r="I142" s="12">
        <f t="shared" si="47"/>
        <v>47433.15986227704</v>
      </c>
      <c r="K142">
        <f t="shared" ref="K142:K205" si="49">F142</f>
        <v>132000</v>
      </c>
      <c r="L142" s="12">
        <v>1744.5066463126293</v>
      </c>
      <c r="M142" s="12">
        <f t="shared" si="48"/>
        <v>1739.3505693755217</v>
      </c>
      <c r="N142" s="12">
        <f t="shared" ref="N142:N205" si="50">(M142-L142)^2</f>
        <v>26.585129381373175</v>
      </c>
      <c r="R142" s="2">
        <f t="shared" ref="R142:R205" si="51">G142/L142-1</f>
        <v>0.37913899479601731</v>
      </c>
      <c r="V142">
        <v>140</v>
      </c>
      <c r="W142">
        <f t="shared" si="43"/>
        <v>0.47182603326109268</v>
      </c>
      <c r="X142">
        <f>SUM($W$3:W142)</f>
        <v>77.464957747113075</v>
      </c>
      <c r="Y142" s="4">
        <f t="shared" si="42"/>
        <v>0.55332112676509337</v>
      </c>
      <c r="AA142">
        <v>140</v>
      </c>
      <c r="AB142">
        <f t="shared" si="44"/>
        <v>0.47182603326109268</v>
      </c>
      <c r="AC142">
        <f>SUM($AB$3:AB142)</f>
        <v>74.268708318616106</v>
      </c>
      <c r="AD142" s="4">
        <f t="shared" si="45"/>
        <v>0.53049077370440079</v>
      </c>
    </row>
    <row r="143" spans="6:30" x14ac:dyDescent="0.25">
      <c r="F143">
        <v>134000</v>
      </c>
      <c r="G143" s="12">
        <v>2401.9455631726437</v>
      </c>
      <c r="H143" s="12">
        <f t="shared" si="46"/>
        <v>2617.2485159133748</v>
      </c>
      <c r="I143" s="12">
        <f t="shared" si="47"/>
        <v>46355.361458877509</v>
      </c>
      <c r="K143">
        <f t="shared" si="49"/>
        <v>134000</v>
      </c>
      <c r="L143" s="12">
        <v>1736.729151185895</v>
      </c>
      <c r="M143" s="12">
        <f t="shared" si="48"/>
        <v>1731.737051293677</v>
      </c>
      <c r="N143" s="12">
        <f t="shared" si="50"/>
        <v>24.9210613338829</v>
      </c>
      <c r="R143" s="2">
        <f t="shared" si="51"/>
        <v>0.38302829864548382</v>
      </c>
      <c r="V143">
        <v>141</v>
      </c>
      <c r="W143">
        <f t="shared" si="43"/>
        <v>0.47131585149860927</v>
      </c>
      <c r="X143">
        <f>SUM($W$3:W143)</f>
        <v>77.936273598611692</v>
      </c>
      <c r="Y143" s="4">
        <f t="shared" si="42"/>
        <v>0.55273952906816803</v>
      </c>
      <c r="AA143">
        <v>141</v>
      </c>
      <c r="AB143">
        <f t="shared" si="44"/>
        <v>0.47131585149860927</v>
      </c>
      <c r="AC143">
        <f>SUM($AB$3:AB143)</f>
        <v>74.740024170114722</v>
      </c>
      <c r="AD143" s="4">
        <f t="shared" si="45"/>
        <v>0.53007109340506897</v>
      </c>
    </row>
    <row r="144" spans="6:30" x14ac:dyDescent="0.25">
      <c r="F144">
        <v>136000</v>
      </c>
      <c r="G144" s="12">
        <v>2398.0584223834358</v>
      </c>
      <c r="H144" s="12">
        <f t="shared" si="46"/>
        <v>2610.8996025823303</v>
      </c>
      <c r="I144" s="12">
        <f t="shared" si="47"/>
        <v>45301.367988458303</v>
      </c>
      <c r="K144">
        <f t="shared" si="49"/>
        <v>136000</v>
      </c>
      <c r="L144" s="12">
        <v>1729.1024037415523</v>
      </c>
      <c r="M144" s="12">
        <f t="shared" si="48"/>
        <v>1724.2689200211055</v>
      </c>
      <c r="N144" s="12">
        <f t="shared" si="50"/>
        <v>23.362564875824173</v>
      </c>
      <c r="R144" s="2">
        <f t="shared" si="51"/>
        <v>0.38688050932920448</v>
      </c>
      <c r="V144">
        <v>142</v>
      </c>
      <c r="W144">
        <f t="shared" si="43"/>
        <v>0.4708098211137583</v>
      </c>
      <c r="X144">
        <f>SUM($W$3:W144)</f>
        <v>78.407083419725453</v>
      </c>
      <c r="Y144" s="4">
        <f t="shared" si="42"/>
        <v>0.55216255929384117</v>
      </c>
      <c r="AA144">
        <v>142</v>
      </c>
      <c r="AB144">
        <f t="shared" si="44"/>
        <v>0.4708098211137583</v>
      </c>
      <c r="AC144">
        <f>SUM($AB$3:AB144)</f>
        <v>75.210833991228483</v>
      </c>
      <c r="AD144" s="4">
        <f t="shared" si="45"/>
        <v>0.52965376050160906</v>
      </c>
    </row>
    <row r="145" spans="6:30" x14ac:dyDescent="0.25">
      <c r="F145">
        <v>138000</v>
      </c>
      <c r="G145" s="12">
        <v>2394.2527165715269</v>
      </c>
      <c r="H145" s="12">
        <f t="shared" si="46"/>
        <v>2604.6584431635047</v>
      </c>
      <c r="I145" s="12">
        <f t="shared" si="47"/>
        <v>44270.569782698105</v>
      </c>
      <c r="K145">
        <f t="shared" si="49"/>
        <v>138000</v>
      </c>
      <c r="L145" s="12">
        <v>1721.6213198797436</v>
      </c>
      <c r="M145" s="12">
        <f t="shared" si="48"/>
        <v>1716.9413216654341</v>
      </c>
      <c r="N145" s="12">
        <f t="shared" si="50"/>
        <v>21.902383285940434</v>
      </c>
      <c r="R145" s="2">
        <f t="shared" si="51"/>
        <v>0.39069648413668978</v>
      </c>
      <c r="V145">
        <v>143</v>
      </c>
      <c r="W145">
        <f t="shared" si="43"/>
        <v>0.4703078794460917</v>
      </c>
      <c r="X145">
        <f>SUM($W$3:W145)</f>
        <v>78.877391299171549</v>
      </c>
      <c r="Y145" s="4">
        <f t="shared" si="42"/>
        <v>0.5515901489452556</v>
      </c>
      <c r="AA145">
        <v>143</v>
      </c>
      <c r="AB145">
        <f t="shared" si="44"/>
        <v>0.4703078794460917</v>
      </c>
      <c r="AC145">
        <f>SUM($AB$3:AB145)</f>
        <v>75.68114187067458</v>
      </c>
      <c r="AD145" s="4">
        <f t="shared" si="45"/>
        <v>0.5292387543403817</v>
      </c>
    </row>
    <row r="146" spans="6:30" x14ac:dyDescent="0.25">
      <c r="F146">
        <v>140000</v>
      </c>
      <c r="G146" s="12">
        <v>2390.5255905861272</v>
      </c>
      <c r="H146" s="12">
        <f t="shared" si="46"/>
        <v>2598.5216864512422</v>
      </c>
      <c r="I146" s="12">
        <f t="shared" si="47"/>
        <v>43262.375895130099</v>
      </c>
      <c r="K146">
        <f t="shared" si="49"/>
        <v>140000</v>
      </c>
      <c r="L146" s="12">
        <v>1714.2810576790907</v>
      </c>
      <c r="M146" s="12">
        <f t="shared" si="48"/>
        <v>1709.7496317593027</v>
      </c>
      <c r="N146" s="12">
        <f t="shared" si="50"/>
        <v>20.533820866526835</v>
      </c>
      <c r="R146" s="2">
        <f t="shared" si="51"/>
        <v>0.39447704906836112</v>
      </c>
      <c r="V146">
        <v>144</v>
      </c>
      <c r="W146">
        <f t="shared" si="43"/>
        <v>0.46980996521080021</v>
      </c>
      <c r="X146">
        <f>SUM($W$3:W146)</f>
        <v>79.347201264382349</v>
      </c>
      <c r="Y146" s="4">
        <f t="shared" si="42"/>
        <v>0.55102223100265524</v>
      </c>
      <c r="AA146">
        <v>144</v>
      </c>
      <c r="AB146">
        <f t="shared" si="44"/>
        <v>0.46980996521080021</v>
      </c>
      <c r="AC146">
        <f>SUM($AB$3:AB146)</f>
        <v>76.15095183588538</v>
      </c>
      <c r="AD146" s="4">
        <f t="shared" si="45"/>
        <v>0.52882605441587072</v>
      </c>
    </row>
    <row r="147" spans="6:30" x14ac:dyDescent="0.25">
      <c r="F147">
        <v>142000</v>
      </c>
      <c r="G147" s="12">
        <v>2386.8743284526658</v>
      </c>
      <c r="H147" s="12">
        <f t="shared" si="46"/>
        <v>2592.4861314714021</v>
      </c>
      <c r="I147" s="12">
        <f t="shared" si="47"/>
        <v>42276.213540615609</v>
      </c>
      <c r="K147">
        <f t="shared" si="49"/>
        <v>142000</v>
      </c>
      <c r="L147" s="12">
        <v>1707.0770025899562</v>
      </c>
      <c r="M147" s="12">
        <f t="shared" si="48"/>
        <v>1702.68944132195</v>
      </c>
      <c r="N147" s="12">
        <f t="shared" si="50"/>
        <v>19.250693880508752</v>
      </c>
      <c r="R147" s="2">
        <f t="shared" si="51"/>
        <v>0.39822300038681879</v>
      </c>
      <c r="V147">
        <v>145</v>
      </c>
      <c r="W147">
        <f t="shared" si="43"/>
        <v>0.46931601845920734</v>
      </c>
      <c r="X147">
        <f>SUM($W$3:W147)</f>
        <v>79.816517282841559</v>
      </c>
      <c r="Y147" s="4">
        <f t="shared" si="42"/>
        <v>0.55045873988166594</v>
      </c>
      <c r="AA147">
        <v>145</v>
      </c>
      <c r="AB147">
        <f t="shared" si="44"/>
        <v>0.46931601845920734</v>
      </c>
      <c r="AC147">
        <f>SUM($AB$3:AB147)</f>
        <v>76.62026785434459</v>
      </c>
      <c r="AD147" s="4">
        <f t="shared" si="45"/>
        <v>0.52841564037479027</v>
      </c>
    </row>
    <row r="148" spans="6:30" x14ac:dyDescent="0.25">
      <c r="F148">
        <v>144000</v>
      </c>
      <c r="G148" s="12">
        <v>2383.2963447385896</v>
      </c>
      <c r="H148" s="12">
        <f t="shared" si="46"/>
        <v>2586.5487187417316</v>
      </c>
      <c r="I148" s="12">
        <f t="shared" si="47"/>
        <v>41311.527537913113</v>
      </c>
      <c r="K148">
        <f t="shared" si="49"/>
        <v>144000</v>
      </c>
      <c r="L148" s="12">
        <v>1700.0047537272969</v>
      </c>
      <c r="M148" s="12">
        <f t="shared" si="48"/>
        <v>1695.756543950363</v>
      </c>
      <c r="N148" s="12">
        <f t="shared" si="50"/>
        <v>18.047286308836696</v>
      </c>
      <c r="R148" s="2">
        <f t="shared" si="51"/>
        <v>0.40193510607141603</v>
      </c>
      <c r="V148">
        <v>146</v>
      </c>
      <c r="W148">
        <f t="shared" si="43"/>
        <v>0.46882598054065971</v>
      </c>
      <c r="X148">
        <f>SUM($W$3:W148)</f>
        <v>80.285343263382217</v>
      </c>
      <c r="Y148" s="4">
        <f t="shared" si="42"/>
        <v>0.5498996113930289</v>
      </c>
      <c r="AA148">
        <v>146</v>
      </c>
      <c r="AB148">
        <f t="shared" si="44"/>
        <v>0.46882598054065971</v>
      </c>
      <c r="AC148">
        <f>SUM($AB$3:AB148)</f>
        <v>77.089093834885247</v>
      </c>
      <c r="AD148" s="4">
        <f t="shared" si="45"/>
        <v>0.52800749201976194</v>
      </c>
    </row>
    <row r="149" spans="6:30" x14ac:dyDescent="0.25">
      <c r="F149">
        <v>146000</v>
      </c>
      <c r="G149" s="12">
        <v>2379.7891765663776</v>
      </c>
      <c r="H149" s="12">
        <f t="shared" si="46"/>
        <v>2580.706522154077</v>
      </c>
      <c r="I149" s="12">
        <f t="shared" si="47"/>
        <v>40367.779758007033</v>
      </c>
      <c r="K149">
        <f t="shared" si="49"/>
        <v>146000</v>
      </c>
      <c r="L149" s="12">
        <v>1693.060111167408</v>
      </c>
      <c r="M149" s="12">
        <f t="shared" si="48"/>
        <v>1688.946923850807</v>
      </c>
      <c r="N149" s="12">
        <f t="shared" si="50"/>
        <v>16.918309901446865</v>
      </c>
      <c r="R149" s="2">
        <f t="shared" si="51"/>
        <v>0.40561410718338431</v>
      </c>
      <c r="V149">
        <v>147</v>
      </c>
      <c r="W149">
        <f t="shared" si="43"/>
        <v>0.4683397940657581</v>
      </c>
      <c r="X149">
        <f>SUM($W$3:W149)</f>
        <v>80.753683057447972</v>
      </c>
      <c r="Y149" s="4">
        <f t="shared" si="42"/>
        <v>0.54934478270372766</v>
      </c>
      <c r="AA149">
        <v>147</v>
      </c>
      <c r="AB149">
        <f t="shared" si="44"/>
        <v>0.4683397940657581</v>
      </c>
      <c r="AC149">
        <f>SUM($AB$3:AB149)</f>
        <v>77.557433628951003</v>
      </c>
      <c r="AD149" s="4">
        <f t="shared" si="45"/>
        <v>0.52760158931259182</v>
      </c>
    </row>
    <row r="150" spans="6:30" x14ac:dyDescent="0.25">
      <c r="F150">
        <v>148000</v>
      </c>
      <c r="G150" s="12">
        <v>2376.3504762171015</v>
      </c>
      <c r="H150" s="12">
        <f t="shared" si="46"/>
        <v>2574.9567414263511</v>
      </c>
      <c r="I150" s="12">
        <f t="shared" si="47"/>
        <v>39444.448580366792</v>
      </c>
      <c r="K150">
        <f t="shared" si="49"/>
        <v>148000</v>
      </c>
      <c r="L150" s="12">
        <v>1686.2390641624165</v>
      </c>
      <c r="M150" s="12">
        <f t="shared" si="48"/>
        <v>1682.2567447303952</v>
      </c>
      <c r="N150" s="12">
        <f t="shared" si="50"/>
        <v>15.858868058654556</v>
      </c>
      <c r="R150" s="2">
        <f t="shared" si="51"/>
        <v>0.40926071914807349</v>
      </c>
      <c r="V150">
        <v>148</v>
      </c>
      <c r="W150">
        <f t="shared" si="43"/>
        <v>0.4678574028708718</v>
      </c>
      <c r="X150">
        <f>SUM($W$3:W150)</f>
        <v>81.221540460318849</v>
      </c>
      <c r="Y150" s="4">
        <f t="shared" si="42"/>
        <v>0.5487941922994517</v>
      </c>
      <c r="AA150">
        <v>148</v>
      </c>
      <c r="AB150">
        <f t="shared" si="44"/>
        <v>0.4678574028708718</v>
      </c>
      <c r="AC150">
        <f>SUM($AB$3:AB150)</f>
        <v>78.02529103182188</v>
      </c>
      <c r="AD150" s="4">
        <f t="shared" si="45"/>
        <v>0.52719791237717484</v>
      </c>
    </row>
    <row r="151" spans="6:30" x14ac:dyDescent="0.25">
      <c r="F151">
        <v>150000</v>
      </c>
      <c r="G151" s="12">
        <v>2372.9780042735647</v>
      </c>
      <c r="H151" s="12">
        <f t="shared" si="46"/>
        <v>2569.2966950771524</v>
      </c>
      <c r="I151" s="12">
        <f t="shared" si="47"/>
        <v>38541.028358834687</v>
      </c>
      <c r="K151">
        <f t="shared" si="49"/>
        <v>150000</v>
      </c>
      <c r="L151" s="12">
        <v>1679.5377801947652</v>
      </c>
      <c r="M151" s="12">
        <f t="shared" si="48"/>
        <v>1675.6823394761984</v>
      </c>
      <c r="N151" s="12">
        <f t="shared" si="50"/>
        <v>14.864423134382859</v>
      </c>
      <c r="R151" s="2">
        <f t="shared" si="51"/>
        <v>0.41287563296038843</v>
      </c>
      <c r="V151">
        <v>149</v>
      </c>
      <c r="W151">
        <f t="shared" si="43"/>
        <v>0.46737875198388379</v>
      </c>
      <c r="X151">
        <f>SUM($W$3:W151)</f>
        <v>81.688919212302736</v>
      </c>
      <c r="Y151" s="4">
        <f t="shared" si="42"/>
        <v>0.54824777994834051</v>
      </c>
      <c r="AA151">
        <v>149</v>
      </c>
      <c r="AB151">
        <f t="shared" si="44"/>
        <v>0.46737875198388379</v>
      </c>
      <c r="AC151">
        <f>SUM($AB$3:AB151)</f>
        <v>78.492669783805766</v>
      </c>
      <c r="AD151" s="4">
        <f t="shared" si="45"/>
        <v>0.52679644150205207</v>
      </c>
    </row>
    <row r="152" spans="6:30" x14ac:dyDescent="0.25">
      <c r="F152">
        <v>152000</v>
      </c>
      <c r="G152" s="12">
        <v>2369.6696232570084</v>
      </c>
      <c r="H152" s="12">
        <f t="shared" si="46"/>
        <v>2563.7238138804096</v>
      </c>
      <c r="I152" s="12">
        <f t="shared" si="47"/>
        <v>37657.028898503311</v>
      </c>
      <c r="K152">
        <f t="shared" si="49"/>
        <v>152000</v>
      </c>
      <c r="L152" s="12">
        <v>1672.9525948015223</v>
      </c>
      <c r="M152" s="12">
        <f t="shared" si="48"/>
        <v>1669.220200556395</v>
      </c>
      <c r="N152" s="12">
        <f t="shared" si="50"/>
        <v>13.930766801059779</v>
      </c>
      <c r="R152" s="2">
        <f t="shared" si="51"/>
        <v>0.41645951631889733</v>
      </c>
      <c r="V152">
        <v>150</v>
      </c>
      <c r="W152">
        <f t="shared" si="43"/>
        <v>0.4669037875911155</v>
      </c>
      <c r="X152">
        <f>SUM($W$3:W152)</f>
        <v>82.155822999893857</v>
      </c>
      <c r="Y152" s="4">
        <f t="shared" si="42"/>
        <v>0.54770548666595908</v>
      </c>
      <c r="AA152">
        <v>150</v>
      </c>
      <c r="AB152">
        <f t="shared" si="44"/>
        <v>0.4669037875911155</v>
      </c>
      <c r="AC152">
        <f>SUM($AB$3:AB152)</f>
        <v>78.959573571396888</v>
      </c>
      <c r="AD152" s="4">
        <f t="shared" si="45"/>
        <v>0.5263971571426459</v>
      </c>
    </row>
    <row r="153" spans="6:30" x14ac:dyDescent="0.25">
      <c r="F153">
        <v>154000</v>
      </c>
      <c r="G153" s="12">
        <v>2366.4232917159134</v>
      </c>
      <c r="H153" s="12">
        <f t="shared" si="46"/>
        <v>2558.2356347614195</v>
      </c>
      <c r="I153" s="12">
        <f t="shared" si="47"/>
        <v>36791.97494460694</v>
      </c>
      <c r="K153">
        <f t="shared" si="49"/>
        <v>154000</v>
      </c>
      <c r="L153" s="12">
        <v>1666.4800021050044</v>
      </c>
      <c r="M153" s="12">
        <f t="shared" si="48"/>
        <v>1662.8669710841723</v>
      </c>
      <c r="N153" s="12">
        <f t="shared" si="50"/>
        <v>13.053993157494816</v>
      </c>
      <c r="R153" s="2">
        <f t="shared" si="51"/>
        <v>0.42001301469371355</v>
      </c>
      <c r="V153">
        <v>151</v>
      </c>
      <c r="W153">
        <f t="shared" si="43"/>
        <v>0.46643245700538311</v>
      </c>
      <c r="X153">
        <f>SUM($W$3:W153)</f>
        <v>82.622255456899239</v>
      </c>
      <c r="Y153" s="4">
        <f t="shared" si="42"/>
        <v>0.54716725468145189</v>
      </c>
      <c r="AA153">
        <v>151</v>
      </c>
      <c r="AB153">
        <f t="shared" si="44"/>
        <v>0.46643245700538311</v>
      </c>
      <c r="AC153">
        <f>SUM($AB$3:AB153)</f>
        <v>79.42600602840227</v>
      </c>
      <c r="AD153" s="4">
        <f t="shared" si="45"/>
        <v>0.52600003992319389</v>
      </c>
    </row>
    <row r="154" spans="6:30" x14ac:dyDescent="0.25">
      <c r="F154">
        <v>156000</v>
      </c>
      <c r="G154" s="12">
        <v>2363.2370587293376</v>
      </c>
      <c r="H154" s="12">
        <f t="shared" si="46"/>
        <v>2552.8297950991987</v>
      </c>
      <c r="I154" s="12">
        <f t="shared" si="47"/>
        <v>35945.405684211648</v>
      </c>
      <c r="K154">
        <f t="shared" si="49"/>
        <v>156000</v>
      </c>
      <c r="L154" s="12">
        <v>1660.1166459922283</v>
      </c>
      <c r="M154" s="12">
        <f t="shared" si="48"/>
        <v>1656.6194364906855</v>
      </c>
      <c r="N154" s="12">
        <f t="shared" si="50"/>
        <v>12.230474297681127</v>
      </c>
      <c r="R154" s="2">
        <f t="shared" si="51"/>
        <v>0.423536752332764</v>
      </c>
      <c r="V154">
        <v>152</v>
      </c>
      <c r="W154">
        <f t="shared" si="43"/>
        <v>0.46596470863514006</v>
      </c>
      <c r="X154">
        <f>SUM($W$3:W154)</f>
        <v>83.088220165534381</v>
      </c>
      <c r="Y154" s="4">
        <f t="shared" si="42"/>
        <v>0.54663302740483144</v>
      </c>
      <c r="AA154">
        <v>152</v>
      </c>
      <c r="AB154">
        <f t="shared" si="44"/>
        <v>0.46596470863514006</v>
      </c>
      <c r="AC154">
        <f>SUM($AB$3:AB154)</f>
        <v>79.891970737037411</v>
      </c>
      <c r="AD154" s="4">
        <f t="shared" si="45"/>
        <v>0.525605070638404</v>
      </c>
    </row>
    <row r="155" spans="6:30" x14ac:dyDescent="0.25">
      <c r="F155">
        <v>158000</v>
      </c>
      <c r="G155" s="12">
        <v>2360.1090587908334</v>
      </c>
      <c r="H155" s="12">
        <f t="shared" si="46"/>
        <v>2547.504027403274</v>
      </c>
      <c r="I155" s="12">
        <f t="shared" si="47"/>
        <v>35116.874261257602</v>
      </c>
      <c r="K155">
        <f t="shared" si="49"/>
        <v>158000</v>
      </c>
      <c r="L155" s="12">
        <v>1653.8593118910226</v>
      </c>
      <c r="M155" s="12">
        <f t="shared" si="48"/>
        <v>1650.4745167583369</v>
      </c>
      <c r="N155" s="12">
        <f t="shared" si="50"/>
        <v>11.456838090252585</v>
      </c>
      <c r="R155" s="2">
        <f t="shared" si="51"/>
        <v>0.42703133321073428</v>
      </c>
      <c r="V155">
        <v>153</v>
      </c>
      <c r="W155">
        <f t="shared" si="43"/>
        <v>0.46550049195466126</v>
      </c>
      <c r="X155">
        <f>SUM($W$3:W155)</f>
        <v>83.553720657489038</v>
      </c>
      <c r="Y155" s="4">
        <f t="shared" si="42"/>
        <v>0.54610274939535319</v>
      </c>
      <c r="AA155">
        <v>153</v>
      </c>
      <c r="AB155">
        <f t="shared" si="44"/>
        <v>0.46550049195466126</v>
      </c>
      <c r="AC155">
        <f>SUM($AB$3:AB155)</f>
        <v>80.357471228992068</v>
      </c>
      <c r="AD155" s="4">
        <f t="shared" si="45"/>
        <v>0.52521223025485009</v>
      </c>
    </row>
    <row r="156" spans="6:30" x14ac:dyDescent="0.25">
      <c r="F156">
        <v>160000</v>
      </c>
      <c r="G156" s="12">
        <v>2357.0375070421351</v>
      </c>
      <c r="H156" s="12">
        <f t="shared" si="46"/>
        <v>2542.2561543359188</v>
      </c>
      <c r="I156" s="12">
        <f t="shared" si="47"/>
        <v>34305.947305339068</v>
      </c>
      <c r="K156">
        <f t="shared" si="49"/>
        <v>160000</v>
      </c>
      <c r="L156" s="12">
        <v>1647.7049190954588</v>
      </c>
      <c r="M156" s="12">
        <f t="shared" si="48"/>
        <v>1644.429259170113</v>
      </c>
      <c r="N156" s="12">
        <f t="shared" si="50"/>
        <v>10.729947946516027</v>
      </c>
      <c r="R156" s="2">
        <f t="shared" si="51"/>
        <v>0.43049734192459588</v>
      </c>
      <c r="V156">
        <v>154</v>
      </c>
      <c r="W156">
        <f t="shared" si="43"/>
        <v>0.46503975747522769</v>
      </c>
      <c r="X156">
        <f>SUM($W$3:W156)</f>
        <v>84.018760414964262</v>
      </c>
      <c r="Y156" s="4">
        <f t="shared" si="42"/>
        <v>0.54557636633093676</v>
      </c>
      <c r="AA156">
        <v>154</v>
      </c>
      <c r="AB156">
        <f t="shared" si="44"/>
        <v>0.46503975747522769</v>
      </c>
      <c r="AC156">
        <f>SUM($AB$3:AB156)</f>
        <v>80.822510986467293</v>
      </c>
      <c r="AD156" s="4">
        <f t="shared" si="45"/>
        <v>0.52482149991212523</v>
      </c>
    </row>
    <row r="157" spans="6:30" x14ac:dyDescent="0.25">
      <c r="F157">
        <v>162000</v>
      </c>
      <c r="G157" s="12">
        <v>2354.0206948286645</v>
      </c>
      <c r="H157" s="12">
        <f t="shared" si="46"/>
        <v>2537.0840840533933</v>
      </c>
      <c r="I157" s="12">
        <f t="shared" si="47"/>
        <v>33512.204474444545</v>
      </c>
      <c r="K157">
        <f t="shared" si="49"/>
        <v>162000</v>
      </c>
      <c r="L157" s="12">
        <v>1641.6505135975412</v>
      </c>
      <c r="M157" s="12">
        <f t="shared" si="48"/>
        <v>1638.4808315347129</v>
      </c>
      <c r="N157" s="12">
        <f t="shared" si="50"/>
        <v>10.046884379415561</v>
      </c>
      <c r="R157" s="2">
        <f t="shared" si="51"/>
        <v>0.43393534453933369</v>
      </c>
      <c r="V157">
        <v>155</v>
      </c>
      <c r="W157">
        <f t="shared" si="43"/>
        <v>0.46458245671727155</v>
      </c>
      <c r="X157">
        <f>SUM($W$3:W157)</f>
        <v>84.483342871681529</v>
      </c>
      <c r="Y157" s="4">
        <f t="shared" si="42"/>
        <v>0.54505382497859056</v>
      </c>
      <c r="AA157">
        <v>155</v>
      </c>
      <c r="AB157">
        <f t="shared" si="44"/>
        <v>0.46458245671727155</v>
      </c>
      <c r="AC157">
        <f>SUM($AB$3:AB157)</f>
        <v>81.28709344318456</v>
      </c>
      <c r="AD157" s="4">
        <f t="shared" si="45"/>
        <v>0.52443286092377139</v>
      </c>
    </row>
    <row r="158" spans="6:30" x14ac:dyDescent="0.25">
      <c r="F158">
        <v>164000</v>
      </c>
      <c r="G158" s="12">
        <v>2351.05698555145</v>
      </c>
      <c r="H158" s="12">
        <f t="shared" si="46"/>
        <v>2531.9858058420982</v>
      </c>
      <c r="I158" s="12">
        <f t="shared" si="47"/>
        <v>32735.238011765679</v>
      </c>
      <c r="K158">
        <f t="shared" si="49"/>
        <v>164000</v>
      </c>
      <c r="L158" s="12">
        <v>1635.693261385961</v>
      </c>
      <c r="M158" s="12">
        <f t="shared" si="48"/>
        <v>1632.6265158508047</v>
      </c>
      <c r="N158" s="12">
        <f t="shared" si="50"/>
        <v>9.4049281774011924</v>
      </c>
      <c r="R158" s="2">
        <f t="shared" si="51"/>
        <v>0.43734588938719754</v>
      </c>
      <c r="V158">
        <v>156</v>
      </c>
      <c r="W158">
        <f t="shared" si="43"/>
        <v>0.46412854218344324</v>
      </c>
      <c r="X158">
        <f>SUM($W$3:W158)</f>
        <v>84.947471413864974</v>
      </c>
      <c r="Y158" s="4">
        <f t="shared" si="42"/>
        <v>0.54453507316580108</v>
      </c>
      <c r="AA158">
        <v>156</v>
      </c>
      <c r="AB158">
        <f t="shared" si="44"/>
        <v>0.46412854218344324</v>
      </c>
      <c r="AC158">
        <f>SUM($AB$3:AB158)</f>
        <v>81.751221985368005</v>
      </c>
      <c r="AD158" s="4">
        <f t="shared" si="45"/>
        <v>0.52404629477800002</v>
      </c>
    </row>
    <row r="159" spans="6:30" x14ac:dyDescent="0.25">
      <c r="F159">
        <v>166000</v>
      </c>
      <c r="G159" s="12">
        <v>2348.1448107923329</v>
      </c>
      <c r="H159" s="12">
        <f t="shared" si="46"/>
        <v>2526.9593860276182</v>
      </c>
      <c r="I159" s="12">
        <f t="shared" si="47"/>
        <v>31974.652316575488</v>
      </c>
      <c r="K159">
        <f t="shared" si="49"/>
        <v>166000</v>
      </c>
      <c r="L159" s="12">
        <v>1629.830442176197</v>
      </c>
      <c r="M159" s="12">
        <f t="shared" si="48"/>
        <v>1626.8637023769752</v>
      </c>
      <c r="N159" s="12">
        <f t="shared" si="50"/>
        <v>8.8015450362868499</v>
      </c>
      <c r="R159" s="2">
        <f t="shared" si="51"/>
        <v>0.4407295078235387</v>
      </c>
      <c r="V159">
        <v>157</v>
      </c>
      <c r="W159">
        <f t="shared" si="43"/>
        <v>0.46367796733256533</v>
      </c>
      <c r="X159">
        <f>SUM($W$3:W159)</f>
        <v>85.411149381197546</v>
      </c>
      <c r="Y159" s="4">
        <f t="shared" si="42"/>
        <v>0.54402005975285062</v>
      </c>
      <c r="AA159">
        <v>157</v>
      </c>
      <c r="AB159">
        <f t="shared" si="44"/>
        <v>0.46367796733256533</v>
      </c>
      <c r="AC159">
        <f>SUM($AB$3:AB159)</f>
        <v>82.214899952700577</v>
      </c>
      <c r="AD159" s="4">
        <f t="shared" si="45"/>
        <v>0.5236617831382202</v>
      </c>
    </row>
    <row r="160" spans="6:30" x14ac:dyDescent="0.25">
      <c r="F160">
        <v>168000</v>
      </c>
      <c r="G160" s="12">
        <v>2345.2826666914216</v>
      </c>
      <c r="H160" s="12">
        <f t="shared" si="46"/>
        <v>2522.0029641365372</v>
      </c>
      <c r="I160" s="12">
        <f t="shared" si="47"/>
        <v>31230.063529090148</v>
      </c>
      <c r="K160">
        <f t="shared" si="49"/>
        <v>168000</v>
      </c>
      <c r="L160" s="12">
        <v>1624.0594435393559</v>
      </c>
      <c r="M160" s="12">
        <f t="shared" si="48"/>
        <v>1621.1898840768497</v>
      </c>
      <c r="N160" s="12">
        <f t="shared" si="50"/>
        <v>8.2343715088590503</v>
      </c>
      <c r="R160" s="2">
        <f t="shared" si="51"/>
        <v>0.44408671494208662</v>
      </c>
      <c r="V160">
        <v>158</v>
      </c>
      <c r="W160">
        <f t="shared" si="43"/>
        <v>0.46323068655443789</v>
      </c>
      <c r="X160">
        <f>SUM($W$3:W160)</f>
        <v>85.874380067751986</v>
      </c>
      <c r="Y160" s="4">
        <f t="shared" si="42"/>
        <v>0.54350873460602522</v>
      </c>
      <c r="AA160">
        <v>158</v>
      </c>
      <c r="AB160">
        <f t="shared" si="44"/>
        <v>0.46323068655443789</v>
      </c>
      <c r="AC160">
        <f>SUM($AB$3:AB160)</f>
        <v>82.678130639255016</v>
      </c>
      <c r="AD160" s="4">
        <f t="shared" si="45"/>
        <v>0.52327930784338617</v>
      </c>
    </row>
    <row r="161" spans="6:30" x14ac:dyDescent="0.25">
      <c r="F161">
        <v>170000</v>
      </c>
      <c r="G161" s="12">
        <v>2342.4691105575589</v>
      </c>
      <c r="H161" s="12">
        <f t="shared" si="46"/>
        <v>2517.1147492925938</v>
      </c>
      <c r="I161" s="12">
        <f t="shared" si="47"/>
        <v>30501.099129168335</v>
      </c>
      <c r="K161">
        <f t="shared" si="49"/>
        <v>170000</v>
      </c>
      <c r="L161" s="12">
        <v>1618.3777553999926</v>
      </c>
      <c r="M161" s="12">
        <f t="shared" si="48"/>
        <v>1615.6026514115074</v>
      </c>
      <c r="N161" s="12">
        <f t="shared" si="50"/>
        <v>7.7012021469063026</v>
      </c>
      <c r="R161" s="2">
        <f t="shared" si="51"/>
        <v>0.44741801025224937</v>
      </c>
      <c r="V161">
        <v>159</v>
      </c>
      <c r="W161">
        <f t="shared" si="43"/>
        <v>0.46278665514546174</v>
      </c>
      <c r="X161">
        <f>SUM($W$3:W161)</f>
        <v>86.33716672289745</v>
      </c>
      <c r="Y161" s="4">
        <f t="shared" si="42"/>
        <v>0.54300104857168208</v>
      </c>
      <c r="AA161">
        <v>159</v>
      </c>
      <c r="AB161">
        <f t="shared" si="44"/>
        <v>0.46278665514546174</v>
      </c>
      <c r="AC161">
        <f>SUM($AB$3:AB161)</f>
        <v>83.140917294400481</v>
      </c>
      <c r="AD161" s="4">
        <f t="shared" si="45"/>
        <v>0.52289885090817911</v>
      </c>
    </row>
    <row r="162" spans="6:30" x14ac:dyDescent="0.25">
      <c r="F162">
        <v>172000</v>
      </c>
      <c r="G162" s="12">
        <v>2339.7027576942896</v>
      </c>
      <c r="H162" s="12">
        <f t="shared" si="46"/>
        <v>2512.2930168303037</v>
      </c>
      <c r="I162" s="12">
        <f t="shared" si="47"/>
        <v>29787.397548636494</v>
      </c>
      <c r="K162">
        <f t="shared" si="49"/>
        <v>172000</v>
      </c>
      <c r="L162" s="12">
        <v>1612.7829648756679</v>
      </c>
      <c r="M162" s="12">
        <f t="shared" si="48"/>
        <v>1610.0996874536629</v>
      </c>
      <c r="N162" s="12">
        <f t="shared" si="50"/>
        <v>7.1999777234415232</v>
      </c>
      <c r="R162" s="2">
        <f t="shared" si="51"/>
        <v>0.45072387832088823</v>
      </c>
      <c r="V162">
        <v>160</v>
      </c>
      <c r="W162">
        <f t="shared" si="43"/>
        <v>0.46234582928505014</v>
      </c>
      <c r="X162">
        <f>SUM($W$3:W162)</f>
        <v>86.799512552182506</v>
      </c>
      <c r="Y162" s="4">
        <f t="shared" si="42"/>
        <v>0.54249695345114068</v>
      </c>
      <c r="AA162">
        <v>160</v>
      </c>
      <c r="AB162">
        <f t="shared" si="44"/>
        <v>0.46234582928505014</v>
      </c>
      <c r="AC162">
        <f>SUM($AB$3:AB162)</f>
        <v>83.603263123685537</v>
      </c>
      <c r="AD162" s="4">
        <f t="shared" si="45"/>
        <v>0.52252039452303456</v>
      </c>
    </row>
    <row r="163" spans="6:30" x14ac:dyDescent="0.25">
      <c r="F163">
        <v>174000</v>
      </c>
      <c r="G163" s="12">
        <v>2336.9822784252842</v>
      </c>
      <c r="H163" s="12">
        <f t="shared" si="46"/>
        <v>2507.536105110567</v>
      </c>
      <c r="I163" s="12">
        <f t="shared" si="47"/>
        <v>29088.607796993459</v>
      </c>
      <c r="K163">
        <f t="shared" si="49"/>
        <v>174000</v>
      </c>
      <c r="L163" s="12">
        <v>1607.2727514333246</v>
      </c>
      <c r="M163" s="12">
        <f t="shared" si="48"/>
        <v>1604.6787633002575</v>
      </c>
      <c r="N163" s="12">
        <f t="shared" si="50"/>
        <v>6.7287744344930127</v>
      </c>
      <c r="R163" s="2">
        <f t="shared" si="51"/>
        <v>0.45400478938078392</v>
      </c>
      <c r="V163">
        <v>161</v>
      </c>
      <c r="W163">
        <f t="shared" si="43"/>
        <v>0.46190816601279583</v>
      </c>
      <c r="X163">
        <f>SUM($W$3:W163)</f>
        <v>87.261420718195296</v>
      </c>
      <c r="Y163" s="4">
        <f t="shared" si="42"/>
        <v>0.54199640197636834</v>
      </c>
      <c r="AA163">
        <v>161</v>
      </c>
      <c r="AB163">
        <f t="shared" si="44"/>
        <v>0.46190816601279583</v>
      </c>
      <c r="AC163">
        <f>SUM($AB$3:AB163)</f>
        <v>84.065171289698327</v>
      </c>
      <c r="AD163" s="4">
        <f t="shared" si="45"/>
        <v>0.52214392105402685</v>
      </c>
    </row>
    <row r="164" spans="6:30" x14ac:dyDescent="0.25">
      <c r="F164">
        <v>176000</v>
      </c>
      <c r="G164" s="12">
        <v>2334.306395304558</v>
      </c>
      <c r="H164" s="12">
        <f t="shared" si="46"/>
        <v>2502.842412524044</v>
      </c>
      <c r="I164" s="12">
        <f t="shared" si="47"/>
        <v>28404.389100206878</v>
      </c>
      <c r="K164">
        <f t="shared" si="49"/>
        <v>176000</v>
      </c>
      <c r="L164" s="12">
        <v>1601.8448823396216</v>
      </c>
      <c r="M164" s="12">
        <f t="shared" si="48"/>
        <v>1599.3377337620343</v>
      </c>
      <c r="N164" s="12">
        <f t="shared" si="50"/>
        <v>6.2857939900978153</v>
      </c>
      <c r="R164" s="2">
        <f t="shared" si="51"/>
        <v>0.45726119990789504</v>
      </c>
      <c r="V164">
        <v>162</v>
      </c>
      <c r="W164">
        <f t="shared" si="43"/>
        <v>0.46147362320636687</v>
      </c>
      <c r="X164">
        <f>SUM($W$3:W164)</f>
        <v>87.72289434140167</v>
      </c>
      <c r="Y164" s="4">
        <f t="shared" si="42"/>
        <v>0.54149934778643005</v>
      </c>
      <c r="AA164">
        <v>162</v>
      </c>
      <c r="AB164">
        <f t="shared" si="44"/>
        <v>0.46147362320636687</v>
      </c>
      <c r="AC164">
        <f>SUM($AB$3:AB164)</f>
        <v>84.5266449129047</v>
      </c>
      <c r="AD164" s="4">
        <f t="shared" si="45"/>
        <v>0.52176941304262159</v>
      </c>
    </row>
    <row r="165" spans="6:30" x14ac:dyDescent="0.25">
      <c r="F165">
        <v>178000</v>
      </c>
      <c r="G165" s="12">
        <v>2331.6738804980423</v>
      </c>
      <c r="H165" s="12">
        <f t="shared" si="46"/>
        <v>2498.2103946692218</v>
      </c>
      <c r="I165" s="12">
        <f t="shared" si="47"/>
        <v>27734.410552287482</v>
      </c>
      <c r="K165">
        <f t="shared" si="49"/>
        <v>178000</v>
      </c>
      <c r="L165" s="12">
        <v>1596.4972083842831</v>
      </c>
      <c r="M165" s="12">
        <f t="shared" si="48"/>
        <v>1594.0745333104342</v>
      </c>
      <c r="N165" s="12">
        <f t="shared" si="50"/>
        <v>5.8693545134490153</v>
      </c>
      <c r="R165" s="2">
        <f t="shared" si="51"/>
        <v>0.46049355316930773</v>
      </c>
      <c r="V165">
        <v>163</v>
      </c>
      <c r="W165">
        <f t="shared" si="43"/>
        <v>0.46104215956010308</v>
      </c>
      <c r="X165">
        <f>SUM($W$3:W165)</f>
        <v>88.183936500961778</v>
      </c>
      <c r="Y165" s="4">
        <f t="shared" si="42"/>
        <v>0.5410057454046735</v>
      </c>
      <c r="AA165">
        <v>163</v>
      </c>
      <c r="AB165">
        <f t="shared" si="44"/>
        <v>0.46104215956010308</v>
      </c>
      <c r="AC165">
        <f>SUM($AB$3:AB165)</f>
        <v>84.987687072464809</v>
      </c>
      <c r="AD165" s="4">
        <f t="shared" si="45"/>
        <v>0.5213968532053056</v>
      </c>
    </row>
    <row r="166" spans="6:30" x14ac:dyDescent="0.25">
      <c r="F166">
        <v>180000</v>
      </c>
      <c r="G166" s="12">
        <v>2329.0835533241957</v>
      </c>
      <c r="H166" s="12">
        <f t="shared" si="46"/>
        <v>2493.6385616931711</v>
      </c>
      <c r="I166" s="12">
        <f t="shared" si="47"/>
        <v>27078.35077931358</v>
      </c>
      <c r="K166">
        <f t="shared" si="49"/>
        <v>180000</v>
      </c>
      <c r="L166" s="12">
        <v>1591.2276598572</v>
      </c>
      <c r="M166" s="12">
        <f t="shared" si="48"/>
        <v>1588.8871722637596</v>
      </c>
      <c r="N166" s="12">
        <f t="shared" si="50"/>
        <v>5.4778821750487028</v>
      </c>
      <c r="R166" s="2">
        <f t="shared" si="51"/>
        <v>0.46370227974368694</v>
      </c>
      <c r="V166">
        <v>164</v>
      </c>
      <c r="W166">
        <f t="shared" si="43"/>
        <v>0.46061373456428617</v>
      </c>
      <c r="X166">
        <f>SUM($W$3:W166)</f>
        <v>88.644550235526069</v>
      </c>
      <c r="Y166" s="4">
        <f t="shared" si="42"/>
        <v>0.54051555021662234</v>
      </c>
      <c r="AA166">
        <v>164</v>
      </c>
      <c r="AB166">
        <f t="shared" si="44"/>
        <v>0.46061373456428617</v>
      </c>
      <c r="AC166">
        <f>SUM($AB$3:AB166)</f>
        <v>85.448300807029099</v>
      </c>
      <c r="AD166" s="4">
        <f t="shared" si="45"/>
        <v>0.52102622443310431</v>
      </c>
    </row>
    <row r="167" spans="6:30" x14ac:dyDescent="0.25">
      <c r="F167">
        <v>182000</v>
      </c>
      <c r="G167" s="12">
        <v>2326.5342779423395</v>
      </c>
      <c r="H167" s="12">
        <f t="shared" si="46"/>
        <v>2489.1254757838997</v>
      </c>
      <c r="I167" s="12">
        <f t="shared" si="47"/>
        <v>26435.897615553367</v>
      </c>
      <c r="K167">
        <f t="shared" si="49"/>
        <v>182000</v>
      </c>
      <c r="L167" s="12">
        <v>1586.0342427615981</v>
      </c>
      <c r="M167" s="12">
        <f t="shared" si="48"/>
        <v>1583.7737331959866</v>
      </c>
      <c r="N167" s="12">
        <f t="shared" si="50"/>
        <v>5.1099034962212198</v>
      </c>
      <c r="R167" s="2">
        <f t="shared" si="51"/>
        <v>0.46688779801587699</v>
      </c>
      <c r="V167">
        <v>165</v>
      </c>
      <c r="W167">
        <f t="shared" si="43"/>
        <v>0.46018830848505954</v>
      </c>
      <c r="X167">
        <f>SUM($W$3:W167)</f>
        <v>89.104738544011127</v>
      </c>
      <c r="Y167" s="4">
        <f t="shared" si="42"/>
        <v>0.54002871844855227</v>
      </c>
      <c r="AA167">
        <v>165</v>
      </c>
      <c r="AB167">
        <f t="shared" si="44"/>
        <v>0.46018830848505954</v>
      </c>
      <c r="AC167">
        <f>SUM($AB$3:AB167)</f>
        <v>85.908489115514158</v>
      </c>
      <c r="AD167" s="4">
        <f t="shared" si="45"/>
        <v>0.5206575097909949</v>
      </c>
    </row>
    <row r="168" spans="6:30" x14ac:dyDescent="0.25">
      <c r="F168">
        <v>184000</v>
      </c>
      <c r="G168" s="12">
        <v>2324.0249611783329</v>
      </c>
      <c r="H168" s="12">
        <f t="shared" si="46"/>
        <v>2484.66974880412</v>
      </c>
      <c r="I168" s="12">
        <f t="shared" si="47"/>
        <v>25806.747791334241</v>
      </c>
      <c r="K168">
        <f t="shared" si="49"/>
        <v>184000</v>
      </c>
      <c r="L168" s="12">
        <v>1580.9150352469926</v>
      </c>
      <c r="M168" s="12">
        <f t="shared" si="48"/>
        <v>1578.7323675529487</v>
      </c>
      <c r="N168" s="12">
        <f t="shared" si="50"/>
        <v>4.76403826262273</v>
      </c>
      <c r="R168" s="2">
        <f t="shared" si="51"/>
        <v>0.47005051464719694</v>
      </c>
      <c r="V168">
        <v>166</v>
      </c>
      <c r="W168">
        <f t="shared" si="43"/>
        <v>0.45976584234497136</v>
      </c>
      <c r="X168">
        <f>SUM($W$3:W168)</f>
        <v>89.564504386356091</v>
      </c>
      <c r="Y168" s="4">
        <f t="shared" si="42"/>
        <v>0.53954520714672349</v>
      </c>
      <c r="AA168">
        <v>166</v>
      </c>
      <c r="AB168">
        <f t="shared" si="44"/>
        <v>0.45976584234497136</v>
      </c>
      <c r="AC168">
        <f>SUM($AB$3:AB168)</f>
        <v>86.368254957859122</v>
      </c>
      <c r="AD168" s="4">
        <f t="shared" si="45"/>
        <v>0.5202906925172236</v>
      </c>
    </row>
    <row r="169" spans="6:30" x14ac:dyDescent="0.25">
      <c r="F169">
        <v>186000</v>
      </c>
      <c r="G169" s="12">
        <v>2321.5545504780275</v>
      </c>
      <c r="H169" s="12">
        <f t="shared" si="46"/>
        <v>2480.2700400569961</v>
      </c>
      <c r="I169" s="12">
        <f t="shared" si="47"/>
        <v>25190.606632291681</v>
      </c>
      <c r="K169">
        <f t="shared" si="49"/>
        <v>186000</v>
      </c>
      <c r="L169" s="12">
        <v>1575.8681842469346</v>
      </c>
      <c r="M169" s="12">
        <f t="shared" si="48"/>
        <v>1573.7612924618061</v>
      </c>
      <c r="N169" s="12">
        <f t="shared" si="50"/>
        <v>4.4389929942418824</v>
      </c>
      <c r="R169" s="2">
        <f t="shared" si="51"/>
        <v>0.47319082502286602</v>
      </c>
      <c r="V169">
        <v>167</v>
      </c>
      <c r="W169">
        <f t="shared" si="43"/>
        <v>0.45934629790412179</v>
      </c>
      <c r="X169">
        <f>SUM($W$3:W169)</f>
        <v>90.023850684260211</v>
      </c>
      <c r="Y169" s="4">
        <f t="shared" si="42"/>
        <v>0.53906497415724675</v>
      </c>
      <c r="AA169">
        <v>167</v>
      </c>
      <c r="AB169">
        <f t="shared" si="44"/>
        <v>0.45934629790412179</v>
      </c>
      <c r="AC169">
        <f>SUM($AB$3:AB169)</f>
        <v>86.827601255763241</v>
      </c>
      <c r="AD169" s="4">
        <f t="shared" si="45"/>
        <v>0.51992575602253432</v>
      </c>
    </row>
    <row r="170" spans="6:30" x14ac:dyDescent="0.25">
      <c r="F170">
        <v>188000</v>
      </c>
      <c r="G170" s="12">
        <v>2319.1220319797235</v>
      </c>
      <c r="H170" s="12">
        <f t="shared" si="46"/>
        <v>2475.9250541751885</v>
      </c>
      <c r="I170" s="12">
        <f t="shared" si="47"/>
        <v>24587.187769631495</v>
      </c>
      <c r="K170">
        <f t="shared" si="49"/>
        <v>188000</v>
      </c>
      <c r="L170" s="12">
        <v>1570.8919023077253</v>
      </c>
      <c r="M170" s="12">
        <f t="shared" si="48"/>
        <v>1568.8587877208065</v>
      </c>
      <c r="N170" s="12">
        <f t="shared" si="50"/>
        <v>4.133554923542115</v>
      </c>
      <c r="R170" s="2">
        <f t="shared" si="51"/>
        <v>0.47630911367790962</v>
      </c>
      <c r="V170">
        <v>168</v>
      </c>
      <c r="W170">
        <f t="shared" si="43"/>
        <v>0.45892963764188777</v>
      </c>
      <c r="X170">
        <f>SUM($W$3:W170)</f>
        <v>90.482780321902098</v>
      </c>
      <c r="Y170" s="4">
        <f t="shared" si="42"/>
        <v>0.53858797810656012</v>
      </c>
      <c r="AA170">
        <v>168</v>
      </c>
      <c r="AB170">
        <f t="shared" si="44"/>
        <v>0.45892963764188777</v>
      </c>
      <c r="AC170">
        <f>SUM($AB$3:AB170)</f>
        <v>87.286530893405128</v>
      </c>
      <c r="AD170" s="4">
        <f t="shared" si="45"/>
        <v>0.51956268388931626</v>
      </c>
    </row>
    <row r="171" spans="6:30" x14ac:dyDescent="0.25">
      <c r="F171">
        <v>190000</v>
      </c>
      <c r="G171" s="12">
        <v>2316.726428697491</v>
      </c>
      <c r="H171" s="12">
        <f t="shared" si="46"/>
        <v>2471.63353912516</v>
      </c>
      <c r="I171" s="12">
        <f t="shared" si="47"/>
        <v>23996.212861050059</v>
      </c>
      <c r="K171">
        <f t="shared" si="49"/>
        <v>190000</v>
      </c>
      <c r="L171" s="12">
        <v>1565.9844645953515</v>
      </c>
      <c r="M171" s="12">
        <f t="shared" si="48"/>
        <v>1564.023192957367</v>
      </c>
      <c r="N171" s="12">
        <f t="shared" si="50"/>
        <v>3.8465864379624417</v>
      </c>
      <c r="R171" s="2">
        <f t="shared" si="51"/>
        <v>0.47940575470276481</v>
      </c>
      <c r="V171">
        <v>169</v>
      </c>
      <c r="W171">
        <f t="shared" si="43"/>
        <v>0.4585158247392071</v>
      </c>
      <c r="X171">
        <f>SUM($W$3:W171)</f>
        <v>90.941296146641307</v>
      </c>
      <c r="Y171" s="4">
        <f t="shared" si="42"/>
        <v>0.53811417838249298</v>
      </c>
      <c r="AA171">
        <v>169</v>
      </c>
      <c r="AB171">
        <f t="shared" si="44"/>
        <v>0.4585158247392071</v>
      </c>
      <c r="AC171">
        <f>SUM($AB$3:AB171)</f>
        <v>87.745046718144337</v>
      </c>
      <c r="AD171" s="4">
        <f t="shared" si="45"/>
        <v>0.51920145987067656</v>
      </c>
    </row>
    <row r="172" spans="6:30" x14ac:dyDescent="0.25">
      <c r="F172">
        <v>192000</v>
      </c>
      <c r="G172" s="12">
        <v>2314.3667988079242</v>
      </c>
      <c r="H172" s="12">
        <f t="shared" si="46"/>
        <v>2467.3942843192995</v>
      </c>
      <c r="I172" s="12">
        <f t="shared" si="47"/>
        <v>23417.411321934174</v>
      </c>
      <c r="K172">
        <f t="shared" si="49"/>
        <v>192000</v>
      </c>
      <c r="L172" s="12">
        <v>1561.1442060688626</v>
      </c>
      <c r="M172" s="12">
        <f t="shared" si="48"/>
        <v>1559.2529049433851</v>
      </c>
      <c r="N172" s="12">
        <f t="shared" si="50"/>
        <v>3.5770199472321251</v>
      </c>
      <c r="R172" s="2">
        <f t="shared" si="51"/>
        <v>0.48248111212977629</v>
      </c>
      <c r="V172">
        <v>170</v>
      </c>
      <c r="W172">
        <f t="shared" si="43"/>
        <v>0.45810482306140121</v>
      </c>
      <c r="X172">
        <f>SUM($W$3:W172)</f>
        <v>91.399400969702711</v>
      </c>
      <c r="Y172" s="4">
        <f t="shared" si="42"/>
        <v>0.53764353511589835</v>
      </c>
      <c r="AA172">
        <v>170</v>
      </c>
      <c r="AB172">
        <f t="shared" si="44"/>
        <v>0.45810482306140121</v>
      </c>
      <c r="AC172">
        <f>SUM($AB$3:AB172)</f>
        <v>88.203151541205742</v>
      </c>
      <c r="AD172" s="4">
        <f t="shared" si="45"/>
        <v>0.51884206788944554</v>
      </c>
    </row>
    <row r="173" spans="6:30" x14ac:dyDescent="0.25">
      <c r="F173">
        <v>194000</v>
      </c>
      <c r="G173" s="12">
        <v>2312.0422340333976</v>
      </c>
      <c r="H173" s="12">
        <f t="shared" ref="H173:H204" si="52">IF(F173&lt;$G$72,$D$64*(F173/$D$41)^-(1-$G$71), $D$64*($G$72/$D$41)^-(1-$G$71))</f>
        <v>2463.2061188289977</v>
      </c>
      <c r="I173" s="12">
        <f t="shared" ref="I173:I204" si="53">(H173-G173)^2</f>
        <v>22850.520066497458</v>
      </c>
      <c r="K173">
        <f t="shared" si="49"/>
        <v>194000</v>
      </c>
      <c r="L173" s="12">
        <v>1556.3695188093025</v>
      </c>
      <c r="M173" s="12">
        <f t="shared" si="48"/>
        <v>1554.5463750575614</v>
      </c>
      <c r="N173" s="12">
        <f t="shared" si="50"/>
        <v>3.3238531395126119</v>
      </c>
      <c r="R173" s="2">
        <f t="shared" si="51"/>
        <v>0.4855355403016508</v>
      </c>
      <c r="V173">
        <v>171</v>
      </c>
      <c r="W173">
        <f t="shared" si="43"/>
        <v>0.45769659714151567</v>
      </c>
      <c r="X173">
        <f>SUM($W$3:W173)</f>
        <v>91.857097566844232</v>
      </c>
      <c r="Y173" s="4">
        <f t="shared" si="42"/>
        <v>0.53717600916283181</v>
      </c>
      <c r="AA173">
        <v>171</v>
      </c>
      <c r="AB173">
        <f t="shared" si="44"/>
        <v>0.45769659714151567</v>
      </c>
      <c r="AC173">
        <f>SUM($AB$3:AB173)</f>
        <v>88.660848138347262</v>
      </c>
      <c r="AD173" s="4">
        <f t="shared" si="45"/>
        <v>0.51848449203711844</v>
      </c>
    </row>
    <row r="174" spans="6:30" x14ac:dyDescent="0.25">
      <c r="F174">
        <v>196000</v>
      </c>
      <c r="G174" s="12">
        <v>2309.7518581154827</v>
      </c>
      <c r="H174" s="12">
        <f t="shared" si="52"/>
        <v>2459.0679096922831</v>
      </c>
      <c r="I174" s="12">
        <f t="shared" si="53"/>
        <v>22295.283258485724</v>
      </c>
      <c r="K174">
        <f t="shared" si="49"/>
        <v>196000</v>
      </c>
      <c r="L174" s="12">
        <v>1551.6588494941409</v>
      </c>
      <c r="M174" s="12">
        <f t="shared" si="48"/>
        <v>1549.9021068852448</v>
      </c>
      <c r="N174" s="12">
        <f t="shared" si="50"/>
        <v>3.0861445939108907</v>
      </c>
      <c r="R174" s="2">
        <f t="shared" si="51"/>
        <v>0.48856938422288443</v>
      </c>
      <c r="V174">
        <v>172</v>
      </c>
      <c r="W174">
        <f t="shared" si="43"/>
        <v>0.45729111216416246</v>
      </c>
      <c r="X174">
        <f>SUM($W$3:W174)</f>
        <v>92.314388679008388</v>
      </c>
      <c r="Y174" s="4">
        <f t="shared" si="42"/>
        <v>0.53671156208725812</v>
      </c>
      <c r="AA174">
        <v>172</v>
      </c>
      <c r="AB174">
        <f t="shared" si="44"/>
        <v>0.45729111216416246</v>
      </c>
      <c r="AC174">
        <f>SUM($AB$3:AB174)</f>
        <v>89.118139250511419</v>
      </c>
      <c r="AD174" s="4">
        <f t="shared" si="45"/>
        <v>0.51812871657274084</v>
      </c>
    </row>
    <row r="175" spans="6:30" x14ac:dyDescent="0.25">
      <c r="F175">
        <v>198000</v>
      </c>
      <c r="G175" s="12">
        <v>2307.4948253726052</v>
      </c>
      <c r="H175" s="12">
        <f t="shared" si="52"/>
        <v>2454.978560310115</v>
      </c>
      <c r="I175" s="12">
        <f t="shared" si="53"/>
        <v>21751.452071117645</v>
      </c>
      <c r="K175">
        <f t="shared" si="49"/>
        <v>198000</v>
      </c>
      <c r="L175" s="12">
        <v>1547.0106970078598</v>
      </c>
      <c r="M175" s="12">
        <f t="shared" si="48"/>
        <v>1545.3186539470405</v>
      </c>
      <c r="N175" s="12">
        <f t="shared" si="50"/>
        <v>2.8630097196667026</v>
      </c>
      <c r="R175" s="2">
        <f t="shared" si="51"/>
        <v>0.49158297989511679</v>
      </c>
      <c r="V175">
        <v>173</v>
      </c>
      <c r="W175">
        <f t="shared" si="43"/>
        <v>0.45688833394984268</v>
      </c>
      <c r="X175">
        <f>SUM($W$3:W175)</f>
        <v>92.771277012958237</v>
      </c>
      <c r="Y175" s="4">
        <f t="shared" si="42"/>
        <v>0.5362501561442673</v>
      </c>
      <c r="AA175">
        <v>173</v>
      </c>
      <c r="AB175">
        <f t="shared" si="44"/>
        <v>0.45688833394984268</v>
      </c>
      <c r="AC175">
        <f>SUM($AB$3:AB175)</f>
        <v>89.575027584461267</v>
      </c>
      <c r="AD175" s="4">
        <f t="shared" si="45"/>
        <v>0.51777472592174145</v>
      </c>
    </row>
    <row r="176" spans="6:30" x14ac:dyDescent="0.25">
      <c r="F176">
        <v>200000</v>
      </c>
      <c r="G176" s="12">
        <v>2305.2703193365232</v>
      </c>
      <c r="H176" s="12">
        <f t="shared" si="52"/>
        <v>2450.9370089258432</v>
      </c>
      <c r="I176" s="12">
        <f t="shared" si="53"/>
        <v>21218.784455911296</v>
      </c>
      <c r="K176">
        <f t="shared" si="49"/>
        <v>200000</v>
      </c>
      <c r="L176" s="12">
        <v>1542.4236101800877</v>
      </c>
      <c r="M176" s="12">
        <f t="shared" si="48"/>
        <v>1540.7946175480427</v>
      </c>
      <c r="N176" s="12">
        <f t="shared" si="50"/>
        <v>2.6536169952571678</v>
      </c>
      <c r="R176" s="2">
        <f t="shared" si="51"/>
        <v>0.49457665463728762</v>
      </c>
      <c r="V176">
        <v>174</v>
      </c>
      <c r="W176">
        <f t="shared" si="43"/>
        <v>0.45648822893973684</v>
      </c>
      <c r="X176">
        <f>SUM($W$3:W176)</f>
        <v>93.22776524189797</v>
      </c>
      <c r="Y176" s="4">
        <f t="shared" si="42"/>
        <v>0.53579175426378145</v>
      </c>
      <c r="AA176">
        <v>174</v>
      </c>
      <c r="AB176">
        <f t="shared" si="44"/>
        <v>0.45648822893973684</v>
      </c>
      <c r="AC176">
        <f>SUM($AB$3:AB176)</f>
        <v>90.031515813401001</v>
      </c>
      <c r="AD176" s="4">
        <f t="shared" si="45"/>
        <v>0.5174225046747184</v>
      </c>
    </row>
    <row r="177" spans="6:30" x14ac:dyDescent="0.25">
      <c r="F177">
        <v>202000</v>
      </c>
      <c r="G177" s="12">
        <v>2303.0775514625584</v>
      </c>
      <c r="H177" s="12">
        <f t="shared" si="52"/>
        <v>2446.9422271827311</v>
      </c>
      <c r="I177" s="12">
        <f t="shared" si="53"/>
        <v>20697.044920070457</v>
      </c>
      <c r="K177">
        <f t="shared" si="49"/>
        <v>202000</v>
      </c>
      <c r="L177" s="12">
        <v>1537.8961856432511</v>
      </c>
      <c r="M177" s="12">
        <f t="shared" si="48"/>
        <v>1536.3286447401545</v>
      </c>
      <c r="N177" s="12">
        <f t="shared" si="50"/>
        <v>2.4571844828810363</v>
      </c>
      <c r="R177" s="2">
        <f t="shared" si="51"/>
        <v>0.49755072739143125</v>
      </c>
      <c r="V177">
        <v>175</v>
      </c>
      <c r="W177">
        <f t="shared" si="43"/>
        <v>0.45609076418094185</v>
      </c>
      <c r="X177">
        <f>SUM($W$3:W177)</f>
        <v>93.683856006078912</v>
      </c>
      <c r="Y177" s="4">
        <f t="shared" si="42"/>
        <v>0.53533632003473663</v>
      </c>
      <c r="AA177">
        <v>175</v>
      </c>
      <c r="AB177">
        <f t="shared" si="44"/>
        <v>0.45609076418094185</v>
      </c>
      <c r="AC177">
        <f>SUM($AB$3:AB177)</f>
        <v>90.487606577581943</v>
      </c>
      <c r="AD177" s="4">
        <f t="shared" si="45"/>
        <v>0.51707203758618248</v>
      </c>
    </row>
    <row r="178" spans="6:30" x14ac:dyDescent="0.25">
      <c r="F178">
        <v>204000</v>
      </c>
      <c r="G178" s="12">
        <v>2300.9157599089103</v>
      </c>
      <c r="H178" s="12">
        <f t="shared" si="52"/>
        <v>2442.9932187548184</v>
      </c>
      <c r="I178" s="12">
        <f t="shared" si="53"/>
        <v>20186.004312110694</v>
      </c>
      <c r="K178">
        <f t="shared" si="49"/>
        <v>204000</v>
      </c>
      <c r="L178" s="12">
        <v>1533.4270658023181</v>
      </c>
      <c r="M178" s="12">
        <f t="shared" si="48"/>
        <v>1531.919426390496</v>
      </c>
      <c r="N178" s="12">
        <f t="shared" si="50"/>
        <v>2.2729765960792374</v>
      </c>
      <c r="R178" s="2">
        <f t="shared" si="51"/>
        <v>0.500505509014886</v>
      </c>
      <c r="V178">
        <v>176</v>
      </c>
      <c r="W178">
        <f t="shared" si="43"/>
        <v>0.45569590731214266</v>
      </c>
      <c r="X178">
        <f>SUM($W$3:W178)</f>
        <v>94.13955191339106</v>
      </c>
      <c r="Y178" s="4">
        <f t="shared" si="42"/>
        <v>0.53488381768972193</v>
      </c>
      <c r="AA178">
        <v>176</v>
      </c>
      <c r="AB178">
        <f t="shared" si="44"/>
        <v>0.45569590731214266</v>
      </c>
      <c r="AC178">
        <f>SUM($AB$3:AB178)</f>
        <v>90.94330248489409</v>
      </c>
      <c r="AD178" s="4">
        <f t="shared" si="45"/>
        <v>0.51672330957326185</v>
      </c>
    </row>
    <row r="179" spans="6:30" x14ac:dyDescent="0.25">
      <c r="F179">
        <v>206000</v>
      </c>
      <c r="G179" s="12">
        <v>2298.784208380715</v>
      </c>
      <c r="H179" s="12">
        <f t="shared" si="52"/>
        <v>2439.0890180467004</v>
      </c>
      <c r="I179" s="12">
        <f t="shared" si="53"/>
        <v>19685.439615408399</v>
      </c>
      <c r="K179">
        <f t="shared" si="49"/>
        <v>206000</v>
      </c>
      <c r="L179" s="12">
        <v>1529.0149369097448</v>
      </c>
      <c r="M179" s="12">
        <f t="shared" si="48"/>
        <v>1527.5656953493933</v>
      </c>
      <c r="N179" s="12">
        <f t="shared" si="50"/>
        <v>2.1003011002501615</v>
      </c>
      <c r="R179" s="2">
        <f t="shared" si="51"/>
        <v>0.50344130255962849</v>
      </c>
      <c r="V179">
        <v>177</v>
      </c>
      <c r="W179">
        <f t="shared" si="43"/>
        <v>0.45530362654970141</v>
      </c>
      <c r="X179">
        <f>SUM($W$3:W179)</f>
        <v>94.594855539940767</v>
      </c>
      <c r="Y179" s="4">
        <f t="shared" si="42"/>
        <v>0.53443421209006081</v>
      </c>
      <c r="AA179">
        <v>177</v>
      </c>
      <c r="AB179">
        <f t="shared" si="44"/>
        <v>0.45530362654970141</v>
      </c>
      <c r="AC179">
        <f>SUM($AB$3:AB179)</f>
        <v>91.398606111443797</v>
      </c>
      <c r="AD179" s="4">
        <f t="shared" si="45"/>
        <v>0.51637630571437176</v>
      </c>
    </row>
    <row r="180" spans="6:30" x14ac:dyDescent="0.25">
      <c r="F180">
        <v>208000</v>
      </c>
      <c r="G180" s="12">
        <v>2296.6821850348338</v>
      </c>
      <c r="H180" s="12">
        <f t="shared" si="52"/>
        <v>2435.2286889581346</v>
      </c>
      <c r="I180" s="12">
        <f t="shared" si="53"/>
        <v>19195.133749369223</v>
      </c>
      <c r="K180">
        <f t="shared" si="49"/>
        <v>208000</v>
      </c>
      <c r="L180" s="12">
        <v>1524.6585272391894</v>
      </c>
      <c r="M180" s="12">
        <f t="shared" si="48"/>
        <v>1523.2662247119038</v>
      </c>
      <c r="N180" s="12">
        <f t="shared" si="50"/>
        <v>1.9385063274860495</v>
      </c>
      <c r="R180" s="2">
        <f t="shared" si="51"/>
        <v>0.5063584035394495</v>
      </c>
      <c r="V180">
        <v>178</v>
      </c>
      <c r="W180">
        <f t="shared" si="43"/>
        <v>0.4549138906741505</v>
      </c>
      <c r="X180">
        <f>SUM($W$3:W180)</f>
        <v>95.049769430614916</v>
      </c>
      <c r="Y180" s="4">
        <f t="shared" si="42"/>
        <v>0.53398746871131975</v>
      </c>
      <c r="AA180">
        <v>178</v>
      </c>
      <c r="AB180">
        <f t="shared" si="44"/>
        <v>0.4549138906741505</v>
      </c>
      <c r="AC180">
        <f>SUM($AB$3:AB180)</f>
        <v>91.853520002117946</v>
      </c>
      <c r="AD180" s="4">
        <f t="shared" si="45"/>
        <v>0.51603101124785367</v>
      </c>
    </row>
    <row r="181" spans="6:30" x14ac:dyDescent="0.25">
      <c r="F181">
        <v>210000</v>
      </c>
      <c r="G181" s="12">
        <v>2294.6090014416041</v>
      </c>
      <c r="H181" s="12">
        <f t="shared" si="52"/>
        <v>2431.4113237096562</v>
      </c>
      <c r="I181" s="12">
        <f t="shared" si="53"/>
        <v>18714.87537793201</v>
      </c>
      <c r="K181">
        <f t="shared" si="49"/>
        <v>210000</v>
      </c>
      <c r="L181" s="12">
        <v>1520.356605352049</v>
      </c>
      <c r="M181" s="12">
        <f t="shared" si="48"/>
        <v>1519.0198261672624</v>
      </c>
      <c r="N181" s="12">
        <f t="shared" si="50"/>
        <v>1.7869785888786325</v>
      </c>
      <c r="R181" s="2">
        <f t="shared" si="51"/>
        <v>0.50925710018556569</v>
      </c>
      <c r="V181">
        <v>179</v>
      </c>
      <c r="W181">
        <f t="shared" si="43"/>
        <v>0.45452666901707461</v>
      </c>
      <c r="X181">
        <f>SUM($W$3:W181)</f>
        <v>95.504296099631986</v>
      </c>
      <c r="Y181" s="4">
        <f t="shared" si="42"/>
        <v>0.53354355362922901</v>
      </c>
      <c r="AA181">
        <v>179</v>
      </c>
      <c r="AB181">
        <f t="shared" si="44"/>
        <v>0.45452666901707461</v>
      </c>
      <c r="AC181">
        <f>SUM($AB$3:AB181)</f>
        <v>92.308046671135017</v>
      </c>
      <c r="AD181" s="4">
        <f t="shared" si="45"/>
        <v>0.51568741157058673</v>
      </c>
    </row>
    <row r="182" spans="6:30" x14ac:dyDescent="0.25">
      <c r="F182">
        <v>212000</v>
      </c>
      <c r="G182" s="12">
        <v>2292.5639916001114</v>
      </c>
      <c r="H182" s="12">
        <f t="shared" si="52"/>
        <v>2427.6360417256187</v>
      </c>
      <c r="I182" s="12">
        <f t="shared" si="53"/>
        <v>18244.458725107557</v>
      </c>
      <c r="K182">
        <f t="shared" si="49"/>
        <v>212000</v>
      </c>
      <c r="L182" s="12">
        <v>1516.1079784512538</v>
      </c>
      <c r="M182" s="12">
        <f t="shared" si="48"/>
        <v>1514.8253484309969</v>
      </c>
      <c r="N182" s="12">
        <f t="shared" si="50"/>
        <v>1.6451397688641505</v>
      </c>
      <c r="R182" s="2">
        <f t="shared" si="51"/>
        <v>0.51213767369130858</v>
      </c>
      <c r="V182">
        <v>180</v>
      </c>
      <c r="W182">
        <f t="shared" si="43"/>
        <v>0.45414193144837023</v>
      </c>
      <c r="X182">
        <f>SUM($W$3:W182)</f>
        <v>95.958438031080362</v>
      </c>
      <c r="Y182" s="4">
        <f t="shared" ref="Y182:Y245" si="54">X182/V182</f>
        <v>0.53310243350600206</v>
      </c>
      <c r="AA182">
        <v>180</v>
      </c>
      <c r="AB182">
        <f t="shared" si="44"/>
        <v>0.45414193144837023</v>
      </c>
      <c r="AC182">
        <f>SUM($AB$3:AB182)</f>
        <v>92.762188602583393</v>
      </c>
      <c r="AD182" s="4">
        <f t="shared" si="45"/>
        <v>0.51534549223657444</v>
      </c>
    </row>
    <row r="183" spans="6:30" x14ac:dyDescent="0.25">
      <c r="F183">
        <v>214000</v>
      </c>
      <c r="G183" s="12">
        <v>2290.5465110037194</v>
      </c>
      <c r="H183" s="12">
        <f t="shared" si="52"/>
        <v>2423.9019885713674</v>
      </c>
      <c r="I183" s="12">
        <f t="shared" si="53"/>
        <v>17783.683397295466</v>
      </c>
      <c r="K183">
        <f t="shared" si="49"/>
        <v>214000</v>
      </c>
      <c r="L183" s="12">
        <v>1511.9114908171543</v>
      </c>
      <c r="M183" s="12">
        <f t="shared" si="48"/>
        <v>1510.6816757548511</v>
      </c>
      <c r="N183" s="12">
        <f t="shared" si="50"/>
        <v>1.5124450874679707</v>
      </c>
      <c r="R183" s="2">
        <f t="shared" si="51"/>
        <v>0.51500039844642642</v>
      </c>
      <c r="V183">
        <v>181</v>
      </c>
      <c r="W183">
        <f t="shared" si="43"/>
        <v>0.45375964836386767</v>
      </c>
      <c r="X183">
        <f>SUM($W$3:W183)</f>
        <v>96.412197679444233</v>
      </c>
      <c r="Y183" s="4">
        <f t="shared" si="54"/>
        <v>0.53266407557703999</v>
      </c>
      <c r="AA183">
        <v>181</v>
      </c>
      <c r="AB183">
        <f t="shared" si="44"/>
        <v>0.45375964836386767</v>
      </c>
      <c r="AC183">
        <f>SUM($AB$3:AB183)</f>
        <v>93.215948250947264</v>
      </c>
      <c r="AD183" s="4">
        <f t="shared" si="45"/>
        <v>0.51500523895550976</v>
      </c>
    </row>
    <row r="184" spans="6:30" x14ac:dyDescent="0.25">
      <c r="F184">
        <v>216000</v>
      </c>
      <c r="G184" s="12">
        <v>2288.5559357528668</v>
      </c>
      <c r="H184" s="12">
        <f t="shared" si="52"/>
        <v>2420.208334941427</v>
      </c>
      <c r="I184" s="12">
        <f t="shared" si="53"/>
        <v>17332.35421210399</v>
      </c>
      <c r="K184">
        <f t="shared" si="49"/>
        <v>216000</v>
      </c>
      <c r="L184" s="12">
        <v>1507.7660223206835</v>
      </c>
      <c r="M184" s="12">
        <f t="shared" si="48"/>
        <v>1506.5877265099539</v>
      </c>
      <c r="N184" s="12">
        <f t="shared" si="50"/>
        <v>1.3883810175830451</v>
      </c>
      <c r="R184" s="2">
        <f t="shared" si="51"/>
        <v>0.51784554226154245</v>
      </c>
      <c r="V184">
        <v>182</v>
      </c>
      <c r="W184">
        <f t="shared" si="43"/>
        <v>0.45337979067330481</v>
      </c>
      <c r="X184">
        <f>SUM($W$3:W184)</f>
        <v>96.865577470117543</v>
      </c>
      <c r="Y184" s="4">
        <f t="shared" si="54"/>
        <v>0.53222844763800847</v>
      </c>
      <c r="AA184">
        <v>182</v>
      </c>
      <c r="AB184">
        <f t="shared" si="44"/>
        <v>0.45337979067330481</v>
      </c>
      <c r="AC184">
        <f>SUM($AB$3:AB184)</f>
        <v>93.669328041620574</v>
      </c>
      <c r="AD184" s="4">
        <f t="shared" si="45"/>
        <v>0.51466663759132181</v>
      </c>
    </row>
    <row r="185" spans="6:30" x14ac:dyDescent="0.25">
      <c r="F185">
        <v>218000</v>
      </c>
      <c r="G185" s="12">
        <v>2286.5916617123198</v>
      </c>
      <c r="H185" s="12">
        <f t="shared" si="52"/>
        <v>2416.5542756958052</v>
      </c>
      <c r="I185" s="12">
        <f t="shared" si="53"/>
        <v>16890.281033420441</v>
      </c>
      <c r="K185">
        <f t="shared" si="49"/>
        <v>218000</v>
      </c>
      <c r="L185" s="12">
        <v>1503.6704870092931</v>
      </c>
      <c r="M185" s="12">
        <f t="shared" si="48"/>
        <v>1502.5424518390053</v>
      </c>
      <c r="N185" s="12">
        <f t="shared" si="50"/>
        <v>1.272463345406295</v>
      </c>
      <c r="R185" s="2">
        <f t="shared" si="51"/>
        <v>0.52067336658326524</v>
      </c>
      <c r="V185">
        <v>183</v>
      </c>
      <c r="W185">
        <f t="shared" si="43"/>
        <v>0.4530023297886398</v>
      </c>
      <c r="X185">
        <f>SUM($W$3:W185)</f>
        <v>97.318579799906189</v>
      </c>
      <c r="Y185" s="4">
        <f t="shared" si="54"/>
        <v>0.53179551803227421</v>
      </c>
      <c r="AA185">
        <v>183</v>
      </c>
      <c r="AB185">
        <f t="shared" si="44"/>
        <v>0.4530023297886398</v>
      </c>
      <c r="AC185">
        <f>SUM($AB$3:AB185)</f>
        <v>94.12233037140922</v>
      </c>
      <c r="AD185" s="4">
        <f t="shared" si="45"/>
        <v>0.51432967416070607</v>
      </c>
    </row>
    <row r="186" spans="6:30" x14ac:dyDescent="0.25">
      <c r="F186">
        <v>220000</v>
      </c>
      <c r="G186" s="12">
        <v>2284.6531037102677</v>
      </c>
      <c r="H186" s="12">
        <f t="shared" si="52"/>
        <v>2412.9390289417197</v>
      </c>
      <c r="I186" s="12">
        <f t="shared" si="53"/>
        <v>16457.278612489688</v>
      </c>
      <c r="K186">
        <f t="shared" si="49"/>
        <v>220000</v>
      </c>
      <c r="L186" s="12">
        <v>1499.6238317614734</v>
      </c>
      <c r="M186" s="12">
        <f t="shared" si="48"/>
        <v>1498.5448343735075</v>
      </c>
      <c r="N186" s="12">
        <f t="shared" si="50"/>
        <v>1.1642353632373548</v>
      </c>
      <c r="R186" s="2">
        <f t="shared" si="51"/>
        <v>0.52348412670042133</v>
      </c>
      <c r="V186">
        <v>184</v>
      </c>
      <c r="W186">
        <f t="shared" si="43"/>
        <v>0.45262723761269247</v>
      </c>
      <c r="X186">
        <f>SUM($W$3:W186)</f>
        <v>97.771207037518877</v>
      </c>
      <c r="Y186" s="4">
        <f t="shared" si="54"/>
        <v>0.53136525563868953</v>
      </c>
      <c r="AA186">
        <v>184</v>
      </c>
      <c r="AB186">
        <f t="shared" si="44"/>
        <v>0.45262723761269247</v>
      </c>
      <c r="AC186">
        <f>SUM($AB$3:AB186)</f>
        <v>94.574957609021908</v>
      </c>
      <c r="AD186" s="4">
        <f t="shared" si="45"/>
        <v>0.51399433483164081</v>
      </c>
    </row>
    <row r="187" spans="6:30" x14ac:dyDescent="0.25">
      <c r="F187">
        <v>222000</v>
      </c>
      <c r="G187" s="12">
        <v>2282.7396947768298</v>
      </c>
      <c r="H187" s="12">
        <f t="shared" si="52"/>
        <v>2409.3618351582013</v>
      </c>
      <c r="I187" s="12">
        <f t="shared" si="53"/>
        <v>16033.16643475976</v>
      </c>
      <c r="K187">
        <f t="shared" si="49"/>
        <v>222000</v>
      </c>
      <c r="L187" s="12">
        <v>1495.6250350059461</v>
      </c>
      <c r="M187" s="12">
        <f t="shared" si="48"/>
        <v>1494.5938870123496</v>
      </c>
      <c r="N187" s="12">
        <f t="shared" si="50"/>
        <v>1.0632661846980986</v>
      </c>
      <c r="R187" s="2">
        <f t="shared" si="51"/>
        <v>0.52627807194184495</v>
      </c>
      <c r="V187">
        <v>185</v>
      </c>
      <c r="W187">
        <f t="shared" si="43"/>
        <v>0.45225448652810213</v>
      </c>
      <c r="X187">
        <f>SUM($W$3:W187)</f>
        <v>98.223461524046982</v>
      </c>
      <c r="Y187" s="4">
        <f t="shared" si="54"/>
        <v>0.53093762985971338</v>
      </c>
      <c r="AA187">
        <v>185</v>
      </c>
      <c r="AB187">
        <f t="shared" si="44"/>
        <v>0.45225448652810213</v>
      </c>
      <c r="AC187">
        <f>SUM($AB$3:AB187)</f>
        <v>95.027212095550013</v>
      </c>
      <c r="AD187" s="4">
        <f t="shared" si="45"/>
        <v>0.513660605921892</v>
      </c>
    </row>
    <row r="188" spans="6:30" x14ac:dyDescent="0.25">
      <c r="F188">
        <v>224000</v>
      </c>
      <c r="G188" s="12">
        <v>2280.8508854196848</v>
      </c>
      <c r="H188" s="12">
        <f t="shared" si="52"/>
        <v>2405.8219563612138</v>
      </c>
      <c r="I188" s="12">
        <f t="shared" si="53"/>
        <v>15617.768572272669</v>
      </c>
      <c r="K188">
        <f t="shared" si="49"/>
        <v>224000</v>
      </c>
      <c r="L188" s="12">
        <v>1491.6731055018572</v>
      </c>
      <c r="M188" s="12">
        <f t="shared" si="48"/>
        <v>1490.6886517582861</v>
      </c>
      <c r="N188" s="12">
        <f t="shared" si="50"/>
        <v>0.96914917323108674</v>
      </c>
      <c r="R188" s="2">
        <f t="shared" si="51"/>
        <v>0.5290554458661485</v>
      </c>
      <c r="V188">
        <v>186</v>
      </c>
      <c r="W188">
        <f t="shared" si="43"/>
        <v>0.4518840493865921</v>
      </c>
      <c r="X188">
        <f>SUM($W$3:W188)</f>
        <v>98.675345573433574</v>
      </c>
      <c r="Y188" s="4">
        <f t="shared" si="54"/>
        <v>0.53051261060985788</v>
      </c>
      <c r="AA188">
        <v>186</v>
      </c>
      <c r="AB188">
        <f t="shared" si="44"/>
        <v>0.4518840493865921</v>
      </c>
      <c r="AC188">
        <f>SUM($AB$3:AB188)</f>
        <v>95.479096144936605</v>
      </c>
      <c r="AD188" s="4">
        <f t="shared" si="45"/>
        <v>0.51332847389750857</v>
      </c>
    </row>
    <row r="189" spans="6:30" x14ac:dyDescent="0.25">
      <c r="F189">
        <v>226000</v>
      </c>
      <c r="G189" s="12">
        <v>2278.9861429347179</v>
      </c>
      <c r="H189" s="12">
        <f t="shared" si="52"/>
        <v>2402.3186753070727</v>
      </c>
      <c r="I189" s="12">
        <f t="shared" si="53"/>
        <v>15210.913541377935</v>
      </c>
      <c r="K189">
        <f t="shared" si="49"/>
        <v>226000</v>
      </c>
      <c r="L189" s="12">
        <v>1487.7670811765574</v>
      </c>
      <c r="M189" s="12">
        <f t="shared" si="48"/>
        <v>1486.8281986090738</v>
      </c>
      <c r="N189" s="12">
        <f t="shared" si="50"/>
        <v>0.88150047552476207</v>
      </c>
      <c r="R189" s="2">
        <f t="shared" si="51"/>
        <v>0.53181648644386437</v>
      </c>
      <c r="V189">
        <v>187</v>
      </c>
      <c r="W189">
        <f t="shared" si="43"/>
        <v>0.4515158994985311</v>
      </c>
      <c r="X189">
        <f>SUM($W$3:W189)</f>
        <v>99.126861472932106</v>
      </c>
      <c r="Y189" s="4">
        <f t="shared" si="54"/>
        <v>0.53009016830444977</v>
      </c>
      <c r="AA189">
        <v>187</v>
      </c>
      <c r="AB189">
        <f t="shared" si="44"/>
        <v>0.4515158994985311</v>
      </c>
      <c r="AC189">
        <f>SUM($AB$3:AB189)</f>
        <v>95.930612044435136</v>
      </c>
      <c r="AD189" s="4">
        <f t="shared" si="45"/>
        <v>0.51299792537131084</v>
      </c>
    </row>
    <row r="190" spans="6:30" x14ac:dyDescent="0.25">
      <c r="F190">
        <v>228000</v>
      </c>
      <c r="G190" s="12">
        <v>2277.1449507496873</v>
      </c>
      <c r="H190" s="12">
        <f t="shared" si="52"/>
        <v>2398.8512947320737</v>
      </c>
      <c r="I190" s="12">
        <f t="shared" si="53"/>
        <v>14812.434165558972</v>
      </c>
      <c r="K190">
        <f t="shared" si="49"/>
        <v>228000</v>
      </c>
      <c r="L190" s="12">
        <v>1483.9060280177664</v>
      </c>
      <c r="M190" s="12">
        <f t="shared" si="48"/>
        <v>1483.0116245002446</v>
      </c>
      <c r="N190" s="12">
        <f t="shared" si="50"/>
        <v>0.79995765215541037</v>
      </c>
      <c r="R190" s="2">
        <f t="shared" si="51"/>
        <v>0.53456142623232439</v>
      </c>
      <c r="V190">
        <v>188</v>
      </c>
      <c r="W190">
        <f t="shared" si="43"/>
        <v>0.45115001062278054</v>
      </c>
      <c r="X190">
        <f>SUM($W$3:W190)</f>
        <v>99.578011483554889</v>
      </c>
      <c r="Y190" s="4">
        <f t="shared" si="54"/>
        <v>0.52967027384869625</v>
      </c>
      <c r="AA190">
        <v>188</v>
      </c>
      <c r="AB190">
        <f t="shared" si="44"/>
        <v>0.45115001062278054</v>
      </c>
      <c r="AC190">
        <f>SUM($AB$3:AB190)</f>
        <v>96.381762055057919</v>
      </c>
      <c r="AD190" s="4">
        <f t="shared" si="45"/>
        <v>0.5126689471013719</v>
      </c>
    </row>
    <row r="191" spans="6:30" x14ac:dyDescent="0.25">
      <c r="F191">
        <v>230000</v>
      </c>
      <c r="G191" s="12">
        <v>2275.3268077990492</v>
      </c>
      <c r="H191" s="12">
        <f t="shared" si="52"/>
        <v>2395.419136626399</v>
      </c>
      <c r="I191" s="12">
        <f t="shared" si="53"/>
        <v>14422.167443176306</v>
      </c>
      <c r="K191">
        <f t="shared" si="49"/>
        <v>230000</v>
      </c>
      <c r="L191" s="12">
        <v>1480.089039017121</v>
      </c>
      <c r="M191" s="12">
        <f t="shared" si="48"/>
        <v>1479.2380522966748</v>
      </c>
      <c r="N191" s="12">
        <f t="shared" si="50"/>
        <v>0.72417839837568421</v>
      </c>
      <c r="R191" s="2">
        <f t="shared" si="51"/>
        <v>0.53729049254362415</v>
      </c>
      <c r="V191">
        <v>189</v>
      </c>
      <c r="W191">
        <f t="shared" si="43"/>
        <v>0.45078635695681996</v>
      </c>
      <c r="X191">
        <f>SUM($W$3:W191)</f>
        <v>100.02879784051171</v>
      </c>
      <c r="Y191" s="4">
        <f t="shared" si="54"/>
        <v>0.52925289862704605</v>
      </c>
      <c r="AA191">
        <v>189</v>
      </c>
      <c r="AB191">
        <f t="shared" si="44"/>
        <v>0.45078635695681996</v>
      </c>
      <c r="AC191">
        <f>SUM($AB$3:AB191)</f>
        <v>96.832548412014745</v>
      </c>
      <c r="AD191" s="4">
        <f t="shared" si="45"/>
        <v>0.512341525989496</v>
      </c>
    </row>
    <row r="192" spans="6:30" x14ac:dyDescent="0.25">
      <c r="F192">
        <v>232000</v>
      </c>
      <c r="G192" s="12">
        <v>2273.5312279282257</v>
      </c>
      <c r="H192" s="12">
        <f t="shared" si="52"/>
        <v>2392.0215415404577</v>
      </c>
      <c r="I192" s="12">
        <f t="shared" si="53"/>
        <v>14039.954419925105</v>
      </c>
      <c r="K192">
        <f t="shared" si="49"/>
        <v>232000</v>
      </c>
      <c r="L192" s="12">
        <v>1476.3152331622982</v>
      </c>
      <c r="M192" s="12">
        <f t="shared" si="48"/>
        <v>1475.5066298303047</v>
      </c>
      <c r="N192" s="12">
        <f t="shared" si="50"/>
        <v>0.65383934851096015</v>
      </c>
      <c r="R192" s="2">
        <f t="shared" si="51"/>
        <v>0.54000390760601591</v>
      </c>
      <c r="V192">
        <v>190</v>
      </c>
      <c r="W192">
        <f t="shared" si="43"/>
        <v>0.4504249131271405</v>
      </c>
      <c r="X192">
        <f>SUM($W$3:W192)</f>
        <v>100.47922275363885</v>
      </c>
      <c r="Y192" s="4">
        <f t="shared" si="54"/>
        <v>0.52883801449283607</v>
      </c>
      <c r="AA192">
        <v>190</v>
      </c>
      <c r="AB192">
        <f t="shared" si="44"/>
        <v>0.4504249131271405</v>
      </c>
      <c r="AC192">
        <f>SUM($AB$3:AB192)</f>
        <v>97.282973325141882</v>
      </c>
      <c r="AD192" s="4">
        <f t="shared" si="45"/>
        <v>0.5120156490796941</v>
      </c>
    </row>
    <row r="193" spans="6:30" x14ac:dyDescent="0.25">
      <c r="F193">
        <v>234000</v>
      </c>
      <c r="G193" s="12">
        <v>2271.7577393256615</v>
      </c>
      <c r="H193" s="12">
        <f t="shared" si="52"/>
        <v>2388.6578679219569</v>
      </c>
      <c r="I193" s="12">
        <f t="shared" si="53"/>
        <v>13665.640065830405</v>
      </c>
      <c r="K193">
        <f t="shared" si="49"/>
        <v>234000</v>
      </c>
      <c r="L193" s="12">
        <v>1472.5837544750955</v>
      </c>
      <c r="M193" s="12">
        <f t="shared" si="48"/>
        <v>1471.8165289815088</v>
      </c>
      <c r="N193" s="12">
        <f t="shared" si="50"/>
        <v>0.58863495800934484</v>
      </c>
      <c r="R193" s="2">
        <f t="shared" si="51"/>
        <v>0.54270188871901048</v>
      </c>
      <c r="V193">
        <v>191</v>
      </c>
      <c r="W193">
        <f t="shared" si="43"/>
        <v>0.4500656541798978</v>
      </c>
      <c r="X193">
        <f>SUM($W$3:W193)</f>
        <v>100.92928840781875</v>
      </c>
      <c r="Y193" s="4">
        <f t="shared" si="54"/>
        <v>0.5284255937582133</v>
      </c>
      <c r="AA193">
        <v>191</v>
      </c>
      <c r="AB193">
        <f t="shared" si="44"/>
        <v>0.4500656541798978</v>
      </c>
      <c r="AC193">
        <f>SUM($AB$3:AB193)</f>
        <v>97.733038979321776</v>
      </c>
      <c r="AD193" s="4">
        <f t="shared" si="45"/>
        <v>0.51169130355665848</v>
      </c>
    </row>
    <row r="194" spans="6:30" x14ac:dyDescent="0.25">
      <c r="F194">
        <v>236000</v>
      </c>
      <c r="G194" s="12">
        <v>2270.005883981175</v>
      </c>
      <c r="H194" s="12">
        <f t="shared" si="52"/>
        <v>2385.3274914820895</v>
      </c>
      <c r="I194" s="12">
        <f t="shared" si="53"/>
        <v>13299.073156594985</v>
      </c>
      <c r="K194">
        <f t="shared" si="49"/>
        <v>236000</v>
      </c>
      <c r="L194" s="12">
        <v>1468.893771092974</v>
      </c>
      <c r="M194" s="12">
        <f t="shared" si="48"/>
        <v>1468.1669448017897</v>
      </c>
      <c r="N194" s="12">
        <f t="shared" si="50"/>
        <v>0.52827645755680064</v>
      </c>
      <c r="R194" s="2">
        <f t="shared" si="51"/>
        <v>0.5453846484025251</v>
      </c>
      <c r="V194">
        <v>192</v>
      </c>
      <c r="W194">
        <f t="shared" si="43"/>
        <v>0.44970855557181727</v>
      </c>
      <c r="X194">
        <f>SUM($W$3:W194)</f>
        <v>101.37899696339056</v>
      </c>
      <c r="Y194" s="4">
        <f t="shared" si="54"/>
        <v>0.52801560918432588</v>
      </c>
      <c r="AA194">
        <v>192</v>
      </c>
      <c r="AB194">
        <f t="shared" si="44"/>
        <v>0.44970855557181727</v>
      </c>
      <c r="AC194">
        <f>SUM($AB$3:AB194)</f>
        <v>98.182747534893593</v>
      </c>
      <c r="AD194" s="4">
        <f t="shared" si="45"/>
        <v>0.51136847674423747</v>
      </c>
    </row>
    <row r="195" spans="6:30" x14ac:dyDescent="0.25">
      <c r="F195">
        <v>238000</v>
      </c>
      <c r="G195" s="12">
        <v>2268.2752171691477</v>
      </c>
      <c r="H195" s="12">
        <f t="shared" si="52"/>
        <v>2382.029804589316</v>
      </c>
      <c r="I195" s="12">
        <f t="shared" si="53"/>
        <v>12940.106159132703</v>
      </c>
      <c r="K195">
        <f t="shared" si="49"/>
        <v>238000</v>
      </c>
      <c r="L195" s="12">
        <v>1465.2444743917783</v>
      </c>
      <c r="M195" s="12">
        <f t="shared" si="48"/>
        <v>1464.5570946756015</v>
      </c>
      <c r="N195" s="12">
        <f t="shared" si="50"/>
        <v>0.47249087421128783</v>
      </c>
      <c r="R195" s="2">
        <f t="shared" si="51"/>
        <v>0.54805239454030819</v>
      </c>
      <c r="V195">
        <v>193</v>
      </c>
      <c r="W195">
        <f t="shared" si="43"/>
        <v>0.4493535931613411</v>
      </c>
      <c r="X195">
        <f>SUM($W$3:W195)</f>
        <v>101.82835055655191</v>
      </c>
      <c r="Y195" s="4">
        <f t="shared" si="54"/>
        <v>0.52760803397177158</v>
      </c>
      <c r="AA195">
        <v>193</v>
      </c>
      <c r="AB195">
        <f t="shared" si="44"/>
        <v>0.4493535931613411</v>
      </c>
      <c r="AC195">
        <f>SUM($AB$3:AB195)</f>
        <v>98.632101128054941</v>
      </c>
      <c r="AD195" s="4">
        <f t="shared" si="45"/>
        <v>0.5110471561039116</v>
      </c>
    </row>
    <row r="196" spans="6:30" x14ac:dyDescent="0.25">
      <c r="F196">
        <v>240000</v>
      </c>
      <c r="G196" s="12">
        <v>2266.5653069552413</v>
      </c>
      <c r="H196" s="12">
        <f t="shared" si="52"/>
        <v>2378.7642156893348</v>
      </c>
      <c r="I196" s="12">
        <f t="shared" si="53"/>
        <v>12588.595121121441</v>
      </c>
      <c r="K196">
        <f t="shared" si="49"/>
        <v>240000</v>
      </c>
      <c r="L196" s="12">
        <v>1461.6350781474391</v>
      </c>
      <c r="M196" s="12">
        <f t="shared" si="48"/>
        <v>1460.986217519245</v>
      </c>
      <c r="N196" s="12">
        <f t="shared" si="50"/>
        <v>0.42102011482049778</v>
      </c>
      <c r="R196" s="2">
        <f t="shared" si="51"/>
        <v>0.55070533051794124</v>
      </c>
      <c r="V196">
        <v>194</v>
      </c>
      <c r="W196">
        <f t="shared" ref="W196:W259" si="55">V196^(-$D$5)</f>
        <v>0.44900074320001243</v>
      </c>
      <c r="X196">
        <f>SUM($W$3:W196)</f>
        <v>102.27735129975193</v>
      </c>
      <c r="Y196" s="4">
        <f t="shared" si="54"/>
        <v>0.52720284175129861</v>
      </c>
      <c r="AA196">
        <v>194</v>
      </c>
      <c r="AB196">
        <f t="shared" ref="AB196:AB259" si="56">AA196^(-$D$5)</f>
        <v>0.44900074320001243</v>
      </c>
      <c r="AC196">
        <f>SUM($AB$3:AB196)</f>
        <v>99.081101871254958</v>
      </c>
      <c r="AD196" s="4">
        <f t="shared" si="45"/>
        <v>0.51072732923327302</v>
      </c>
    </row>
    <row r="197" spans="6:30" x14ac:dyDescent="0.25">
      <c r="F197">
        <v>242000</v>
      </c>
      <c r="G197" s="12">
        <v>2264.8757337253637</v>
      </c>
      <c r="H197" s="12">
        <f t="shared" si="52"/>
        <v>2375.5301487498859</v>
      </c>
      <c r="I197" s="12">
        <f t="shared" si="53"/>
        <v>12244.399564419209</v>
      </c>
      <c r="K197">
        <f t="shared" si="49"/>
        <v>242000</v>
      </c>
      <c r="L197" s="12">
        <v>1458.0648177346222</v>
      </c>
      <c r="M197" s="12">
        <f t="shared" si="48"/>
        <v>1457.4535730149009</v>
      </c>
      <c r="N197" s="12">
        <f t="shared" si="50"/>
        <v>0.373620107387169</v>
      </c>
      <c r="R197" s="2">
        <f t="shared" si="51"/>
        <v>0.55334365535564722</v>
      </c>
      <c r="V197">
        <v>195</v>
      </c>
      <c r="W197">
        <f t="shared" si="55"/>
        <v>0.4486499823240867</v>
      </c>
      <c r="X197">
        <f>SUM($W$3:W197)</f>
        <v>102.72600128207601</v>
      </c>
      <c r="Y197" s="4">
        <f t="shared" si="54"/>
        <v>0.52680000657474879</v>
      </c>
      <c r="AA197">
        <v>195</v>
      </c>
      <c r="AB197">
        <f t="shared" si="56"/>
        <v>0.4486499823240867</v>
      </c>
      <c r="AC197">
        <f>SUM($AB$3:AB197)</f>
        <v>99.529751853579043</v>
      </c>
      <c r="AD197" s="4">
        <f t="shared" si="45"/>
        <v>0.51040898386450795</v>
      </c>
    </row>
    <row r="198" spans="6:30" x14ac:dyDescent="0.25">
      <c r="F198">
        <v>244000</v>
      </c>
      <c r="G198" s="12">
        <v>2263.2060897357146</v>
      </c>
      <c r="H198" s="12">
        <f t="shared" si="52"/>
        <v>2372.3270427291418</v>
      </c>
      <c r="I198" s="12">
        <f t="shared" si="53"/>
        <v>11907.382382193744</v>
      </c>
      <c r="K198">
        <f t="shared" si="49"/>
        <v>244000</v>
      </c>
      <c r="L198" s="12">
        <v>1454.532949360412</v>
      </c>
      <c r="M198" s="12">
        <f t="shared" si="48"/>
        <v>1453.958440877987</v>
      </c>
      <c r="N198" s="12">
        <f t="shared" si="50"/>
        <v>0.33005999637829614</v>
      </c>
      <c r="R198" s="2">
        <f t="shared" si="51"/>
        <v>0.55596756383613921</v>
      </c>
      <c r="V198">
        <v>196</v>
      </c>
      <c r="W198">
        <f t="shared" si="55"/>
        <v>0.44830128754636439</v>
      </c>
      <c r="X198">
        <f>SUM($W$3:W198)</f>
        <v>103.17430256962238</v>
      </c>
      <c r="Y198" s="4">
        <f t="shared" si="54"/>
        <v>0.5263995029062366</v>
      </c>
      <c r="AA198">
        <v>196</v>
      </c>
      <c r="AB198">
        <f t="shared" si="56"/>
        <v>0.44830128754636439</v>
      </c>
      <c r="AC198">
        <f>SUM($AB$3:AB198)</f>
        <v>99.978053141125415</v>
      </c>
      <c r="AD198" s="4">
        <f t="shared" ref="AD198:AD261" si="57">AC198/AA198</f>
        <v>0.51009210786288472</v>
      </c>
    </row>
    <row r="199" spans="6:30" x14ac:dyDescent="0.25">
      <c r="F199">
        <v>246000</v>
      </c>
      <c r="G199" s="12">
        <v>2261.5559786828117</v>
      </c>
      <c r="H199" s="12">
        <f t="shared" si="52"/>
        <v>2369.1543510664906</v>
      </c>
      <c r="I199" s="12">
        <f t="shared" si="53"/>
        <v>11577.409739616836</v>
      </c>
      <c r="K199">
        <f t="shared" si="49"/>
        <v>246000</v>
      </c>
      <c r="L199" s="12">
        <v>1451.0387493312101</v>
      </c>
      <c r="M199" s="12">
        <f t="shared" si="48"/>
        <v>1450.5001201561215</v>
      </c>
      <c r="N199" s="12">
        <f t="shared" si="50"/>
        <v>0.29012138825656625</v>
      </c>
      <c r="R199" s="2">
        <f t="shared" si="51"/>
        <v>0.55857724662775032</v>
      </c>
      <c r="V199">
        <v>197</v>
      </c>
      <c r="W199">
        <f t="shared" si="55"/>
        <v>0.44795463624823761</v>
      </c>
      <c r="X199">
        <f>SUM($W$3:W199)</f>
        <v>103.62225720587062</v>
      </c>
      <c r="Y199" s="4">
        <f t="shared" si="54"/>
        <v>0.52600130561355651</v>
      </c>
      <c r="AA199">
        <v>197</v>
      </c>
      <c r="AB199">
        <f t="shared" si="56"/>
        <v>0.44795463624823761</v>
      </c>
      <c r="AC199">
        <f>SUM($AB$3:AB199)</f>
        <v>100.42600777737366</v>
      </c>
      <c r="AD199" s="4">
        <f t="shared" si="57"/>
        <v>0.50977668922524699</v>
      </c>
    </row>
    <row r="200" spans="6:30" x14ac:dyDescent="0.25">
      <c r="F200">
        <v>248000</v>
      </c>
      <c r="G200" s="12">
        <v>2259.9250152924283</v>
      </c>
      <c r="H200" s="12">
        <f t="shared" si="52"/>
        <v>2366.0115411945958</v>
      </c>
      <c r="I200" s="12">
        <f t="shared" si="53"/>
        <v>11254.35097799126</v>
      </c>
      <c r="K200">
        <f t="shared" si="49"/>
        <v>248000</v>
      </c>
      <c r="L200" s="12">
        <v>1447.5815133511676</v>
      </c>
      <c r="M200" s="12">
        <f t="shared" si="48"/>
        <v>1447.0779285580959</v>
      </c>
      <c r="N200" s="12">
        <f t="shared" si="50"/>
        <v>0.25359764381306232</v>
      </c>
      <c r="R200" s="2">
        <f t="shared" si="51"/>
        <v>0.56117289040302554</v>
      </c>
      <c r="V200">
        <v>198</v>
      </c>
      <c r="W200">
        <f t="shared" si="55"/>
        <v>0.44761000617194419</v>
      </c>
      <c r="X200">
        <f>SUM($W$3:W200)</f>
        <v>104.06986721204257</v>
      </c>
      <c r="Y200" s="4">
        <f t="shared" si="54"/>
        <v>0.52560538995981099</v>
      </c>
      <c r="AA200">
        <v>198</v>
      </c>
      <c r="AB200">
        <f t="shared" si="56"/>
        <v>0.44761000617194419</v>
      </c>
      <c r="AC200">
        <f>SUM($AB$3:AB200)</f>
        <v>100.8736177835456</v>
      </c>
      <c r="AD200" s="4">
        <f t="shared" si="57"/>
        <v>0.50946271607851312</v>
      </c>
    </row>
    <row r="201" spans="6:30" x14ac:dyDescent="0.25">
      <c r="F201">
        <v>250000</v>
      </c>
      <c r="G201" s="12">
        <v>2258.3128249265087</v>
      </c>
      <c r="H201" s="12">
        <f t="shared" si="52"/>
        <v>2362.898094071687</v>
      </c>
      <c r="I201" s="12">
        <f t="shared" si="53"/>
        <v>10938.078522169373</v>
      </c>
      <c r="K201">
        <f t="shared" si="49"/>
        <v>250000</v>
      </c>
      <c r="L201" s="12">
        <v>1444.16055585054</v>
      </c>
      <c r="M201" s="12">
        <f t="shared" si="48"/>
        <v>1443.6912018113317</v>
      </c>
      <c r="N201" s="12">
        <f t="shared" si="50"/>
        <v>0.22029321412122457</v>
      </c>
      <c r="R201" s="2">
        <f t="shared" si="51"/>
        <v>0.56375467795301515</v>
      </c>
      <c r="V201">
        <v>199</v>
      </c>
      <c r="W201">
        <f t="shared" si="55"/>
        <v>0.44726737541302292</v>
      </c>
      <c r="X201">
        <f>SUM($W$3:W201)</f>
        <v>104.51713458745559</v>
      </c>
      <c r="Y201" s="4">
        <f t="shared" si="54"/>
        <v>0.52521173159525425</v>
      </c>
      <c r="AA201">
        <v>199</v>
      </c>
      <c r="AB201">
        <f t="shared" si="56"/>
        <v>0.44726737541302292</v>
      </c>
      <c r="AC201">
        <f>SUM($AB$3:AB201)</f>
        <v>101.32088515895862</v>
      </c>
      <c r="AD201" s="4">
        <f t="shared" si="57"/>
        <v>0.50915017667818396</v>
      </c>
    </row>
    <row r="202" spans="6:30" x14ac:dyDescent="0.25">
      <c r="F202">
        <v>252000</v>
      </c>
      <c r="G202" s="12">
        <v>2256.7190432070884</v>
      </c>
      <c r="H202" s="12">
        <f t="shared" si="52"/>
        <v>2359.8135037330794</v>
      </c>
      <c r="I202" s="12">
        <f t="shared" si="53"/>
        <v>10628.467791145127</v>
      </c>
      <c r="K202">
        <f t="shared" si="49"/>
        <v>252000</v>
      </c>
      <c r="L202" s="12">
        <v>1440.7752093424685</v>
      </c>
      <c r="M202" s="12">
        <f t="shared" si="48"/>
        <v>1440.3392930464024</v>
      </c>
      <c r="N202" s="12">
        <f t="shared" si="50"/>
        <v>0.19002301717600967</v>
      </c>
      <c r="R202" s="2">
        <f t="shared" si="51"/>
        <v>0.56632278829741578</v>
      </c>
      <c r="V202">
        <v>200</v>
      </c>
      <c r="W202">
        <f t="shared" si="55"/>
        <v>0.44692672241296305</v>
      </c>
      <c r="X202">
        <f>SUM($W$3:W202)</f>
        <v>104.96406130986855</v>
      </c>
      <c r="Y202" s="4">
        <f t="shared" si="54"/>
        <v>0.52482030654934275</v>
      </c>
      <c r="AA202">
        <v>200</v>
      </c>
      <c r="AB202">
        <f t="shared" si="56"/>
        <v>0.44692672241296305</v>
      </c>
      <c r="AC202">
        <f>SUM($AB$3:AB202)</f>
        <v>101.76781188137159</v>
      </c>
      <c r="AD202" s="4">
        <f t="shared" si="57"/>
        <v>0.50883905940685792</v>
      </c>
    </row>
    <row r="203" spans="6:30" x14ac:dyDescent="0.25">
      <c r="F203">
        <v>254000</v>
      </c>
      <c r="G203" s="12">
        <v>2255.1433156563953</v>
      </c>
      <c r="H203" s="12">
        <f t="shared" si="52"/>
        <v>2356.7572768609907</v>
      </c>
      <c r="I203" s="12">
        <f t="shared" si="53"/>
        <v>10325.397111689019</v>
      </c>
      <c r="K203">
        <f t="shared" si="49"/>
        <v>254000</v>
      </c>
      <c r="L203" s="12">
        <v>1437.4248238067628</v>
      </c>
      <c r="M203" s="12">
        <f t="shared" si="48"/>
        <v>1437.0215722072696</v>
      </c>
      <c r="N203" s="12">
        <f t="shared" si="50"/>
        <v>0.16261185249379195</v>
      </c>
      <c r="R203" s="2">
        <f t="shared" si="51"/>
        <v>0.56887739679077698</v>
      </c>
      <c r="V203">
        <v>201</v>
      </c>
      <c r="W203">
        <f t="shared" si="55"/>
        <v>0.44658802595204317</v>
      </c>
      <c r="X203">
        <f>SUM($W$3:W203)</f>
        <v>105.41064933582059</v>
      </c>
      <c r="Y203" s="4">
        <f t="shared" si="54"/>
        <v>0.52443109122298803</v>
      </c>
      <c r="AA203">
        <v>201</v>
      </c>
      <c r="AB203">
        <f t="shared" si="56"/>
        <v>0.44658802595204317</v>
      </c>
      <c r="AC203">
        <f>SUM($AB$3:AB203)</f>
        <v>102.21439990732362</v>
      </c>
      <c r="AD203" s="4">
        <f t="shared" si="57"/>
        <v>0.50852935277275435</v>
      </c>
    </row>
    <row r="204" spans="6:30" x14ac:dyDescent="0.25">
      <c r="F204">
        <v>256000</v>
      </c>
      <c r="G204" s="12">
        <v>2253.5852973522965</v>
      </c>
      <c r="H204" s="12">
        <f t="shared" si="52"/>
        <v>2353.7289323717714</v>
      </c>
      <c r="I204" s="12">
        <f t="shared" si="53"/>
        <v>10028.747634913801</v>
      </c>
      <c r="K204">
        <f t="shared" si="49"/>
        <v>256000</v>
      </c>
      <c r="L204" s="12">
        <v>1434.1087660993544</v>
      </c>
      <c r="M204" s="12">
        <f t="shared" si="48"/>
        <v>1433.7374254859733</v>
      </c>
      <c r="N204" s="12">
        <f t="shared" si="50"/>
        <v>0.1378938511462573</v>
      </c>
      <c r="R204" s="2">
        <f t="shared" si="51"/>
        <v>0.57141867522492307</v>
      </c>
      <c r="V204">
        <v>202</v>
      </c>
      <c r="W204">
        <f t="shared" si="55"/>
        <v>0.44625126514235275</v>
      </c>
      <c r="X204">
        <f>SUM($W$3:W204)</f>
        <v>105.85690060096294</v>
      </c>
      <c r="Y204" s="4">
        <f t="shared" si="54"/>
        <v>0.52404406238100465</v>
      </c>
      <c r="AA204">
        <v>202</v>
      </c>
      <c r="AB204">
        <f t="shared" si="56"/>
        <v>0.44625126514235275</v>
      </c>
      <c r="AC204">
        <f>SUM($AB$3:AB204)</f>
        <v>102.66065117246598</v>
      </c>
      <c r="AD204" s="4">
        <f t="shared" si="57"/>
        <v>0.50822104540824742</v>
      </c>
    </row>
    <row r="205" spans="6:30" x14ac:dyDescent="0.25">
      <c r="F205">
        <v>258000</v>
      </c>
      <c r="G205" s="12">
        <v>2252.0446525983148</v>
      </c>
      <c r="H205" s="12">
        <f t="shared" ref="H205:H226" si="58">IF(F205&lt;$G$72,$D$64*(F205/$D$41)^-(1-$G$71), $D$64*($G$72/$D$41)^-(1-$G$71))</f>
        <v>2350.7280010197101</v>
      </c>
      <c r="I205" s="12">
        <f t="shared" ref="I205:I226" si="59">(H205-G205)^2</f>
        <v>9738.4032556585007</v>
      </c>
      <c r="K205">
        <f t="shared" si="49"/>
        <v>258000</v>
      </c>
      <c r="L205" s="12">
        <v>1430.8264193861601</v>
      </c>
      <c r="M205" s="12">
        <f t="shared" ref="M205:M268" si="60">IF(F205&lt;$L$72,$D$28*(F205/$D$6)^-(1-$L$71), $D$28*($L$72/$D$6)^-(1-$L$71))</f>
        <v>1430.4862547805719</v>
      </c>
      <c r="N205" s="12">
        <f t="shared" si="50"/>
        <v>0.11571195889493681</v>
      </c>
      <c r="R205" s="2">
        <f t="shared" si="51"/>
        <v>0.57394679192774922</v>
      </c>
      <c r="V205">
        <v>203</v>
      </c>
      <c r="W205">
        <f t="shared" si="55"/>
        <v>0.44591641942099131</v>
      </c>
      <c r="X205">
        <f>SUM($W$3:W205)</f>
        <v>106.30281702038394</v>
      </c>
      <c r="Y205" s="4">
        <f t="shared" si="54"/>
        <v>0.52365919714474851</v>
      </c>
      <c r="AA205">
        <v>203</v>
      </c>
      <c r="AB205">
        <f t="shared" si="56"/>
        <v>0.44591641942099131</v>
      </c>
      <c r="AC205">
        <f>SUM($AB$3:AB205)</f>
        <v>103.10656759188697</v>
      </c>
      <c r="AD205" s="4">
        <f t="shared" si="57"/>
        <v>0.50791412606840869</v>
      </c>
    </row>
    <row r="206" spans="6:30" x14ac:dyDescent="0.25">
      <c r="F206">
        <v>260000</v>
      </c>
      <c r="G206" s="12">
        <v>2250.5210546075173</v>
      </c>
      <c r="H206" s="12">
        <f t="shared" si="58"/>
        <v>2347.7540250166307</v>
      </c>
      <c r="I206" s="12">
        <f t="shared" si="59"/>
        <v>9454.2505345795362</v>
      </c>
      <c r="K206">
        <f t="shared" ref="K206:K269" si="61">F206</f>
        <v>260000</v>
      </c>
      <c r="L206" s="12">
        <v>1427.5771826001555</v>
      </c>
      <c r="M206" s="12">
        <f t="shared" si="60"/>
        <v>1427.2674771752111</v>
      </c>
      <c r="N206" s="12">
        <f t="shared" ref="N206:N269" si="62">(M206-L206)^2</f>
        <v>9.5917450240033605E-2</v>
      </c>
      <c r="R206" s="2">
        <f t="shared" ref="R206:R269" si="63">G206/L206-1</f>
        <v>0.57646191185857365</v>
      </c>
      <c r="V206">
        <v>204</v>
      </c>
      <c r="W206">
        <f t="shared" si="55"/>
        <v>0.44558346854343955</v>
      </c>
      <c r="X206">
        <f>SUM($W$3:W206)</f>
        <v>106.74840048892737</v>
      </c>
      <c r="Y206" s="4">
        <f t="shared" si="54"/>
        <v>0.52327647298493807</v>
      </c>
      <c r="AA206">
        <v>204</v>
      </c>
      <c r="AB206">
        <f t="shared" si="56"/>
        <v>0.44558346854343955</v>
      </c>
      <c r="AC206">
        <f>SUM($AB$3:AB206)</f>
        <v>103.5521510604304</v>
      </c>
      <c r="AD206" s="4">
        <f t="shared" si="57"/>
        <v>0.50760858362956085</v>
      </c>
    </row>
    <row r="207" spans="6:30" x14ac:dyDescent="0.25">
      <c r="F207">
        <v>262000</v>
      </c>
      <c r="G207" s="12">
        <v>2249.0141851995572</v>
      </c>
      <c r="H207" s="12">
        <f t="shared" si="58"/>
        <v>2344.8065576665326</v>
      </c>
      <c r="I207" s="12">
        <f t="shared" si="59"/>
        <v>9176.1786228517449</v>
      </c>
      <c r="K207">
        <f t="shared" si="61"/>
        <v>262000</v>
      </c>
      <c r="L207" s="12">
        <v>1424.360469920553</v>
      </c>
      <c r="M207" s="12">
        <f t="shared" si="60"/>
        <v>1424.0805244412509</v>
      </c>
      <c r="N207" s="12">
        <f t="shared" si="62"/>
        <v>7.8369471381690398E-2</v>
      </c>
      <c r="R207" s="2">
        <f t="shared" si="63"/>
        <v>0.5789641967001522</v>
      </c>
      <c r="V207">
        <v>205</v>
      </c>
      <c r="W207">
        <f t="shared" si="55"/>
        <v>0.44525239257709776</v>
      </c>
      <c r="X207">
        <f>SUM($W$3:W207)</f>
        <v>107.19365288150448</v>
      </c>
      <c r="Y207" s="4">
        <f t="shared" si="54"/>
        <v>0.52289586771465602</v>
      </c>
      <c r="AA207">
        <v>205</v>
      </c>
      <c r="AB207">
        <f t="shared" si="56"/>
        <v>0.44525239257709776</v>
      </c>
      <c r="AC207">
        <f>SUM($AB$3:AB207)</f>
        <v>103.99740345300751</v>
      </c>
      <c r="AD207" s="4">
        <f t="shared" si="57"/>
        <v>0.50730440708784152</v>
      </c>
    </row>
    <row r="208" spans="6:30" x14ac:dyDescent="0.25">
      <c r="F208">
        <v>264000</v>
      </c>
      <c r="G208" s="12">
        <v>2247.5237345102541</v>
      </c>
      <c r="H208" s="12">
        <f t="shared" si="58"/>
        <v>2341.8851630145678</v>
      </c>
      <c r="I208" s="12">
        <f t="shared" si="59"/>
        <v>8904.0791893746882</v>
      </c>
      <c r="K208">
        <f t="shared" si="61"/>
        <v>264000</v>
      </c>
      <c r="L208" s="12">
        <v>1421.1757102730098</v>
      </c>
      <c r="M208" s="12">
        <f t="shared" si="60"/>
        <v>1420.9248425584465</v>
      </c>
      <c r="N208" s="12">
        <f t="shared" si="62"/>
        <v>6.2934610210241229E-2</v>
      </c>
      <c r="R208" s="2">
        <f t="shared" si="63"/>
        <v>0.58145380494752597</v>
      </c>
      <c r="V208">
        <v>206</v>
      </c>
      <c r="W208">
        <f t="shared" si="55"/>
        <v>0.44492317189498581</v>
      </c>
      <c r="X208">
        <f>SUM($W$3:W208)</f>
        <v>107.63857605339946</v>
      </c>
      <c r="Y208" s="4">
        <f t="shared" si="54"/>
        <v>0.52251735948252165</v>
      </c>
      <c r="AA208">
        <v>206</v>
      </c>
      <c r="AB208">
        <f t="shared" si="56"/>
        <v>0.44492317189498581</v>
      </c>
      <c r="AC208">
        <f>SUM($AB$3:AB208)</f>
        <v>104.44232662490249</v>
      </c>
      <c r="AD208" s="4">
        <f t="shared" si="57"/>
        <v>0.50700158555777908</v>
      </c>
    </row>
    <row r="209" spans="6:30" x14ac:dyDescent="0.25">
      <c r="F209">
        <v>266000</v>
      </c>
      <c r="G209" s="12">
        <v>2246.0494007130874</v>
      </c>
      <c r="H209" s="12">
        <f t="shared" si="58"/>
        <v>2338.9894155096904</v>
      </c>
      <c r="I209" s="12">
        <f t="shared" si="59"/>
        <v>8637.8463503927869</v>
      </c>
      <c r="K209">
        <f t="shared" si="61"/>
        <v>266000</v>
      </c>
      <c r="L209" s="12">
        <v>1418.022346849868</v>
      </c>
      <c r="M209" s="12">
        <f t="shared" si="60"/>
        <v>1417.7998912552314</v>
      </c>
      <c r="N209" s="12">
        <f t="shared" si="62"/>
        <v>4.9486491585116789E-2</v>
      </c>
      <c r="R209" s="2">
        <f t="shared" si="63"/>
        <v>0.5839308919938242</v>
      </c>
      <c r="V209">
        <v>207</v>
      </c>
      <c r="W209">
        <f t="shared" si="55"/>
        <v>0.44459578716960041</v>
      </c>
      <c r="X209">
        <f>SUM($W$3:W209)</f>
        <v>108.08317184056907</v>
      </c>
      <c r="Y209" s="4">
        <f t="shared" si="54"/>
        <v>0.52214092676603419</v>
      </c>
      <c r="AA209">
        <v>207</v>
      </c>
      <c r="AB209">
        <f t="shared" si="56"/>
        <v>0.44459578716960041</v>
      </c>
      <c r="AC209">
        <f>SUM($AB$3:AB209)</f>
        <v>104.8869224120721</v>
      </c>
      <c r="AD209" s="4">
        <f t="shared" si="57"/>
        <v>0.50670010827087963</v>
      </c>
    </row>
    <row r="210" spans="6:30" x14ac:dyDescent="0.25">
      <c r="F210">
        <v>268000</v>
      </c>
      <c r="G210" s="12">
        <v>2244.5908897520362</v>
      </c>
      <c r="H210" s="12">
        <f t="shared" si="58"/>
        <v>2336.1188996803544</v>
      </c>
      <c r="I210" s="12">
        <f t="shared" si="59"/>
        <v>8377.3766014383091</v>
      </c>
      <c r="K210">
        <f t="shared" si="61"/>
        <v>268000</v>
      </c>
      <c r="L210" s="12">
        <v>1414.8998366494841</v>
      </c>
      <c r="M210" s="12">
        <f t="shared" si="60"/>
        <v>1414.7051435672045</v>
      </c>
      <c r="N210" s="12">
        <f t="shared" si="62"/>
        <v>3.7905396287541825E-2</v>
      </c>
      <c r="R210" s="2">
        <f t="shared" si="63"/>
        <v>0.58639561021314401</v>
      </c>
      <c r="V210">
        <v>208</v>
      </c>
      <c r="W210">
        <f t="shared" si="55"/>
        <v>0.44427021936692473</v>
      </c>
      <c r="X210">
        <f>SUM($W$3:W210)</f>
        <v>108.52744205993599</v>
      </c>
      <c r="Y210" s="4">
        <f t="shared" si="54"/>
        <v>0.52176654836507685</v>
      </c>
      <c r="AA210">
        <v>208</v>
      </c>
      <c r="AB210">
        <f t="shared" si="56"/>
        <v>0.44427021936692473</v>
      </c>
      <c r="AC210">
        <f>SUM($AB$3:AB210)</f>
        <v>105.33119263143902</v>
      </c>
      <c r="AD210" s="4">
        <f t="shared" si="57"/>
        <v>0.50639996457422609</v>
      </c>
    </row>
    <row r="211" spans="6:30" x14ac:dyDescent="0.25">
      <c r="F211">
        <v>270000</v>
      </c>
      <c r="G211" s="12">
        <v>2243.1479150852124</v>
      </c>
      <c r="H211" s="12">
        <f t="shared" si="58"/>
        <v>2333.273209822642</v>
      </c>
      <c r="I211" s="12">
        <f t="shared" si="59"/>
        <v>8122.5687515085574</v>
      </c>
      <c r="K211">
        <f t="shared" si="61"/>
        <v>270000</v>
      </c>
      <c r="L211" s="12">
        <v>1411.8076500337488</v>
      </c>
      <c r="M211" s="12">
        <f t="shared" si="60"/>
        <v>1411.6400854129665</v>
      </c>
      <c r="N211" s="12">
        <f t="shared" si="62"/>
        <v>2.8077902137911486E-2</v>
      </c>
      <c r="R211" s="2">
        <f t="shared" si="63"/>
        <v>0.58884810904062657</v>
      </c>
      <c r="V211">
        <v>209</v>
      </c>
      <c r="W211">
        <f t="shared" si="55"/>
        <v>0.4439464497405865</v>
      </c>
      <c r="X211">
        <f>SUM($W$3:W211)</f>
        <v>108.97138850967659</v>
      </c>
      <c r="Y211" s="4">
        <f t="shared" si="54"/>
        <v>0.52139420339558173</v>
      </c>
      <c r="AA211">
        <v>209</v>
      </c>
      <c r="AB211">
        <f t="shared" si="56"/>
        <v>0.4439464497405865</v>
      </c>
      <c r="AC211">
        <f>SUM($AB$3:AB211)</f>
        <v>105.77513908117962</v>
      </c>
      <c r="AD211" s="4">
        <f t="shared" si="57"/>
        <v>0.50610114392908911</v>
      </c>
    </row>
    <row r="212" spans="6:30" x14ac:dyDescent="0.25">
      <c r="F212">
        <v>272000</v>
      </c>
      <c r="G212" s="12">
        <v>2241.7201974387958</v>
      </c>
      <c r="H212" s="12">
        <f t="shared" si="58"/>
        <v>2330.4519497002871</v>
      </c>
      <c r="I212" s="12">
        <f t="shared" si="59"/>
        <v>7873.3238593946553</v>
      </c>
      <c r="K212">
        <f t="shared" si="61"/>
        <v>272000</v>
      </c>
      <c r="L212" s="12">
        <v>1408.7452703029444</v>
      </c>
      <c r="M212" s="12">
        <f t="shared" si="60"/>
        <v>1408.6042151865074</v>
      </c>
      <c r="N212" s="12">
        <f t="shared" si="62"/>
        <v>1.9896545873048167E-2</v>
      </c>
      <c r="R212" s="2">
        <f t="shared" si="63"/>
        <v>0.59128853504986312</v>
      </c>
      <c r="V212">
        <v>210</v>
      </c>
      <c r="W212">
        <f t="shared" si="55"/>
        <v>0.44362445982615856</v>
      </c>
      <c r="X212">
        <f>SUM($W$3:W212)</f>
        <v>109.41501296950274</v>
      </c>
      <c r="Y212" s="4">
        <f t="shared" si="54"/>
        <v>0.52102387128334637</v>
      </c>
      <c r="AA212">
        <v>210</v>
      </c>
      <c r="AB212">
        <f t="shared" si="56"/>
        <v>0.44362445982615856</v>
      </c>
      <c r="AC212">
        <f>SUM($AB$3:AB212)</f>
        <v>106.21876354100577</v>
      </c>
      <c r="AD212" s="4">
        <f t="shared" si="57"/>
        <v>0.50580363590955124</v>
      </c>
    </row>
    <row r="213" spans="6:30" x14ac:dyDescent="0.25">
      <c r="F213">
        <v>274000</v>
      </c>
      <c r="G213" s="12">
        <v>2240.3074645707511</v>
      </c>
      <c r="H213" s="12">
        <f t="shared" si="58"/>
        <v>2327.6547322560223</v>
      </c>
      <c r="I213" s="12">
        <f t="shared" si="59"/>
        <v>7629.5451720824158</v>
      </c>
      <c r="K213">
        <f t="shared" si="61"/>
        <v>274000</v>
      </c>
      <c r="L213" s="12">
        <v>1405.7121932871523</v>
      </c>
      <c r="M213" s="12">
        <f t="shared" si="60"/>
        <v>1405.5970433653779</v>
      </c>
      <c r="N213" s="12">
        <f t="shared" si="62"/>
        <v>1.3259504484660994E-2</v>
      </c>
      <c r="R213" s="2">
        <f t="shared" si="63"/>
        <v>0.59371703202770143</v>
      </c>
      <c r="V213">
        <v>211</v>
      </c>
      <c r="W213">
        <f t="shared" si="55"/>
        <v>0.44330423143560033</v>
      </c>
      <c r="X213">
        <f>SUM($W$3:W213)</f>
        <v>109.85831720093834</v>
      </c>
      <c r="Y213" s="4">
        <f t="shared" si="54"/>
        <v>0.52065553175800161</v>
      </c>
      <c r="AA213">
        <v>211</v>
      </c>
      <c r="AB213">
        <f t="shared" si="56"/>
        <v>0.44330423143560033</v>
      </c>
      <c r="AC213">
        <f>SUM($AB$3:AB213)</f>
        <v>106.66206777244138</v>
      </c>
      <c r="AD213" s="4">
        <f t="shared" si="57"/>
        <v>0.50550743020114397</v>
      </c>
    </row>
    <row r="214" spans="6:30" x14ac:dyDescent="0.25">
      <c r="F214">
        <v>276000</v>
      </c>
      <c r="G214" s="12">
        <v>2238.9094510439081</v>
      </c>
      <c r="H214" s="12">
        <f t="shared" si="58"/>
        <v>2324.8811793337791</v>
      </c>
      <c r="I214" s="12">
        <f t="shared" si="59"/>
        <v>7391.1380651473974</v>
      </c>
      <c r="K214">
        <f t="shared" si="61"/>
        <v>276000</v>
      </c>
      <c r="L214" s="12">
        <v>1402.7079269534333</v>
      </c>
      <c r="M214" s="12">
        <f t="shared" si="60"/>
        <v>1402.6180921339237</v>
      </c>
      <c r="N214" s="12">
        <f t="shared" si="62"/>
        <v>8.0702947963283804E-3</v>
      </c>
      <c r="R214" s="2">
        <f t="shared" si="63"/>
        <v>0.59613374104660255</v>
      </c>
      <c r="V214">
        <v>212</v>
      </c>
      <c r="W214">
        <f t="shared" si="55"/>
        <v>0.44298574665183366</v>
      </c>
      <c r="X214">
        <f>SUM($W$3:W214)</f>
        <v>110.30130294759017</v>
      </c>
      <c r="Y214" s="4">
        <f t="shared" si="54"/>
        <v>0.52028916484712351</v>
      </c>
      <c r="AA214">
        <v>212</v>
      </c>
      <c r="AB214">
        <f t="shared" si="56"/>
        <v>0.44298574665183366</v>
      </c>
      <c r="AC214">
        <f>SUM($AB$3:AB214)</f>
        <v>107.1050535190932</v>
      </c>
      <c r="AD214" s="4">
        <f t="shared" si="57"/>
        <v>0.50521251659949629</v>
      </c>
    </row>
    <row r="215" spans="6:30" x14ac:dyDescent="0.25">
      <c r="F215">
        <v>278000</v>
      </c>
      <c r="G215" s="12">
        <v>2237.5258980079366</v>
      </c>
      <c r="H215" s="12">
        <f t="shared" si="58"/>
        <v>2322.1309214112234</v>
      </c>
      <c r="I215" s="12">
        <f t="shared" si="59"/>
        <v>7158.0099850707156</v>
      </c>
      <c r="K215">
        <f t="shared" si="61"/>
        <v>278000</v>
      </c>
      <c r="L215" s="12">
        <v>1399.7319910280823</v>
      </c>
      <c r="M215" s="12">
        <f t="shared" si="60"/>
        <v>1399.6668950209005</v>
      </c>
      <c r="N215" s="12">
        <f t="shared" si="62"/>
        <v>4.2374901510213517E-3</v>
      </c>
      <c r="R215" s="2">
        <f t="shared" si="63"/>
        <v>0.59853880053459885</v>
      </c>
      <c r="V215">
        <v>213</v>
      </c>
      <c r="W215">
        <f t="shared" si="55"/>
        <v>0.44266898782345004</v>
      </c>
      <c r="X215">
        <f>SUM($W$3:W215)</f>
        <v>110.74397193541363</v>
      </c>
      <c r="Y215" s="4">
        <f t="shared" si="54"/>
        <v>0.51992475087048651</v>
      </c>
      <c r="AA215">
        <v>213</v>
      </c>
      <c r="AB215">
        <f t="shared" si="56"/>
        <v>0.44266898782345004</v>
      </c>
      <c r="AC215">
        <f>SUM($AB$3:AB215)</f>
        <v>107.54772250691666</v>
      </c>
      <c r="AD215" s="4">
        <f t="shared" si="57"/>
        <v>0.5049188850089984</v>
      </c>
    </row>
    <row r="216" spans="6:30" x14ac:dyDescent="0.25">
      <c r="F216">
        <v>280000</v>
      </c>
      <c r="G216" s="12">
        <v>2236.1565529898271</v>
      </c>
      <c r="H216" s="12">
        <f t="shared" si="58"/>
        <v>2319.4035973421987</v>
      </c>
      <c r="I216" s="12">
        <f t="shared" si="59"/>
        <v>6930.0703934057292</v>
      </c>
      <c r="K216">
        <f t="shared" si="61"/>
        <v>280000</v>
      </c>
      <c r="L216" s="12">
        <v>1396.7839166332494</v>
      </c>
      <c r="M216" s="12">
        <f t="shared" si="60"/>
        <v>1396.7429965508243</v>
      </c>
      <c r="N216" s="12">
        <f t="shared" si="62"/>
        <v>1.6744531456807151E-3</v>
      </c>
      <c r="R216" s="2">
        <f t="shared" si="63"/>
        <v>0.60093234634299564</v>
      </c>
      <c r="V216">
        <v>214</v>
      </c>
      <c r="W216">
        <f t="shared" si="55"/>
        <v>0.44235393755954666</v>
      </c>
      <c r="X216">
        <f>SUM($W$3:W216)</f>
        <v>111.18632587297317</v>
      </c>
      <c r="Y216" s="4">
        <f t="shared" si="54"/>
        <v>0.51956227043445402</v>
      </c>
      <c r="AA216">
        <v>214</v>
      </c>
      <c r="AB216">
        <f t="shared" si="56"/>
        <v>0.44235393755954666</v>
      </c>
      <c r="AC216">
        <f>SUM($AB$3:AB216)</f>
        <v>107.9900764444762</v>
      </c>
      <c r="AD216" s="4">
        <f t="shared" si="57"/>
        <v>0.50462652544147757</v>
      </c>
    </row>
    <row r="217" spans="6:30" x14ac:dyDescent="0.25">
      <c r="F217">
        <v>282000</v>
      </c>
      <c r="G217" s="12">
        <v>2234.8011696924791</v>
      </c>
      <c r="H217" s="12">
        <f t="shared" si="58"/>
        <v>2316.6988541086225</v>
      </c>
      <c r="I217" s="12">
        <f t="shared" si="59"/>
        <v>6707.2307127262211</v>
      </c>
      <c r="K217">
        <f t="shared" si="61"/>
        <v>282000</v>
      </c>
      <c r="L217" s="12">
        <v>1393.863245937313</v>
      </c>
      <c r="M217" s="12">
        <f t="shared" si="60"/>
        <v>1393.8459519084352</v>
      </c>
      <c r="N217" s="12">
        <f t="shared" si="62"/>
        <v>2.9908343482665131E-4</v>
      </c>
      <c r="R217" s="2">
        <f t="shared" si="63"/>
        <v>0.60331451181186124</v>
      </c>
      <c r="V217">
        <v>215</v>
      </c>
      <c r="W217">
        <f t="shared" si="55"/>
        <v>0.44204057872468455</v>
      </c>
      <c r="X217">
        <f>SUM($W$3:W217)</f>
        <v>111.62836645169786</v>
      </c>
      <c r="Y217" s="4">
        <f t="shared" si="54"/>
        <v>0.51920170442650171</v>
      </c>
      <c r="AA217">
        <v>215</v>
      </c>
      <c r="AB217">
        <f t="shared" si="56"/>
        <v>0.44204057872468455</v>
      </c>
      <c r="AC217">
        <f>SUM($AB$3:AB217)</f>
        <v>108.43211702320089</v>
      </c>
      <c r="AD217" s="4">
        <f t="shared" si="57"/>
        <v>0.50433542801488784</v>
      </c>
    </row>
    <row r="218" spans="6:30" x14ac:dyDescent="0.25">
      <c r="F218">
        <v>284000</v>
      </c>
      <c r="G218" s="12">
        <v>2233.4595078010234</v>
      </c>
      <c r="H218" s="12">
        <f t="shared" si="58"/>
        <v>2314.0163465814353</v>
      </c>
      <c r="I218" s="12">
        <f t="shared" si="59"/>
        <v>6489.4042742932761</v>
      </c>
      <c r="K218">
        <f t="shared" si="61"/>
        <v>284000</v>
      </c>
      <c r="L218" s="12">
        <v>1390.9695318183612</v>
      </c>
      <c r="M218" s="12">
        <f t="shared" si="60"/>
        <v>1390.9753266157004</v>
      </c>
      <c r="N218" s="12">
        <f t="shared" si="62"/>
        <v>3.357967620181096E-5</v>
      </c>
      <c r="R218" s="2">
        <f t="shared" si="63"/>
        <v>0.60568542783342449</v>
      </c>
      <c r="V218">
        <v>216</v>
      </c>
      <c r="W218">
        <f t="shared" si="55"/>
        <v>0.44172889443396907</v>
      </c>
      <c r="X218">
        <f>SUM($W$3:W218)</f>
        <v>112.07009534613182</v>
      </c>
      <c r="Y218" s="4">
        <f t="shared" si="54"/>
        <v>0.51884303400986953</v>
      </c>
      <c r="AA218">
        <v>216</v>
      </c>
      <c r="AB218">
        <f t="shared" si="56"/>
        <v>0.44172889443396907</v>
      </c>
      <c r="AC218">
        <f>SUM($AB$3:AB218)</f>
        <v>108.87384591763485</v>
      </c>
      <c r="AD218" s="4">
        <f t="shared" si="57"/>
        <v>0.50404558295201318</v>
      </c>
    </row>
    <row r="219" spans="6:30" x14ac:dyDescent="0.25">
      <c r="F219">
        <v>286000</v>
      </c>
      <c r="G219" s="12">
        <v>2232.1313327965431</v>
      </c>
      <c r="H219" s="12">
        <f t="shared" si="58"/>
        <v>2311.3557372902055</v>
      </c>
      <c r="I219" s="12">
        <f t="shared" si="59"/>
        <v>6276.5062673754355</v>
      </c>
      <c r="K219">
        <f t="shared" si="61"/>
        <v>286000</v>
      </c>
      <c r="L219" s="12">
        <v>1388.1023375402283</v>
      </c>
      <c r="M219" s="12">
        <f t="shared" si="60"/>
        <v>1388.1306962207966</v>
      </c>
      <c r="N219" s="12">
        <f t="shared" si="62"/>
        <v>8.042147635758482E-4</v>
      </c>
      <c r="R219" s="2">
        <f t="shared" si="63"/>
        <v>0.60804522291343965</v>
      </c>
      <c r="V219">
        <v>217</v>
      </c>
      <c r="W219">
        <f t="shared" si="55"/>
        <v>0.44141886804824676</v>
      </c>
      <c r="X219">
        <f>SUM($W$3:W219)</f>
        <v>112.51151421418007</v>
      </c>
      <c r="Y219" s="4">
        <f t="shared" si="54"/>
        <v>0.51848624061834137</v>
      </c>
      <c r="AA219">
        <v>217</v>
      </c>
      <c r="AB219">
        <f t="shared" si="56"/>
        <v>0.44141886804824676</v>
      </c>
      <c r="AC219">
        <f>SUM($AB$3:AB219)</f>
        <v>109.3152647856831</v>
      </c>
      <c r="AD219" s="4">
        <f t="shared" si="57"/>
        <v>0.50375698057918483</v>
      </c>
    </row>
    <row r="220" spans="6:30" x14ac:dyDescent="0.25">
      <c r="F220">
        <v>288000</v>
      </c>
      <c r="G220" s="12">
        <v>2230.8164157768488</v>
      </c>
      <c r="H220" s="12">
        <f t="shared" si="58"/>
        <v>2308.7166962010251</v>
      </c>
      <c r="I220" s="12">
        <f t="shared" si="59"/>
        <v>6068.4536901653119</v>
      </c>
      <c r="K220">
        <f t="shared" si="61"/>
        <v>288000</v>
      </c>
      <c r="L220" s="12">
        <v>1385.2612364405079</v>
      </c>
      <c r="M220" s="12">
        <f t="shared" si="60"/>
        <v>1385.3116459985533</v>
      </c>
      <c r="N220" s="12">
        <f t="shared" si="62"/>
        <v>2.5411235423356228E-3</v>
      </c>
      <c r="R220" s="2">
        <f t="shared" si="63"/>
        <v>0.61039402323061709</v>
      </c>
      <c r="V220">
        <v>218</v>
      </c>
      <c r="W220">
        <f t="shared" si="55"/>
        <v>0.44111048316941509</v>
      </c>
      <c r="X220">
        <f>SUM($W$3:W220)</f>
        <v>112.95262469734948</v>
      </c>
      <c r="Y220" s="4">
        <f t="shared" si="54"/>
        <v>0.51813130595114443</v>
      </c>
      <c r="AA220">
        <v>218</v>
      </c>
      <c r="AB220">
        <f t="shared" si="56"/>
        <v>0.44111048316941509</v>
      </c>
      <c r="AC220">
        <f>SUM($AB$3:AB220)</f>
        <v>109.75637526885251</v>
      </c>
      <c r="AD220" s="4">
        <f t="shared" si="57"/>
        <v>0.50346961132501156</v>
      </c>
    </row>
    <row r="221" spans="6:30" x14ac:dyDescent="0.25">
      <c r="F221">
        <v>290000</v>
      </c>
      <c r="G221" s="12">
        <v>2229.5145332839934</v>
      </c>
      <c r="H221" s="12">
        <f t="shared" si="58"/>
        <v>2306.0989005023339</v>
      </c>
      <c r="I221" s="12">
        <f t="shared" si="59"/>
        <v>5865.1653022336277</v>
      </c>
      <c r="K221">
        <f t="shared" si="61"/>
        <v>290000</v>
      </c>
      <c r="L221" s="12">
        <v>1382.4458116300439</v>
      </c>
      <c r="M221" s="12">
        <f t="shared" si="60"/>
        <v>1382.517770661852</v>
      </c>
      <c r="N221" s="12">
        <f t="shared" si="62"/>
        <v>5.1781022587579703E-3</v>
      </c>
      <c r="R221" s="2">
        <f t="shared" si="63"/>
        <v>0.61273195269416703</v>
      </c>
      <c r="V221">
        <v>219</v>
      </c>
      <c r="W221">
        <f t="shared" si="55"/>
        <v>0.44080372363584414</v>
      </c>
      <c r="X221">
        <f>SUM($W$3:W221)</f>
        <v>113.39342842098532</v>
      </c>
      <c r="Y221" s="4">
        <f t="shared" si="54"/>
        <v>0.51777821196796947</v>
      </c>
      <c r="AA221">
        <v>219</v>
      </c>
      <c r="AB221">
        <f t="shared" si="56"/>
        <v>0.44080372363584414</v>
      </c>
      <c r="AC221">
        <f>SUM($AB$3:AB221)</f>
        <v>110.19717899248835</v>
      </c>
      <c r="AD221" s="4">
        <f t="shared" si="57"/>
        <v>0.50318346571912487</v>
      </c>
    </row>
    <row r="222" spans="6:30" x14ac:dyDescent="0.25">
      <c r="F222">
        <v>292000</v>
      </c>
      <c r="G222" s="12">
        <v>2228.2254671382439</v>
      </c>
      <c r="H222" s="12">
        <f t="shared" si="58"/>
        <v>2303.5020343983397</v>
      </c>
      <c r="I222" s="12">
        <f t="shared" si="59"/>
        <v>5666.5615784637293</v>
      </c>
      <c r="K222">
        <f t="shared" si="61"/>
        <v>292000</v>
      </c>
      <c r="L222" s="12">
        <v>1379.6556557033866</v>
      </c>
      <c r="M222" s="12">
        <f t="shared" si="60"/>
        <v>1379.7486740835136</v>
      </c>
      <c r="N222" s="12">
        <f t="shared" si="62"/>
        <v>8.6524190414469238E-3</v>
      </c>
      <c r="R222" s="2">
        <f t="shared" si="63"/>
        <v>0.61505913299955473</v>
      </c>
      <c r="V222">
        <v>220</v>
      </c>
      <c r="W222">
        <f t="shared" si="55"/>
        <v>0.44049857351790472</v>
      </c>
      <c r="X222">
        <f>SUM($W$3:W222)</f>
        <v>113.83392699450322</v>
      </c>
      <c r="Y222" s="4">
        <f t="shared" si="54"/>
        <v>0.51742694088410557</v>
      </c>
      <c r="AA222">
        <v>220</v>
      </c>
      <c r="AB222">
        <f t="shared" si="56"/>
        <v>0.44049857351790472</v>
      </c>
      <c r="AC222">
        <f>SUM($AB$3:AB222)</f>
        <v>110.63767756600625</v>
      </c>
      <c r="AD222" s="4">
        <f t="shared" si="57"/>
        <v>0.50289853439093746</v>
      </c>
    </row>
    <row r="223" spans="6:30" x14ac:dyDescent="0.25">
      <c r="F223">
        <v>294000</v>
      </c>
      <c r="G223" s="12">
        <v>2226.9490042782049</v>
      </c>
      <c r="H223" s="12">
        <f t="shared" si="58"/>
        <v>2300.9257889097239</v>
      </c>
      <c r="I223" s="12">
        <f t="shared" si="59"/>
        <v>5472.5646644181406</v>
      </c>
      <c r="K223">
        <f t="shared" si="61"/>
        <v>294000</v>
      </c>
      <c r="L223" s="12">
        <v>1376.8903704597392</v>
      </c>
      <c r="M223" s="12">
        <f t="shared" si="60"/>
        <v>1377.003969028221</v>
      </c>
      <c r="N223" s="12">
        <f t="shared" si="62"/>
        <v>1.2904634761125088E-2</v>
      </c>
      <c r="R223" s="2">
        <f t="shared" si="63"/>
        <v>0.61737568368252438</v>
      </c>
      <c r="V223">
        <v>221</v>
      </c>
      <c r="W223">
        <f t="shared" si="55"/>
        <v>0.44019501711360159</v>
      </c>
      <c r="X223">
        <f>SUM($W$3:W223)</f>
        <v>114.27412201161681</v>
      </c>
      <c r="Y223" s="4">
        <f t="shared" si="54"/>
        <v>0.51707747516568692</v>
      </c>
      <c r="AA223">
        <v>221</v>
      </c>
      <c r="AB223">
        <f t="shared" si="56"/>
        <v>0.44019501711360159</v>
      </c>
      <c r="AC223">
        <f>SUM($AB$3:AB223)</f>
        <v>111.07787258311984</v>
      </c>
      <c r="AD223" s="4">
        <f t="shared" si="57"/>
        <v>0.50261480806841552</v>
      </c>
    </row>
    <row r="224" spans="6:30" x14ac:dyDescent="0.25">
      <c r="F224">
        <v>296000</v>
      </c>
      <c r="G224" s="12">
        <v>2225.6849366068436</v>
      </c>
      <c r="H224" s="12">
        <f t="shared" si="58"/>
        <v>2298.3698616813099</v>
      </c>
      <c r="I224" s="12">
        <f t="shared" si="59"/>
        <v>5283.0983330807749</v>
      </c>
      <c r="K224">
        <f t="shared" si="61"/>
        <v>296000</v>
      </c>
      <c r="L224" s="12">
        <v>1374.1495666339654</v>
      </c>
      <c r="M224" s="12">
        <f t="shared" si="60"/>
        <v>1374.2832768940484</v>
      </c>
      <c r="N224" s="12">
        <f t="shared" si="62"/>
        <v>1.787843365147283E-2</v>
      </c>
      <c r="R224" s="2">
        <f t="shared" si="63"/>
        <v>0.61968172217144346</v>
      </c>
      <c r="V224">
        <v>222</v>
      </c>
      <c r="W224">
        <f t="shared" si="55"/>
        <v>0.43989303894430748</v>
      </c>
      <c r="X224">
        <f>SUM($W$3:W224)</f>
        <v>114.71401505056112</v>
      </c>
      <c r="Y224" s="4">
        <f t="shared" si="54"/>
        <v>0.51672979752505011</v>
      </c>
      <c r="AA224">
        <v>222</v>
      </c>
      <c r="AB224">
        <f t="shared" si="56"/>
        <v>0.43989303894430748</v>
      </c>
      <c r="AC224">
        <f>SUM($AB$3:AB224)</f>
        <v>111.51776562206415</v>
      </c>
      <c r="AD224" s="4">
        <f t="shared" si="57"/>
        <v>0.50233227757686549</v>
      </c>
    </row>
    <row r="225" spans="6:30" x14ac:dyDescent="0.25">
      <c r="F225">
        <v>298000</v>
      </c>
      <c r="G225" s="12">
        <v>2224.4330608431428</v>
      </c>
      <c r="H225" s="12">
        <f t="shared" si="58"/>
        <v>2295.8339567964267</v>
      </c>
      <c r="I225" s="12">
        <f t="shared" si="59"/>
        <v>5098.0879429316747</v>
      </c>
      <c r="K225">
        <f t="shared" si="61"/>
        <v>298000</v>
      </c>
      <c r="L225" s="12">
        <v>1371.432863637202</v>
      </c>
      <c r="M225" s="12">
        <f t="shared" si="60"/>
        <v>1371.5862274631963</v>
      </c>
      <c r="N225" s="12">
        <f t="shared" si="62"/>
        <v>2.3520463123624432E-2</v>
      </c>
      <c r="R225" s="2">
        <f t="shared" si="63"/>
        <v>0.62197736383805435</v>
      </c>
      <c r="V225">
        <v>223</v>
      </c>
      <c r="W225">
        <f t="shared" si="55"/>
        <v>0.43959262375059671</v>
      </c>
      <c r="X225">
        <f>SUM($W$3:W225)</f>
        <v>115.15360767431171</v>
      </c>
      <c r="Y225" s="4">
        <f t="shared" si="54"/>
        <v>0.51638389091619608</v>
      </c>
      <c r="AA225">
        <v>223</v>
      </c>
      <c r="AB225">
        <f t="shared" si="56"/>
        <v>0.43959262375059671</v>
      </c>
      <c r="AC225">
        <f>SUM($AB$3:AB225)</f>
        <v>111.95735824581475</v>
      </c>
      <c r="AD225" s="4">
        <f t="shared" si="57"/>
        <v>0.50205093383773425</v>
      </c>
    </row>
    <row r="226" spans="6:30" x14ac:dyDescent="0.25">
      <c r="F226">
        <v>300000</v>
      </c>
      <c r="G226" s="12">
        <v>2223.1931783791629</v>
      </c>
      <c r="H226" s="12">
        <f t="shared" si="58"/>
        <v>2293.317784597672</v>
      </c>
      <c r="I226" s="12">
        <f t="shared" si="59"/>
        <v>4917.4603973009716</v>
      </c>
      <c r="K226">
        <f t="shared" si="61"/>
        <v>300000</v>
      </c>
      <c r="L226" s="12">
        <v>1368.7398893067</v>
      </c>
      <c r="M226" s="12">
        <f t="shared" si="60"/>
        <v>1368.9124586615351</v>
      </c>
      <c r="N226" s="12">
        <f t="shared" si="62"/>
        <v>2.9780182228204242E-2</v>
      </c>
      <c r="R226" s="2">
        <f t="shared" si="63"/>
        <v>0.62426272204667344</v>
      </c>
      <c r="V226">
        <v>224</v>
      </c>
      <c r="W226">
        <f t="shared" si="55"/>
        <v>0.43929375648817415</v>
      </c>
      <c r="X226">
        <f>SUM($W$3:W226)</f>
        <v>115.59290143079988</v>
      </c>
      <c r="Y226" s="4">
        <f t="shared" si="54"/>
        <v>0.51603973853035667</v>
      </c>
      <c r="AA226">
        <v>224</v>
      </c>
      <c r="AB226">
        <f t="shared" si="56"/>
        <v>0.43929375648817415</v>
      </c>
      <c r="AC226">
        <f>SUM($AB$3:AB226)</f>
        <v>112.39665200230291</v>
      </c>
      <c r="AD226" s="4">
        <f t="shared" si="57"/>
        <v>0.50177076786742369</v>
      </c>
    </row>
    <row r="227" spans="6:30" x14ac:dyDescent="0.25">
      <c r="F227">
        <v>302000</v>
      </c>
      <c r="G227" s="12">
        <v>2221.9650951422595</v>
      </c>
      <c r="H227" s="12">
        <f t="shared" ref="H227:H290" si="64">IF(F227&lt;$G$72,$D$64*(F227/$D$41)^-(1-$G$71), $D$64*($G$72/$D$41)^-(1-$G$71))</f>
        <v>2290.821061513831</v>
      </c>
      <c r="I227" s="12">
        <f t="shared" ref="I227:I290" si="65">(H227-G227)^2</f>
        <v>4741.144104962973</v>
      </c>
      <c r="K227">
        <f t="shared" si="61"/>
        <v>302000</v>
      </c>
      <c r="L227" s="12">
        <v>1366.0702796644821</v>
      </c>
      <c r="M227" s="12">
        <f t="shared" si="60"/>
        <v>1366.2616163266009</v>
      </c>
      <c r="N227" s="12">
        <f t="shared" si="62"/>
        <v>3.6609718270774867E-2</v>
      </c>
      <c r="R227" s="2">
        <f t="shared" si="63"/>
        <v>0.62653790820190602</v>
      </c>
      <c r="V227">
        <v>225</v>
      </c>
      <c r="W227">
        <f t="shared" si="55"/>
        <v>0.43899642232389779</v>
      </c>
      <c r="X227">
        <f>SUM($W$3:W227)</f>
        <v>116.03189785312378</v>
      </c>
      <c r="Y227" s="4">
        <f t="shared" si="54"/>
        <v>0.51569732379166122</v>
      </c>
      <c r="AA227">
        <v>225</v>
      </c>
      <c r="AB227">
        <f t="shared" si="56"/>
        <v>0.43899642232389779</v>
      </c>
      <c r="AC227">
        <f>SUM($AB$3:AB227)</f>
        <v>112.83564842462681</v>
      </c>
      <c r="AD227" s="4">
        <f t="shared" si="57"/>
        <v>0.50149177077611917</v>
      </c>
    </row>
    <row r="228" spans="6:30" x14ac:dyDescent="0.25">
      <c r="F228">
        <v>304000</v>
      </c>
      <c r="G228" s="12">
        <v>2220.7486214622436</v>
      </c>
      <c r="H228" s="12">
        <f t="shared" si="64"/>
        <v>2288.3435098926807</v>
      </c>
      <c r="I228" s="12">
        <f t="shared" si="65"/>
        <v>4569.0689419232385</v>
      </c>
      <c r="K228">
        <f t="shared" si="61"/>
        <v>304000</v>
      </c>
      <c r="L228" s="12">
        <v>1363.4236786844681</v>
      </c>
      <c r="M228" s="12">
        <f t="shared" si="60"/>
        <v>1363.6333539836844</v>
      </c>
      <c r="N228" s="12">
        <f t="shared" si="62"/>
        <v>4.396373110145109E-2</v>
      </c>
      <c r="R228" s="2">
        <f t="shared" si="63"/>
        <v>0.62880303179491936</v>
      </c>
      <c r="V228">
        <v>226</v>
      </c>
      <c r="W228">
        <f t="shared" si="55"/>
        <v>0.43870060663189259</v>
      </c>
      <c r="X228">
        <f>SUM($W$3:W228)</f>
        <v>116.47059845975568</v>
      </c>
      <c r="Y228" s="4">
        <f t="shared" si="54"/>
        <v>0.51535663035290125</v>
      </c>
      <c r="AA228">
        <v>226</v>
      </c>
      <c r="AB228">
        <f t="shared" si="56"/>
        <v>0.43870060663189259</v>
      </c>
      <c r="AC228">
        <f>SUM($AB$3:AB228)</f>
        <v>113.27434903125871</v>
      </c>
      <c r="AD228" s="4">
        <f t="shared" si="57"/>
        <v>0.50121393376663148</v>
      </c>
    </row>
    <row r="229" spans="6:30" x14ac:dyDescent="0.25">
      <c r="F229">
        <v>306000</v>
      </c>
      <c r="G229" s="12">
        <v>2219.5435719432871</v>
      </c>
      <c r="H229" s="12">
        <f t="shared" si="64"/>
        <v>2285.8848578394663</v>
      </c>
      <c r="I229" s="12">
        <f t="shared" si="65"/>
        <v>4401.1662143585872</v>
      </c>
      <c r="K229">
        <f t="shared" si="61"/>
        <v>306000</v>
      </c>
      <c r="L229" s="12">
        <v>1360.7997380677059</v>
      </c>
      <c r="M229" s="12">
        <f t="shared" si="60"/>
        <v>1361.0273326296817</v>
      </c>
      <c r="N229" s="12">
        <f t="shared" si="62"/>
        <v>5.1799284640965552E-2</v>
      </c>
      <c r="R229" s="2">
        <f t="shared" si="63"/>
        <v>0.6310582004483416</v>
      </c>
      <c r="V229">
        <v>227</v>
      </c>
      <c r="W229">
        <f t="shared" si="55"/>
        <v>0.43840629498975148</v>
      </c>
      <c r="X229">
        <f>SUM($W$3:W229)</f>
        <v>116.90900475474542</v>
      </c>
      <c r="Y229" s="4">
        <f t="shared" si="54"/>
        <v>0.51501764209138956</v>
      </c>
      <c r="AA229">
        <v>227</v>
      </c>
      <c r="AB229">
        <f t="shared" si="56"/>
        <v>0.43840629498975148</v>
      </c>
      <c r="AC229">
        <f>SUM($AB$3:AB229)</f>
        <v>113.71275532624846</v>
      </c>
      <c r="AD229" s="4">
        <f t="shared" si="57"/>
        <v>0.50093724813325313</v>
      </c>
    </row>
    <row r="230" spans="6:30" x14ac:dyDescent="0.25">
      <c r="F230">
        <v>308000</v>
      </c>
      <c r="G230" s="12">
        <v>2218.3497653403601</v>
      </c>
      <c r="H230" s="12">
        <f t="shared" si="64"/>
        <v>2283.444839060794</v>
      </c>
      <c r="I230" s="12">
        <f t="shared" si="65"/>
        <v>4237.3686226687241</v>
      </c>
      <c r="K230">
        <f t="shared" si="61"/>
        <v>308000</v>
      </c>
      <c r="L230" s="12">
        <v>1358.198117025383</v>
      </c>
      <c r="M230" s="12">
        <f t="shared" si="60"/>
        <v>1358.4432205243916</v>
      </c>
      <c r="N230" s="12">
        <f t="shared" si="62"/>
        <v>6.0075725226241397E-2</v>
      </c>
      <c r="R230" s="2">
        <f t="shared" si="63"/>
        <v>0.63330351995982181</v>
      </c>
      <c r="V230">
        <v>228</v>
      </c>
      <c r="W230">
        <f t="shared" si="55"/>
        <v>0.43811347317482402</v>
      </c>
      <c r="X230">
        <f>SUM($W$3:W230)</f>
        <v>117.34711822792025</v>
      </c>
      <c r="Y230" s="4">
        <f t="shared" si="54"/>
        <v>0.5146803431049134</v>
      </c>
      <c r="AA230">
        <v>228</v>
      </c>
      <c r="AB230">
        <f t="shared" si="56"/>
        <v>0.43811347317482402</v>
      </c>
      <c r="AC230">
        <f>SUM($AB$3:AB230)</f>
        <v>114.15086879942328</v>
      </c>
      <c r="AD230" s="4">
        <f t="shared" si="57"/>
        <v>0.50066170526062836</v>
      </c>
    </row>
    <row r="231" spans="6:30" x14ac:dyDescent="0.25">
      <c r="F231">
        <v>310000</v>
      </c>
      <c r="G231" s="12">
        <v>2217.1670244400175</v>
      </c>
      <c r="H231" s="12">
        <f t="shared" si="64"/>
        <v>2281.0231927137534</v>
      </c>
      <c r="I231" s="12">
        <f t="shared" si="65"/>
        <v>4077.6102266036723</v>
      </c>
      <c r="K231">
        <f t="shared" si="61"/>
        <v>310000</v>
      </c>
      <c r="L231" s="12">
        <v>1355.6184820692933</v>
      </c>
      <c r="M231" s="12">
        <f t="shared" si="60"/>
        <v>1355.880692988954</v>
      </c>
      <c r="N231" s="12">
        <f t="shared" si="62"/>
        <v>6.8754566389296612E-2</v>
      </c>
      <c r="R231" s="2">
        <f t="shared" si="63"/>
        <v>0.635539094344308</v>
      </c>
      <c r="V231">
        <v>229</v>
      </c>
      <c r="W231">
        <f t="shared" si="55"/>
        <v>0.43782212716058733</v>
      </c>
      <c r="X231">
        <f>SUM($W$3:W231)</f>
        <v>117.78494035508083</v>
      </c>
      <c r="Y231" s="4">
        <f t="shared" si="54"/>
        <v>0.51434471770777657</v>
      </c>
      <c r="AA231">
        <v>229</v>
      </c>
      <c r="AB231">
        <f t="shared" si="56"/>
        <v>0.43782212716058733</v>
      </c>
      <c r="AC231">
        <f>SUM($AB$3:AB231)</f>
        <v>114.58869092658387</v>
      </c>
      <c r="AD231" s="4">
        <f t="shared" si="57"/>
        <v>0.50038729662263692</v>
      </c>
    </row>
    <row r="232" spans="6:30" x14ac:dyDescent="0.25">
      <c r="F232">
        <v>312000</v>
      </c>
      <c r="G232" s="12">
        <v>2215.9951759453552</v>
      </c>
      <c r="H232" s="12">
        <f t="shared" si="64"/>
        <v>2278.6196632600358</v>
      </c>
      <c r="I232" s="12">
        <f t="shared" si="65"/>
        <v>3921.8264114265994</v>
      </c>
      <c r="K232">
        <f t="shared" si="61"/>
        <v>312000</v>
      </c>
      <c r="L232" s="12">
        <v>1353.0605068094624</v>
      </c>
      <c r="M232" s="12">
        <f t="shared" si="60"/>
        <v>1353.3394322111387</v>
      </c>
      <c r="N232" s="12">
        <f t="shared" si="62"/>
        <v>7.7799379700319166E-2</v>
      </c>
      <c r="R232" s="2">
        <f t="shared" si="63"/>
        <v>0.63776502587508532</v>
      </c>
      <c r="V232">
        <v>230</v>
      </c>
      <c r="W232">
        <f t="shared" si="55"/>
        <v>0.43753224311309924</v>
      </c>
      <c r="X232">
        <f>SUM($W$3:W232)</f>
        <v>118.22247259819393</v>
      </c>
      <c r="Y232" s="4">
        <f t="shared" si="54"/>
        <v>0.51401075042693012</v>
      </c>
      <c r="AA232">
        <v>230</v>
      </c>
      <c r="AB232">
        <f t="shared" si="56"/>
        <v>0.43753224311309924</v>
      </c>
      <c r="AC232">
        <f>SUM($AB$3:AB232)</f>
        <v>115.02622316969696</v>
      </c>
      <c r="AD232" s="4">
        <f t="shared" si="57"/>
        <v>0.50011401378129117</v>
      </c>
    </row>
    <row r="233" spans="6:30" x14ac:dyDescent="0.25">
      <c r="F233">
        <v>314000</v>
      </c>
      <c r="G233" s="12">
        <v>2214.834050364962</v>
      </c>
      <c r="H233" s="12">
        <f t="shared" si="64"/>
        <v>2276.2340003248682</v>
      </c>
      <c r="I233" s="12">
        <f t="shared" si="65"/>
        <v>3769.9538550789953</v>
      </c>
      <c r="K233">
        <f t="shared" si="61"/>
        <v>314000</v>
      </c>
      <c r="L233" s="12">
        <v>1350.5238717586396</v>
      </c>
      <c r="M233" s="12">
        <f t="shared" si="60"/>
        <v>1350.8191270572165</v>
      </c>
      <c r="N233" s="12">
        <f t="shared" si="62"/>
        <v>8.7175691337720282E-2</v>
      </c>
      <c r="R233" s="2">
        <f t="shared" si="63"/>
        <v>0.63998141512361828</v>
      </c>
      <c r="V233">
        <v>231</v>
      </c>
      <c r="W233">
        <f t="shared" si="55"/>
        <v>0.43724380738753038</v>
      </c>
      <c r="X233">
        <f>SUM($W$3:W233)</f>
        <v>118.65971640558146</v>
      </c>
      <c r="Y233" s="4">
        <f t="shared" si="54"/>
        <v>0.51367842599818814</v>
      </c>
      <c r="AA233">
        <v>231</v>
      </c>
      <c r="AB233">
        <f t="shared" si="56"/>
        <v>0.43724380738753038</v>
      </c>
      <c r="AC233">
        <f>SUM($AB$3:AB233)</f>
        <v>115.46346697708449</v>
      </c>
      <c r="AD233" s="4">
        <f t="shared" si="57"/>
        <v>0.49984184838564716</v>
      </c>
    </row>
    <row r="234" spans="6:30" x14ac:dyDescent="0.25">
      <c r="F234">
        <v>316000</v>
      </c>
      <c r="G234" s="12">
        <v>2213.683481905709</v>
      </c>
      <c r="H234" s="12">
        <f t="shared" si="64"/>
        <v>2273.8659585605742</v>
      </c>
      <c r="I234" s="12">
        <f t="shared" si="65"/>
        <v>3621.9304963133995</v>
      </c>
      <c r="K234">
        <f t="shared" si="61"/>
        <v>316000</v>
      </c>
      <c r="L234" s="12">
        <v>1348.0082641433833</v>
      </c>
      <c r="M234" s="12">
        <f t="shared" si="60"/>
        <v>1348.3194728901399</v>
      </c>
      <c r="N234" s="12">
        <f t="shared" si="62"/>
        <v>9.6850884057825923E-2</v>
      </c>
      <c r="R234" s="2">
        <f t="shared" si="63"/>
        <v>0.64218836099824284</v>
      </c>
      <c r="V234">
        <v>232</v>
      </c>
      <c r="W234">
        <f t="shared" si="55"/>
        <v>0.43695680652477326</v>
      </c>
      <c r="X234">
        <f>SUM($W$3:W234)</f>
        <v>119.09667321210624</v>
      </c>
      <c r="Y234" s="4">
        <f t="shared" si="54"/>
        <v>0.51334772936252693</v>
      </c>
      <c r="AA234">
        <v>232</v>
      </c>
      <c r="AB234">
        <f t="shared" si="56"/>
        <v>0.43695680652477326</v>
      </c>
      <c r="AC234">
        <f>SUM($AB$3:AB234)</f>
        <v>115.90042378360927</v>
      </c>
      <c r="AD234" s="4">
        <f t="shared" si="57"/>
        <v>0.49957079217072964</v>
      </c>
    </row>
    <row r="235" spans="6:30" x14ac:dyDescent="0.25">
      <c r="F235">
        <v>318000</v>
      </c>
      <c r="G235" s="12">
        <v>2212.543308369211</v>
      </c>
      <c r="H235" s="12">
        <f t="shared" si="64"/>
        <v>2271.5152975145706</v>
      </c>
      <c r="I235" s="12">
        <f t="shared" si="65"/>
        <v>3477.6955037604171</v>
      </c>
      <c r="K235">
        <f t="shared" si="61"/>
        <v>318000</v>
      </c>
      <c r="L235" s="12">
        <v>1345.5133777214751</v>
      </c>
      <c r="M235" s="12">
        <f t="shared" si="60"/>
        <v>1345.840171393794</v>
      </c>
      <c r="N235" s="12">
        <f t="shared" si="62"/>
        <v>0.1067941042676723</v>
      </c>
      <c r="R235" s="2">
        <f t="shared" si="63"/>
        <v>0.64438596078173926</v>
      </c>
      <c r="V235">
        <v>233</v>
      </c>
      <c r="W235">
        <f t="shared" si="55"/>
        <v>0.43667122724812724</v>
      </c>
      <c r="X235">
        <f>SUM($W$3:W235)</f>
        <v>119.53334443935437</v>
      </c>
      <c r="Y235" s="4">
        <f t="shared" si="54"/>
        <v>0.51301864566246513</v>
      </c>
      <c r="AA235">
        <v>233</v>
      </c>
      <c r="AB235">
        <f t="shared" si="56"/>
        <v>0.43667122724812724</v>
      </c>
      <c r="AC235">
        <f>SUM($AB$3:AB235)</f>
        <v>116.3370950108574</v>
      </c>
      <c r="AD235" s="4">
        <f t="shared" si="57"/>
        <v>0.49930083695646954</v>
      </c>
    </row>
    <row r="236" spans="6:30" x14ac:dyDescent="0.25">
      <c r="F236">
        <v>320000</v>
      </c>
      <c r="G236" s="12">
        <v>2211.4133710518249</v>
      </c>
      <c r="H236" s="12">
        <f t="shared" si="64"/>
        <v>2269.1817815016398</v>
      </c>
      <c r="I236" s="12">
        <f t="shared" si="65"/>
        <v>3337.1892458982761</v>
      </c>
      <c r="K236">
        <f t="shared" si="61"/>
        <v>320000</v>
      </c>
      <c r="L236" s="12">
        <v>1343.0389126054165</v>
      </c>
      <c r="M236" s="12">
        <f t="shared" si="60"/>
        <v>1343.3809304030685</v>
      </c>
      <c r="N236" s="12">
        <f t="shared" si="62"/>
        <v>0.11697617391074737</v>
      </c>
      <c r="R236" s="2">
        <f t="shared" si="63"/>
        <v>0.64657431016783651</v>
      </c>
      <c r="V236">
        <v>234</v>
      </c>
      <c r="W236">
        <f t="shared" si="55"/>
        <v>0.43638705646005543</v>
      </c>
      <c r="X236">
        <f>SUM($W$3:W236)</f>
        <v>119.96973149581441</v>
      </c>
      <c r="Y236" s="4">
        <f t="shared" si="54"/>
        <v>0.51269116023852312</v>
      </c>
      <c r="AA236">
        <v>234</v>
      </c>
      <c r="AB236">
        <f t="shared" si="56"/>
        <v>0.43638705646005543</v>
      </c>
      <c r="AC236">
        <f>SUM($AB$3:AB236)</f>
        <v>116.77348206731745</v>
      </c>
      <c r="AD236" s="4">
        <f t="shared" si="57"/>
        <v>0.49903197464665577</v>
      </c>
    </row>
    <row r="237" spans="6:30" x14ac:dyDescent="0.25">
      <c r="F237">
        <v>322000</v>
      </c>
      <c r="G237" s="12">
        <v>2210.2935146480281</v>
      </c>
      <c r="H237" s="12">
        <f t="shared" si="64"/>
        <v>2266.8651794803095</v>
      </c>
      <c r="I237" s="12">
        <f t="shared" si="65"/>
        <v>3200.3532618959825</v>
      </c>
      <c r="K237">
        <f t="shared" si="61"/>
        <v>322000</v>
      </c>
      <c r="L237" s="12">
        <v>1340.5845750917604</v>
      </c>
      <c r="M237" s="12">
        <f t="shared" si="60"/>
        <v>1340.9414637395305</v>
      </c>
      <c r="N237" s="12">
        <f t="shared" si="62"/>
        <v>0.12736950690718468</v>
      </c>
      <c r="R237" s="2">
        <f t="shared" si="63"/>
        <v>0.6487535032966778</v>
      </c>
      <c r="V237">
        <v>235</v>
      </c>
      <c r="W237">
        <f t="shared" si="55"/>
        <v>0.43610428123901424</v>
      </c>
      <c r="X237">
        <f>SUM($W$3:W237)</f>
        <v>120.40583577705343</v>
      </c>
      <c r="Y237" s="4">
        <f t="shared" si="54"/>
        <v>0.51236525862575921</v>
      </c>
      <c r="AA237">
        <v>235</v>
      </c>
      <c r="AB237">
        <f t="shared" si="56"/>
        <v>0.43610428123901424</v>
      </c>
      <c r="AC237">
        <f>SUM($AB$3:AB237)</f>
        <v>117.20958634855646</v>
      </c>
      <c r="AD237" s="4">
        <f t="shared" si="57"/>
        <v>0.49876419722789983</v>
      </c>
    </row>
    <row r="238" spans="6:30" x14ac:dyDescent="0.25">
      <c r="F238">
        <v>324000</v>
      </c>
      <c r="G238" s="12">
        <v>2209.1835871570565</v>
      </c>
      <c r="H238" s="12">
        <f t="shared" si="64"/>
        <v>2264.5652649331828</v>
      </c>
      <c r="I238" s="12">
        <f t="shared" si="65"/>
        <v>3067.1302332986766</v>
      </c>
      <c r="K238">
        <f t="shared" si="61"/>
        <v>324000</v>
      </c>
      <c r="L238" s="12">
        <v>1338.15007749606</v>
      </c>
      <c r="M238" s="12">
        <f t="shared" si="60"/>
        <v>1338.5214910524746</v>
      </c>
      <c r="N238" s="12">
        <f t="shared" si="62"/>
        <v>0.13794802988854798</v>
      </c>
      <c r="R238" s="2">
        <f t="shared" si="63"/>
        <v>0.65092363278928334</v>
      </c>
      <c r="V238">
        <v>236</v>
      </c>
      <c r="W238">
        <f t="shared" si="55"/>
        <v>0.43582288883635051</v>
      </c>
      <c r="X238">
        <f>SUM($W$3:W238)</f>
        <v>120.84165866588978</v>
      </c>
      <c r="Y238" s="4">
        <f t="shared" si="54"/>
        <v>0.51204092655038047</v>
      </c>
      <c r="AA238">
        <v>236</v>
      </c>
      <c r="AB238">
        <f t="shared" si="56"/>
        <v>0.43582288883635051</v>
      </c>
      <c r="AC238">
        <f>SUM($AB$3:AB238)</f>
        <v>117.64540923739281</v>
      </c>
      <c r="AD238" s="4">
        <f t="shared" si="57"/>
        <v>0.4984974967686136</v>
      </c>
    </row>
    <row r="239" spans="6:30" x14ac:dyDescent="0.25">
      <c r="F239">
        <v>326000</v>
      </c>
      <c r="G239" s="12">
        <v>2208.0834397926656</v>
      </c>
      <c r="H239" s="12">
        <f t="shared" si="64"/>
        <v>2262.2818157510678</v>
      </c>
      <c r="I239" s="12">
        <f t="shared" si="65"/>
        <v>2937.4639565283169</v>
      </c>
      <c r="K239">
        <f t="shared" si="61"/>
        <v>326000</v>
      </c>
      <c r="L239" s="12">
        <v>1335.7351379932099</v>
      </c>
      <c r="M239" s="12">
        <f t="shared" si="60"/>
        <v>1336.1207376651455</v>
      </c>
      <c r="N239" s="12">
        <f t="shared" si="62"/>
        <v>0.14868710699680507</v>
      </c>
      <c r="R239" s="2">
        <f t="shared" si="63"/>
        <v>0.65308478978104878</v>
      </c>
      <c r="V239">
        <v>237</v>
      </c>
      <c r="W239">
        <f t="shared" si="55"/>
        <v>0.43554286667326814</v>
      </c>
      <c r="X239">
        <f>SUM($W$3:W239)</f>
        <v>121.27720153256305</v>
      </c>
      <c r="Y239" s="4">
        <f t="shared" si="54"/>
        <v>0.51171814992642639</v>
      </c>
      <c r="AA239">
        <v>237</v>
      </c>
      <c r="AB239">
        <f t="shared" si="56"/>
        <v>0.43554286667326814</v>
      </c>
      <c r="AC239">
        <f>SUM($AB$3:AB239)</f>
        <v>118.08095210406609</v>
      </c>
      <c r="AD239" s="4">
        <f t="shared" si="57"/>
        <v>0.49823186541800035</v>
      </c>
    </row>
    <row r="240" spans="6:30" x14ac:dyDescent="0.25">
      <c r="F240">
        <v>328000</v>
      </c>
      <c r="G240" s="12">
        <v>2206.9929268958854</v>
      </c>
      <c r="H240" s="12">
        <f t="shared" si="64"/>
        <v>2260.0146141207665</v>
      </c>
      <c r="I240" s="12">
        <f t="shared" si="65"/>
        <v>2811.2993161731233</v>
      </c>
      <c r="K240">
        <f t="shared" si="61"/>
        <v>328000</v>
      </c>
      <c r="L240" s="12">
        <v>1333.3394804629752</v>
      </c>
      <c r="M240" s="12">
        <f t="shared" si="60"/>
        <v>1333.7389344259341</v>
      </c>
      <c r="N240" s="12">
        <f t="shared" si="62"/>
        <v>0.15956346852355996</v>
      </c>
      <c r="R240" s="2">
        <f t="shared" si="63"/>
        <v>0.65523706395429904</v>
      </c>
      <c r="V240">
        <v>238</v>
      </c>
      <c r="W240">
        <f t="shared" si="55"/>
        <v>0.43526420233785895</v>
      </c>
      <c r="X240">
        <f>SUM($W$3:W240)</f>
        <v>121.71246573490092</v>
      </c>
      <c r="Y240" s="4">
        <f t="shared" si="54"/>
        <v>0.51139691485252481</v>
      </c>
      <c r="AA240">
        <v>238</v>
      </c>
      <c r="AB240">
        <f t="shared" si="56"/>
        <v>0.43526420233785895</v>
      </c>
      <c r="AC240">
        <f>SUM($AB$3:AB240)</f>
        <v>118.51621630640395</v>
      </c>
      <c r="AD240" s="4">
        <f t="shared" si="57"/>
        <v>0.49796729540505863</v>
      </c>
    </row>
    <row r="241" spans="6:30" x14ac:dyDescent="0.25">
      <c r="F241">
        <v>330000</v>
      </c>
      <c r="G241" s="12">
        <v>2205.9119058506722</v>
      </c>
      <c r="H241" s="12">
        <f t="shared" si="64"/>
        <v>2257.7634464163871</v>
      </c>
      <c r="I241" s="12">
        <f t="shared" si="65"/>
        <v>2688.5822590379794</v>
      </c>
      <c r="K241">
        <f t="shared" si="61"/>
        <v>330000</v>
      </c>
      <c r="L241" s="12">
        <v>1330.9628343405036</v>
      </c>
      <c r="M241" s="12">
        <f t="shared" si="60"/>
        <v>1331.3758175643536</v>
      </c>
      <c r="N241" s="12">
        <f t="shared" si="62"/>
        <v>0.17055514318154394</v>
      </c>
      <c r="R241" s="2">
        <f t="shared" si="63"/>
        <v>0.65738054356995534</v>
      </c>
      <c r="V241">
        <v>239</v>
      </c>
      <c r="W241">
        <f t="shared" si="55"/>
        <v>0.43498688358219839</v>
      </c>
      <c r="X241">
        <f>SUM($W$3:W241)</f>
        <v>122.14745261848311</v>
      </c>
      <c r="Y241" s="4">
        <f t="shared" si="54"/>
        <v>0.511077207608716</v>
      </c>
      <c r="AA241">
        <v>239</v>
      </c>
      <c r="AB241">
        <f t="shared" si="56"/>
        <v>0.43498688358219839</v>
      </c>
      <c r="AC241">
        <f>SUM($AB$3:AB241)</f>
        <v>118.95120318998615</v>
      </c>
      <c r="AD241" s="4">
        <f t="shared" si="57"/>
        <v>0.49770377903759894</v>
      </c>
    </row>
    <row r="242" spans="6:30" x14ac:dyDescent="0.25">
      <c r="F242">
        <v>332000</v>
      </c>
      <c r="G242" s="12">
        <v>2204.8402370023186</v>
      </c>
      <c r="H242" s="12">
        <f t="shared" si="64"/>
        <v>2255.5281030940387</v>
      </c>
      <c r="I242" s="12">
        <f t="shared" si="65"/>
        <v>2569.2597689321406</v>
      </c>
      <c r="K242">
        <f t="shared" si="61"/>
        <v>332000</v>
      </c>
      <c r="L242" s="12">
        <v>1328.6049344716375</v>
      </c>
      <c r="M242" s="12">
        <f t="shared" si="60"/>
        <v>1329.0311285516211</v>
      </c>
      <c r="N242" s="12">
        <f t="shared" si="62"/>
        <v>0.18164139381305733</v>
      </c>
      <c r="R242" s="2">
        <f t="shared" si="63"/>
        <v>0.65951531549831577</v>
      </c>
      <c r="V242">
        <v>240</v>
      </c>
      <c r="W242">
        <f t="shared" si="55"/>
        <v>0.43471089831950382</v>
      </c>
      <c r="X242">
        <f>SUM($W$3:W242)</f>
        <v>122.58216351680262</v>
      </c>
      <c r="Y242" s="4">
        <f t="shared" si="54"/>
        <v>0.51075901465334428</v>
      </c>
      <c r="AA242">
        <v>240</v>
      </c>
      <c r="AB242">
        <f t="shared" si="56"/>
        <v>0.43471089831950382</v>
      </c>
      <c r="AC242">
        <f>SUM($AB$3:AB242)</f>
        <v>119.38591408830565</v>
      </c>
      <c r="AD242" s="4">
        <f t="shared" si="57"/>
        <v>0.49744130870127357</v>
      </c>
    </row>
    <row r="243" spans="6:30" x14ac:dyDescent="0.25">
      <c r="F243">
        <v>334000</v>
      </c>
      <c r="G243" s="12">
        <v>2203.7777835785369</v>
      </c>
      <c r="H243" s="12">
        <f t="shared" si="64"/>
        <v>2253.3083785897979</v>
      </c>
      <c r="I243" s="12">
        <f t="shared" si="65"/>
        <v>2453.2798421695616</v>
      </c>
      <c r="K243">
        <f t="shared" si="61"/>
        <v>334000</v>
      </c>
      <c r="L243" s="12">
        <v>1326.2655209728418</v>
      </c>
      <c r="M243" s="12">
        <f t="shared" si="60"/>
        <v>1326.7046139656609</v>
      </c>
      <c r="N243" s="12">
        <f t="shared" si="62"/>
        <v>0.19280265634278299</v>
      </c>
      <c r="R243" s="2">
        <f t="shared" si="63"/>
        <v>0.66164146524899659</v>
      </c>
      <c r="V243">
        <v>241</v>
      </c>
      <c r="W243">
        <f t="shared" si="55"/>
        <v>0.43443623462135333</v>
      </c>
      <c r="X243">
        <f>SUM($W$3:W243)</f>
        <v>123.01659975142398</v>
      </c>
      <c r="Y243" s="4">
        <f t="shared" si="54"/>
        <v>0.51044232262001654</v>
      </c>
      <c r="AA243">
        <v>241</v>
      </c>
      <c r="AB243">
        <f t="shared" si="56"/>
        <v>0.43443623462135333</v>
      </c>
      <c r="AC243">
        <f>SUM($AB$3:AB243)</f>
        <v>119.82035032292701</v>
      </c>
      <c r="AD243" s="4">
        <f t="shared" si="57"/>
        <v>0.49717987685861831</v>
      </c>
    </row>
    <row r="244" spans="6:30" x14ac:dyDescent="0.25">
      <c r="F244">
        <v>336000</v>
      </c>
      <c r="G244" s="12">
        <v>2202.7244116131019</v>
      </c>
      <c r="H244" s="12">
        <f t="shared" si="64"/>
        <v>2251.1040712208169</v>
      </c>
      <c r="I244" s="12">
        <f t="shared" si="65"/>
        <v>2340.5914637583687</v>
      </c>
      <c r="K244">
        <f t="shared" si="61"/>
        <v>336000</v>
      </c>
      <c r="L244" s="12">
        <v>1323.9443390955712</v>
      </c>
      <c r="M244" s="12">
        <f t="shared" si="60"/>
        <v>1324.3960253603736</v>
      </c>
      <c r="N244" s="12">
        <f t="shared" si="62"/>
        <v>0.20402048181118637</v>
      </c>
      <c r="R244" s="2">
        <f t="shared" si="63"/>
        <v>0.66375907700005987</v>
      </c>
      <c r="V244">
        <v>242</v>
      </c>
      <c r="W244">
        <f t="shared" si="55"/>
        <v>0.43416288071496356</v>
      </c>
      <c r="X244">
        <f>SUM($W$3:W244)</f>
        <v>123.45076263213895</v>
      </c>
      <c r="Y244" s="4">
        <f t="shared" si="54"/>
        <v>0.51012711831462376</v>
      </c>
      <c r="AA244">
        <v>242</v>
      </c>
      <c r="AB244">
        <f t="shared" si="56"/>
        <v>0.43416288071496356</v>
      </c>
      <c r="AC244">
        <f>SUM($AB$3:AB244)</f>
        <v>120.25451320364198</v>
      </c>
      <c r="AD244" s="4">
        <f t="shared" si="57"/>
        <v>0.49691947604810732</v>
      </c>
    </row>
    <row r="245" spans="6:30" x14ac:dyDescent="0.25">
      <c r="F245">
        <v>338000</v>
      </c>
      <c r="G245" s="12">
        <v>2201.6799898719555</v>
      </c>
      <c r="H245" s="12">
        <f t="shared" si="64"/>
        <v>2248.9149830894585</v>
      </c>
      <c r="I245" s="12">
        <f t="shared" si="65"/>
        <v>2231.1445842575508</v>
      </c>
      <c r="K245">
        <f t="shared" si="61"/>
        <v>338000</v>
      </c>
      <c r="L245" s="12">
        <v>1321.6411390949122</v>
      </c>
      <c r="M245" s="12">
        <f t="shared" si="60"/>
        <v>1322.1051191390043</v>
      </c>
      <c r="N245" s="12">
        <f t="shared" si="62"/>
        <v>0.21527748131567742</v>
      </c>
      <c r="R245" s="2">
        <f t="shared" si="63"/>
        <v>0.66586823362634773</v>
      </c>
      <c r="V245">
        <v>243</v>
      </c>
      <c r="W245">
        <f t="shared" si="55"/>
        <v>0.43389082498052634</v>
      </c>
      <c r="X245">
        <f>SUM($W$3:W245)</f>
        <v>123.88465345711947</v>
      </c>
      <c r="Y245" s="4">
        <f t="shared" si="54"/>
        <v>0.50981338871242576</v>
      </c>
      <c r="AA245">
        <v>243</v>
      </c>
      <c r="AB245">
        <f t="shared" si="56"/>
        <v>0.43389082498052634</v>
      </c>
      <c r="AC245">
        <f>SUM($AB$3:AB245)</f>
        <v>120.6884040286225</v>
      </c>
      <c r="AD245" s="4">
        <f t="shared" si="57"/>
        <v>0.49666009888322016</v>
      </c>
    </row>
    <row r="246" spans="6:30" x14ac:dyDescent="0.25">
      <c r="F246">
        <v>340000</v>
      </c>
      <c r="G246" s="12">
        <v>2200.6443897816839</v>
      </c>
      <c r="H246" s="12">
        <f t="shared" si="64"/>
        <v>2246.7409199903536</v>
      </c>
      <c r="I246" s="12">
        <f t="shared" si="65"/>
        <v>2124.8900972788001</v>
      </c>
      <c r="K246">
        <f t="shared" si="61"/>
        <v>340000</v>
      </c>
      <c r="L246" s="12">
        <v>1319.3556761023431</v>
      </c>
      <c r="M246" s="12">
        <f t="shared" si="60"/>
        <v>1319.8316564314637</v>
      </c>
      <c r="N246" s="12">
        <f t="shared" si="62"/>
        <v>0.2265572737097572</v>
      </c>
      <c r="R246" s="2">
        <f t="shared" si="63"/>
        <v>0.66796901672705489</v>
      </c>
      <c r="V246">
        <v>244</v>
      </c>
      <c r="W246">
        <f t="shared" si="55"/>
        <v>0.43362005594860042</v>
      </c>
      <c r="X246">
        <f>SUM($W$3:W246)</f>
        <v>124.31827351306806</v>
      </c>
      <c r="Y246" s="4">
        <f t="shared" ref="Y246:Y309" si="66">X246/V246</f>
        <v>0.50950112095519695</v>
      </c>
      <c r="AA246">
        <v>244</v>
      </c>
      <c r="AB246">
        <f t="shared" si="56"/>
        <v>0.43362005594860042</v>
      </c>
      <c r="AC246">
        <f>SUM($AB$3:AB246)</f>
        <v>121.12202408457109</v>
      </c>
      <c r="AD246" s="4">
        <f t="shared" si="57"/>
        <v>0.49640173805152088</v>
      </c>
    </row>
    <row r="247" spans="6:30" x14ac:dyDescent="0.25">
      <c r="F247">
        <v>342000</v>
      </c>
      <c r="G247" s="12">
        <v>2199.6174853602747</v>
      </c>
      <c r="H247" s="12">
        <f t="shared" si="64"/>
        <v>2244.5816913202721</v>
      </c>
      <c r="I247" s="12">
        <f t="shared" si="65"/>
        <v>2021.7798176130607</v>
      </c>
      <c r="K247">
        <f t="shared" si="61"/>
        <v>342000</v>
      </c>
      <c r="L247" s="12">
        <v>1317.0877100024529</v>
      </c>
      <c r="M247" s="12">
        <f t="shared" si="60"/>
        <v>1317.5754029754503</v>
      </c>
      <c r="N247" s="12">
        <f t="shared" si="62"/>
        <v>0.23784443591100893</v>
      </c>
      <c r="R247" s="2">
        <f t="shared" si="63"/>
        <v>0.67006150665256614</v>
      </c>
      <c r="V247">
        <v>245</v>
      </c>
      <c r="W247">
        <f t="shared" si="55"/>
        <v>0.43335056229755936</v>
      </c>
      <c r="X247">
        <f>SUM($W$3:W247)</f>
        <v>124.75162407536563</v>
      </c>
      <c r="Y247" s="4">
        <f t="shared" si="66"/>
        <v>0.5091903023484311</v>
      </c>
      <c r="AA247">
        <v>245</v>
      </c>
      <c r="AB247">
        <f t="shared" si="56"/>
        <v>0.43335056229755936</v>
      </c>
      <c r="AC247">
        <f>SUM($AB$3:AB247)</f>
        <v>121.55537464686866</v>
      </c>
      <c r="AD247" s="4">
        <f t="shared" si="57"/>
        <v>0.49614438631374963</v>
      </c>
    </row>
    <row r="248" spans="6:30" x14ac:dyDescent="0.25">
      <c r="F248">
        <v>344000</v>
      </c>
      <c r="G248" s="12">
        <v>2198.5991531500717</v>
      </c>
      <c r="H248" s="12">
        <f t="shared" si="64"/>
        <v>2242.4371099907025</v>
      </c>
      <c r="I248" s="12">
        <f t="shared" si="65"/>
        <v>1921.7664599610084</v>
      </c>
      <c r="K248">
        <f t="shared" si="61"/>
        <v>344000</v>
      </c>
      <c r="L248" s="12">
        <v>1314.8370053134845</v>
      </c>
      <c r="M248" s="12">
        <f t="shared" si="60"/>
        <v>1315.3361290012388</v>
      </c>
      <c r="N248" s="12">
        <f t="shared" si="62"/>
        <v>0.24912445567741534</v>
      </c>
      <c r="R248" s="2">
        <f t="shared" si="63"/>
        <v>0.672145782530573</v>
      </c>
      <c r="V248">
        <v>246</v>
      </c>
      <c r="W248">
        <f t="shared" si="55"/>
        <v>0.43308233285109232</v>
      </c>
      <c r="X248">
        <f>SUM($W$3:W248)</f>
        <v>125.18470640821671</v>
      </c>
      <c r="Y248" s="4">
        <f t="shared" si="66"/>
        <v>0.50888092035860455</v>
      </c>
      <c r="AA248">
        <v>246</v>
      </c>
      <c r="AB248">
        <f t="shared" si="56"/>
        <v>0.43308233285109232</v>
      </c>
      <c r="AC248">
        <f>SUM($AB$3:AB248)</f>
        <v>121.98845697971974</v>
      </c>
      <c r="AD248" s="4">
        <f t="shared" si="57"/>
        <v>0.49588803650292579</v>
      </c>
    </row>
    <row r="249" spans="6:30" x14ac:dyDescent="0.25">
      <c r="F249">
        <v>346000</v>
      </c>
      <c r="G249" s="12">
        <v>2197.589272152843</v>
      </c>
      <c r="H249" s="12">
        <f t="shared" si="64"/>
        <v>2240.3069923430548</v>
      </c>
      <c r="I249" s="12">
        <f t="shared" si="65"/>
        <v>1824.8036182492308</v>
      </c>
      <c r="K249">
        <f t="shared" si="61"/>
        <v>346000</v>
      </c>
      <c r="L249" s="12">
        <v>1312.6033310715482</v>
      </c>
      <c r="M249" s="12">
        <f t="shared" si="60"/>
        <v>1313.1136091200028</v>
      </c>
      <c r="N249" s="12">
        <f t="shared" si="62"/>
        <v>0.26038368673470208</v>
      </c>
      <c r="R249" s="2">
        <f t="shared" si="63"/>
        <v>0.67422192229150713</v>
      </c>
      <c r="V249">
        <v>247</v>
      </c>
      <c r="W249">
        <f t="shared" si="55"/>
        <v>0.43281535657575632</v>
      </c>
      <c r="X249">
        <f>SUM($W$3:W249)</f>
        <v>125.61752176479247</v>
      </c>
      <c r="Y249" s="4">
        <f t="shared" si="66"/>
        <v>0.50857296261049578</v>
      </c>
      <c r="AA249">
        <v>247</v>
      </c>
      <c r="AB249">
        <f t="shared" si="56"/>
        <v>0.43281535657575632</v>
      </c>
      <c r="AC249">
        <f>SUM($AB$3:AB249)</f>
        <v>122.4212723362955</v>
      </c>
      <c r="AD249" s="4">
        <f t="shared" si="57"/>
        <v>0.49563268152346357</v>
      </c>
    </row>
    <row r="250" spans="6:30" x14ac:dyDescent="0.25">
      <c r="F250">
        <v>348000</v>
      </c>
      <c r="G250" s="12">
        <v>2196.5877237668769</v>
      </c>
      <c r="H250" s="12">
        <f t="shared" si="64"/>
        <v>2238.191158066375</v>
      </c>
      <c r="I250" s="12">
        <f t="shared" si="65"/>
        <v>1730.8457455126529</v>
      </c>
      <c r="K250">
        <f t="shared" si="61"/>
        <v>348000</v>
      </c>
      <c r="L250" s="12">
        <v>1310.3864607183864</v>
      </c>
      <c r="M250" s="12">
        <f t="shared" si="60"/>
        <v>1310.9076222155343</v>
      </c>
      <c r="N250" s="12">
        <f t="shared" si="62"/>
        <v>0.27160930610942663</v>
      </c>
      <c r="R250" s="2">
        <f t="shared" si="63"/>
        <v>0.67629000269329165</v>
      </c>
      <c r="V250">
        <v>248</v>
      </c>
      <c r="W250">
        <f t="shared" si="55"/>
        <v>0.43254962257858137</v>
      </c>
      <c r="X250">
        <f>SUM($W$3:W250)</f>
        <v>126.05007138737105</v>
      </c>
      <c r="Y250" s="4">
        <f t="shared" si="66"/>
        <v>0.50826641688456065</v>
      </c>
      <c r="AA250">
        <v>248</v>
      </c>
      <c r="AB250">
        <f t="shared" si="56"/>
        <v>0.43254962257858137</v>
      </c>
      <c r="AC250">
        <f>SUM($AB$3:AB250)</f>
        <v>122.85382195887408</v>
      </c>
      <c r="AD250" s="4">
        <f t="shared" si="57"/>
        <v>0.49537831435029872</v>
      </c>
    </row>
    <row r="251" spans="6:30" x14ac:dyDescent="0.25">
      <c r="F251">
        <v>350000</v>
      </c>
      <c r="G251" s="12">
        <v>2195.5943917260488</v>
      </c>
      <c r="H251" s="12">
        <f t="shared" si="64"/>
        <v>2236.0894301175072</v>
      </c>
      <c r="I251" s="12">
        <f t="shared" si="65"/>
        <v>1639.8481343256869</v>
      </c>
      <c r="K251">
        <f t="shared" si="61"/>
        <v>350000</v>
      </c>
      <c r="L251" s="12">
        <v>1308.1861719925473</v>
      </c>
      <c r="M251" s="12">
        <f t="shared" si="60"/>
        <v>1308.7179513392518</v>
      </c>
      <c r="N251" s="12">
        <f t="shared" si="62"/>
        <v>0.28278927358149125</v>
      </c>
      <c r="R251" s="2">
        <f t="shared" si="63"/>
        <v>0.67835009934546009</v>
      </c>
      <c r="V251">
        <v>249</v>
      </c>
      <c r="W251">
        <f t="shared" si="55"/>
        <v>0.43228512010472347</v>
      </c>
      <c r="X251">
        <f>SUM($W$3:W251)</f>
        <v>126.48235650747577</v>
      </c>
      <c r="Y251" s="4">
        <f t="shared" si="66"/>
        <v>0.50796127111436051</v>
      </c>
      <c r="AA251">
        <v>249</v>
      </c>
      <c r="AB251">
        <f t="shared" si="56"/>
        <v>0.43228512010472347</v>
      </c>
      <c r="AC251">
        <f>SUM($AB$3:AB251)</f>
        <v>123.2861070789788</v>
      </c>
      <c r="AD251" s="4">
        <f t="shared" si="57"/>
        <v>0.49512492802802732</v>
      </c>
    </row>
    <row r="252" spans="6:30" x14ac:dyDescent="0.25">
      <c r="F252">
        <v>352000</v>
      </c>
      <c r="G252" s="12">
        <v>2194.6091620407692</v>
      </c>
      <c r="H252" s="12">
        <f t="shared" si="64"/>
        <v>2234.0016346435905</v>
      </c>
      <c r="I252" s="12">
        <f t="shared" si="65"/>
        <v>1551.7668977640244</v>
      </c>
      <c r="K252">
        <f t="shared" si="61"/>
        <v>352000</v>
      </c>
      <c r="L252" s="12">
        <v>1306.0022468238565</v>
      </c>
      <c r="M252" s="12">
        <f t="shared" si="60"/>
        <v>1306.5443836083657</v>
      </c>
      <c r="N252" s="12">
        <f t="shared" si="62"/>
        <v>0.29391229311801714</v>
      </c>
      <c r="R252" s="2">
        <f t="shared" si="63"/>
        <v>0.68040228673263625</v>
      </c>
      <c r="V252">
        <v>250</v>
      </c>
      <c r="W252">
        <f t="shared" si="55"/>
        <v>0.43202183853516679</v>
      </c>
      <c r="X252">
        <f>SUM($W$3:W252)</f>
        <v>126.91437834601093</v>
      </c>
      <c r="Y252" s="4">
        <f t="shared" si="66"/>
        <v>0.50765751338404375</v>
      </c>
      <c r="AA252">
        <v>250</v>
      </c>
      <c r="AB252">
        <f t="shared" si="56"/>
        <v>0.43202183853516679</v>
      </c>
      <c r="AC252">
        <f>SUM($AB$3:AB252)</f>
        <v>123.71812891751397</v>
      </c>
      <c r="AD252" s="4">
        <f t="shared" si="57"/>
        <v>0.49487251567005586</v>
      </c>
    </row>
    <row r="253" spans="6:30" x14ac:dyDescent="0.25">
      <c r="F253">
        <v>354000</v>
      </c>
      <c r="G253" s="12">
        <v>2193.6319229407522</v>
      </c>
      <c r="H253" s="12">
        <f t="shared" si="64"/>
        <v>2231.9276009068344</v>
      </c>
      <c r="I253" s="12">
        <f t="shared" si="65"/>
        <v>1466.5589508818712</v>
      </c>
      <c r="K253">
        <f t="shared" si="61"/>
        <v>354000</v>
      </c>
      <c r="L253" s="12">
        <v>1303.834471231065</v>
      </c>
      <c r="M253" s="12">
        <f t="shared" si="60"/>
        <v>1304.386710107096</v>
      </c>
      <c r="N253" s="12">
        <f t="shared" si="62"/>
        <v>0.30496777619994858</v>
      </c>
      <c r="R253" s="2">
        <f t="shared" si="63"/>
        <v>0.68244663823740681</v>
      </c>
      <c r="V253">
        <v>251</v>
      </c>
      <c r="W253">
        <f t="shared" si="55"/>
        <v>0.43175976738447303</v>
      </c>
      <c r="X253">
        <f>SUM($W$3:W253)</f>
        <v>127.34613811339541</v>
      </c>
      <c r="Y253" s="4">
        <f t="shared" si="66"/>
        <v>0.50735513192587811</v>
      </c>
      <c r="AA253">
        <v>251</v>
      </c>
      <c r="AB253">
        <f t="shared" si="56"/>
        <v>0.43175976738447303</v>
      </c>
      <c r="AC253">
        <f>SUM($AB$3:AB253)</f>
        <v>124.14988868489844</v>
      </c>
      <c r="AD253" s="4">
        <f t="shared" si="57"/>
        <v>0.49462107045776271</v>
      </c>
    </row>
    <row r="254" spans="6:30" x14ac:dyDescent="0.25">
      <c r="F254">
        <v>356000</v>
      </c>
      <c r="G254" s="12">
        <v>2192.6625648195391</v>
      </c>
      <c r="H254" s="12">
        <f t="shared" si="64"/>
        <v>2229.8671612114686</v>
      </c>
      <c r="I254" s="12">
        <f t="shared" si="65"/>
        <v>1384.1819926863734</v>
      </c>
      <c r="K254">
        <f t="shared" si="61"/>
        <v>356000</v>
      </c>
      <c r="L254" s="12">
        <v>1301.6826352225528</v>
      </c>
      <c r="M254" s="12">
        <f t="shared" si="60"/>
        <v>1302.2447257908343</v>
      </c>
      <c r="N254" s="12">
        <f t="shared" si="62"/>
        <v>0.31594580695104113</v>
      </c>
      <c r="R254" s="2">
        <f t="shared" si="63"/>
        <v>0.68448322616261414</v>
      </c>
      <c r="V254">
        <v>252</v>
      </c>
      <c r="W254">
        <f t="shared" si="55"/>
        <v>0.43149889629857691</v>
      </c>
      <c r="X254">
        <f>SUM($W$3:W254)</f>
        <v>127.77763700969399</v>
      </c>
      <c r="Y254" s="4">
        <f t="shared" si="66"/>
        <v>0.50705411511783327</v>
      </c>
      <c r="AA254">
        <v>252</v>
      </c>
      <c r="AB254">
        <f t="shared" si="56"/>
        <v>0.43149889629857691</v>
      </c>
      <c r="AC254">
        <f>SUM($AB$3:AB254)</f>
        <v>124.58138758119702</v>
      </c>
      <c r="AD254" s="4">
        <f t="shared" si="57"/>
        <v>0.49437058563967073</v>
      </c>
    </row>
    <row r="255" spans="6:30" x14ac:dyDescent="0.25">
      <c r="F255">
        <v>358000</v>
      </c>
      <c r="G255" s="12">
        <v>2191.7009801807062</v>
      </c>
      <c r="H255" s="12">
        <f t="shared" si="64"/>
        <v>2227.8201508328189</v>
      </c>
      <c r="I255" s="12">
        <f t="shared" si="65"/>
        <v>1304.5944885964352</v>
      </c>
      <c r="K255">
        <f t="shared" si="61"/>
        <v>358000</v>
      </c>
      <c r="L255" s="12">
        <v>1299.5465326999927</v>
      </c>
      <c r="M255" s="12">
        <f t="shared" si="60"/>
        <v>1300.1182293931431</v>
      </c>
      <c r="N255" s="12">
        <f t="shared" si="62"/>
        <v>0.3268371089591518</v>
      </c>
      <c r="R255" s="2">
        <f t="shared" si="63"/>
        <v>0.68651212175306719</v>
      </c>
      <c r="V255">
        <v>253</v>
      </c>
      <c r="W255">
        <f t="shared" si="55"/>
        <v>0.43123921505262663</v>
      </c>
      <c r="X255">
        <f>SUM($W$3:W255)</f>
        <v>128.2088762247466</v>
      </c>
      <c r="Y255" s="4">
        <f t="shared" si="66"/>
        <v>0.5067544514812119</v>
      </c>
      <c r="AA255">
        <v>253</v>
      </c>
      <c r="AB255">
        <f t="shared" si="56"/>
        <v>0.43123921505262663</v>
      </c>
      <c r="AC255">
        <f>SUM($AB$3:AB255)</f>
        <v>125.01262679624965</v>
      </c>
      <c r="AD255" s="4">
        <f t="shared" si="57"/>
        <v>0.49412105453063104</v>
      </c>
    </row>
    <row r="256" spans="6:30" x14ac:dyDescent="0.25">
      <c r="F256">
        <v>360000</v>
      </c>
      <c r="G256" s="12">
        <v>2190.7470635857103</v>
      </c>
      <c r="H256" s="12">
        <f t="shared" si="64"/>
        <v>2225.7864079484148</v>
      </c>
      <c r="I256" s="12">
        <f t="shared" si="65"/>
        <v>1227.7556533681895</v>
      </c>
      <c r="K256">
        <f t="shared" si="61"/>
        <v>360000</v>
      </c>
      <c r="L256" s="12">
        <v>1297.4259613648655</v>
      </c>
      <c r="M256" s="12">
        <f t="shared" si="60"/>
        <v>1298.0070233354941</v>
      </c>
      <c r="N256" s="12">
        <f t="shared" si="62"/>
        <v>0.33763301371070503</v>
      </c>
      <c r="R256" s="2">
        <f t="shared" si="63"/>
        <v>0.68853339521670209</v>
      </c>
      <c r="V256">
        <v>254</v>
      </c>
      <c r="W256">
        <f t="shared" si="55"/>
        <v>0.43098071354886786</v>
      </c>
      <c r="X256">
        <f>SUM($W$3:W256)</f>
        <v>128.63985693829548</v>
      </c>
      <c r="Y256" s="4">
        <f t="shared" si="66"/>
        <v>0.50645612967832865</v>
      </c>
      <c r="AA256">
        <v>254</v>
      </c>
      <c r="AB256">
        <f t="shared" si="56"/>
        <v>0.43098071354886786</v>
      </c>
      <c r="AC256">
        <f>SUM($AB$3:AB256)</f>
        <v>125.44360750979851</v>
      </c>
      <c r="AD256" s="4">
        <f t="shared" si="57"/>
        <v>0.49387247051101774</v>
      </c>
    </row>
    <row r="257" spans="6:30" x14ac:dyDescent="0.25">
      <c r="F257">
        <v>362000</v>
      </c>
      <c r="G257" s="12">
        <v>2189.8007116033018</v>
      </c>
      <c r="H257" s="12">
        <f t="shared" si="64"/>
        <v>2223.765773571065</v>
      </c>
      <c r="I257" s="12">
        <f t="shared" si="65"/>
        <v>1153.6254344739925</v>
      </c>
      <c r="K257">
        <f t="shared" si="61"/>
        <v>362000</v>
      </c>
      <c r="L257" s="12">
        <v>1295.3207226277177</v>
      </c>
      <c r="M257" s="12">
        <f t="shared" si="60"/>
        <v>1295.9109136396523</v>
      </c>
      <c r="N257" s="12">
        <f t="shared" si="62"/>
        <v>0.3483254305684122</v>
      </c>
      <c r="R257" s="2">
        <f t="shared" si="63"/>
        <v>0.69054711574521965</v>
      </c>
      <c r="V257">
        <v>255</v>
      </c>
      <c r="W257">
        <f t="shared" si="55"/>
        <v>0.43072338181457093</v>
      </c>
      <c r="X257">
        <f>SUM($W$3:W257)</f>
        <v>129.07058032011005</v>
      </c>
      <c r="Y257" s="4">
        <f t="shared" si="66"/>
        <v>0.50615913851023553</v>
      </c>
      <c r="AA257">
        <v>255</v>
      </c>
      <c r="AB257">
        <f t="shared" si="56"/>
        <v>0.43072338181457093</v>
      </c>
      <c r="AC257">
        <f>SUM($AB$3:AB257)</f>
        <v>125.87433089161308</v>
      </c>
      <c r="AD257" s="4">
        <f t="shared" si="57"/>
        <v>0.49362482702593369</v>
      </c>
    </row>
    <row r="258" spans="6:30" x14ac:dyDescent="0.25">
      <c r="F258">
        <v>364000</v>
      </c>
      <c r="G258" s="12">
        <v>2188.8618227604493</v>
      </c>
      <c r="H258" s="12">
        <f t="shared" si="64"/>
        <v>2221.7580914838431</v>
      </c>
      <c r="I258" s="12">
        <f t="shared" si="65"/>
        <v>1082.164495921741</v>
      </c>
      <c r="K258">
        <f t="shared" si="61"/>
        <v>364000</v>
      </c>
      <c r="L258" s="12">
        <v>1293.2306215200827</v>
      </c>
      <c r="M258" s="12">
        <f t="shared" si="60"/>
        <v>1293.8297098426101</v>
      </c>
      <c r="N258" s="12">
        <f t="shared" si="62"/>
        <v>0.35890681818875414</v>
      </c>
      <c r="R258" s="2">
        <f t="shared" si="63"/>
        <v>0.69255335153418218</v>
      </c>
      <c r="V258">
        <v>256</v>
      </c>
      <c r="W258">
        <f t="shared" si="55"/>
        <v>0.43046721000000004</v>
      </c>
      <c r="X258">
        <f>SUM($W$3:W258)</f>
        <v>129.50104753011004</v>
      </c>
      <c r="Y258" s="4">
        <f t="shared" si="66"/>
        <v>0.50586346691449235</v>
      </c>
      <c r="AA258">
        <v>256</v>
      </c>
      <c r="AB258">
        <f t="shared" si="56"/>
        <v>0.43046721000000004</v>
      </c>
      <c r="AC258">
        <f>SUM($AB$3:AB258)</f>
        <v>126.30479810161309</v>
      </c>
      <c r="AD258" s="4">
        <f t="shared" si="57"/>
        <v>0.49337811758442612</v>
      </c>
    </row>
    <row r="259" spans="6:30" x14ac:dyDescent="0.25">
      <c r="F259">
        <v>366000</v>
      </c>
      <c r="G259" s="12">
        <v>2187.9302974947345</v>
      </c>
      <c r="H259" s="12">
        <f t="shared" si="64"/>
        <v>2219.7632081769075</v>
      </c>
      <c r="I259" s="12">
        <f t="shared" si="65"/>
        <v>1013.3342024992007</v>
      </c>
      <c r="K259">
        <f t="shared" si="61"/>
        <v>366000</v>
      </c>
      <c r="L259" s="12">
        <v>1291.1554666089628</v>
      </c>
      <c r="M259" s="12">
        <f t="shared" si="60"/>
        <v>1291.7632249139901</v>
      </c>
      <c r="N259" s="12">
        <f t="shared" si="62"/>
        <v>0.36937015732971262</v>
      </c>
      <c r="R259" s="2">
        <f t="shared" si="63"/>
        <v>0.6945521698026218</v>
      </c>
      <c r="V259">
        <v>257</v>
      </c>
      <c r="W259">
        <f t="shared" si="55"/>
        <v>0.4302121883764225</v>
      </c>
      <c r="X259">
        <f>SUM($W$3:W259)</f>
        <v>129.93125971848647</v>
      </c>
      <c r="Y259" s="4">
        <f t="shared" si="66"/>
        <v>0.50556910396298238</v>
      </c>
      <c r="AA259">
        <v>257</v>
      </c>
      <c r="AB259">
        <f t="shared" si="56"/>
        <v>0.4302121883764225</v>
      </c>
      <c r="AC259">
        <f>SUM($AB$3:AB259)</f>
        <v>126.7350102899895</v>
      </c>
      <c r="AD259" s="4">
        <f t="shared" si="57"/>
        <v>0.49313233575871401</v>
      </c>
    </row>
    <row r="260" spans="6:30" x14ac:dyDescent="0.25">
      <c r="F260">
        <v>368000</v>
      </c>
      <c r="G260" s="12">
        <v>2187.0060381081453</v>
      </c>
      <c r="H260" s="12">
        <f t="shared" si="64"/>
        <v>2217.7809727861004</v>
      </c>
      <c r="I260" s="12">
        <f t="shared" si="65"/>
        <v>947.09660443240432</v>
      </c>
      <c r="K260">
        <f t="shared" si="61"/>
        <v>368000</v>
      </c>
      <c r="L260" s="12">
        <v>1289.0950699137818</v>
      </c>
      <c r="M260" s="12">
        <f t="shared" si="60"/>
        <v>1289.7112751758225</v>
      </c>
      <c r="N260" s="12">
        <f t="shared" si="62"/>
        <v>0.37970892496664027</v>
      </c>
      <c r="R260" s="2">
        <f t="shared" si="63"/>
        <v>0.69654363681215403</v>
      </c>
      <c r="V260">
        <v>258</v>
      </c>
      <c r="W260">
        <f t="shared" ref="W260:W323" si="67">V260^(-$D$5)</f>
        <v>0.42995830733415863</v>
      </c>
      <c r="X260">
        <f>SUM($W$3:W260)</f>
        <v>130.36121802582062</v>
      </c>
      <c r="Y260" s="4">
        <f t="shared" si="66"/>
        <v>0.50527603885976979</v>
      </c>
      <c r="AA260">
        <v>258</v>
      </c>
      <c r="AB260">
        <f t="shared" ref="AB260:AB323" si="68">AA260^(-$D$5)</f>
        <v>0.42995830733415863</v>
      </c>
      <c r="AC260">
        <f>SUM($AB$3:AB260)</f>
        <v>127.16496859732366</v>
      </c>
      <c r="AD260" s="4">
        <f t="shared" si="57"/>
        <v>0.49288747518342507</v>
      </c>
    </row>
    <row r="261" spans="6:30" x14ac:dyDescent="0.25">
      <c r="F261">
        <v>370000</v>
      </c>
      <c r="G261" s="12">
        <v>2186.0889487222471</v>
      </c>
      <c r="H261" s="12">
        <f t="shared" si="64"/>
        <v>2215.811237033261</v>
      </c>
      <c r="I261" s="12">
        <f t="shared" si="65"/>
        <v>883.41442244303505</v>
      </c>
      <c r="K261">
        <f t="shared" si="61"/>
        <v>370000</v>
      </c>
      <c r="L261" s="12">
        <v>1287.0492468257346</v>
      </c>
      <c r="M261" s="12">
        <f t="shared" si="60"/>
        <v>1287.6736802246269</v>
      </c>
      <c r="N261" s="12">
        <f t="shared" si="62"/>
        <v>0.38991706965216405</v>
      </c>
      <c r="R261" s="2">
        <f t="shared" si="63"/>
        <v>0.69852781788562113</v>
      </c>
      <c r="V261">
        <v>259</v>
      </c>
      <c r="W261">
        <f t="shared" si="67"/>
        <v>0.42970555738066946</v>
      </c>
      <c r="X261">
        <f>SUM($W$3:W261)</f>
        <v>130.79092358320128</v>
      </c>
      <c r="Y261" s="4">
        <f t="shared" si="66"/>
        <v>0.50498426093900106</v>
      </c>
      <c r="AA261">
        <v>259</v>
      </c>
      <c r="AB261">
        <f t="shared" si="68"/>
        <v>0.42970555738066946</v>
      </c>
      <c r="AC261">
        <f>SUM($AB$3:AB261)</f>
        <v>127.59467415470434</v>
      </c>
      <c r="AD261" s="4">
        <f t="shared" si="57"/>
        <v>0.49264352955484297</v>
      </c>
    </row>
    <row r="262" spans="6:30" x14ac:dyDescent="0.25">
      <c r="F262">
        <v>372000</v>
      </c>
      <c r="G262" s="12">
        <v>2185.1789352346577</v>
      </c>
      <c r="H262" s="12">
        <f t="shared" si="64"/>
        <v>2213.8538551682082</v>
      </c>
      <c r="I262" s="12">
        <f t="shared" si="65"/>
        <v>822.25103319552761</v>
      </c>
      <c r="K262">
        <f t="shared" si="61"/>
        <v>372000</v>
      </c>
      <c r="L262" s="12">
        <v>1285.0178160294417</v>
      </c>
      <c r="M262" s="12">
        <f t="shared" si="60"/>
        <v>1285.65026285571</v>
      </c>
      <c r="N262" s="12">
        <f t="shared" si="62"/>
        <v>0.3999889880568181</v>
      </c>
      <c r="R262" s="2">
        <f t="shared" si="63"/>
        <v>0.70050477742527417</v>
      </c>
      <c r="V262">
        <v>260</v>
      </c>
      <c r="W262">
        <f t="shared" si="67"/>
        <v>0.42945392913868347</v>
      </c>
      <c r="X262">
        <f>SUM($W$3:W262)</f>
        <v>131.22037751233995</v>
      </c>
      <c r="Y262" s="4">
        <f t="shared" si="66"/>
        <v>0.50469375966284602</v>
      </c>
      <c r="AA262">
        <v>260</v>
      </c>
      <c r="AB262">
        <f t="shared" si="68"/>
        <v>0.42945392913868347</v>
      </c>
      <c r="AC262">
        <f>SUM($AB$3:AB262)</f>
        <v>128.02412808384301</v>
      </c>
      <c r="AD262" s="4">
        <f t="shared" ref="AD262:AD325" si="69">AC262/AA262</f>
        <v>0.49240049263016544</v>
      </c>
    </row>
    <row r="263" spans="6:30" x14ac:dyDescent="0.25">
      <c r="F263">
        <v>374000</v>
      </c>
      <c r="G263" s="12">
        <v>2184.2759052767869</v>
      </c>
      <c r="H263" s="12">
        <f t="shared" si="64"/>
        <v>2211.9086839123161</v>
      </c>
      <c r="I263" s="12">
        <f t="shared" si="65"/>
        <v>763.57045512015463</v>
      </c>
      <c r="K263">
        <f t="shared" si="61"/>
        <v>374000</v>
      </c>
      <c r="L263" s="12">
        <v>1283.0005994268354</v>
      </c>
      <c r="M263" s="12">
        <f t="shared" si="60"/>
        <v>1283.640848989616</v>
      </c>
      <c r="N263" s="12">
        <f t="shared" si="62"/>
        <v>0.40991950264072641</v>
      </c>
      <c r="R263" s="2">
        <f t="shared" si="63"/>
        <v>0.70247457893050491</v>
      </c>
      <c r="V263">
        <v>261</v>
      </c>
      <c r="W263">
        <f t="shared" si="67"/>
        <v>0.42920341334436007</v>
      </c>
      <c r="X263">
        <f>SUM($W$3:W263)</f>
        <v>131.64958092568432</v>
      </c>
      <c r="Y263" s="4">
        <f t="shared" si="66"/>
        <v>0.50440452461948015</v>
      </c>
      <c r="AA263">
        <v>261</v>
      </c>
      <c r="AB263">
        <f t="shared" si="68"/>
        <v>0.42920341334436007</v>
      </c>
      <c r="AC263">
        <f>SUM($AB$3:AB263)</f>
        <v>128.45333149718738</v>
      </c>
      <c r="AD263" s="4">
        <f t="shared" si="69"/>
        <v>0.49215835822677156</v>
      </c>
    </row>
    <row r="264" spans="6:30" x14ac:dyDescent="0.25">
      <c r="F264">
        <v>376000</v>
      </c>
      <c r="G264" s="12">
        <v>2183.3797681728165</v>
      </c>
      <c r="H264" s="12">
        <f t="shared" si="64"/>
        <v>2209.9755824036552</v>
      </c>
      <c r="I264" s="12">
        <f t="shared" si="65"/>
        <v>707.33733460127917</v>
      </c>
      <c r="K264">
        <f t="shared" si="61"/>
        <v>376000</v>
      </c>
      <c r="L264" s="12">
        <v>1280.9974220632012</v>
      </c>
      <c r="M264" s="12">
        <f t="shared" si="60"/>
        <v>1281.6452676006436</v>
      </c>
      <c r="N264" s="12">
        <f t="shared" si="62"/>
        <v>0.41970384038407832</v>
      </c>
      <c r="R264" s="2">
        <f t="shared" si="63"/>
        <v>0.70443728501515612</v>
      </c>
      <c r="V264">
        <v>262</v>
      </c>
      <c r="W264">
        <f t="shared" si="67"/>
        <v>0.42895400084548885</v>
      </c>
      <c r="X264">
        <f>SUM($W$3:W264)</f>
        <v>132.07853492652981</v>
      </c>
      <c r="Y264" s="4">
        <f t="shared" si="66"/>
        <v>0.50411654552110619</v>
      </c>
      <c r="AA264">
        <v>262</v>
      </c>
      <c r="AB264">
        <f t="shared" si="68"/>
        <v>0.42895400084548885</v>
      </c>
      <c r="AC264">
        <f>SUM($AB$3:AB264)</f>
        <v>128.88228549803287</v>
      </c>
      <c r="AD264" s="4">
        <f t="shared" si="69"/>
        <v>0.49191712022149953</v>
      </c>
    </row>
    <row r="265" spans="6:30" x14ac:dyDescent="0.25">
      <c r="F265">
        <v>378000</v>
      </c>
      <c r="G265" s="12">
        <v>2182.4904348998489</v>
      </c>
      <c r="H265" s="12">
        <f t="shared" si="64"/>
        <v>2208.0544121436287</v>
      </c>
      <c r="I265" s="12">
        <f t="shared" si="65"/>
        <v>653.51693252049381</v>
      </c>
      <c r="K265">
        <f t="shared" si="61"/>
        <v>378000</v>
      </c>
      <c r="L265" s="12">
        <v>1279.0081120553052</v>
      </c>
      <c r="M265" s="12">
        <f t="shared" si="60"/>
        <v>1279.6633506473745</v>
      </c>
      <c r="N265" s="12">
        <f t="shared" si="62"/>
        <v>0.42933761253693409</v>
      </c>
      <c r="R265" s="2">
        <f t="shared" si="63"/>
        <v>0.70639295742439856</v>
      </c>
      <c r="V265">
        <v>263</v>
      </c>
      <c r="W265">
        <f t="shared" si="67"/>
        <v>0.42870568259972403</v>
      </c>
      <c r="X265">
        <f>SUM($W$3:W265)</f>
        <v>132.50724060912952</v>
      </c>
      <c r="Y265" s="4">
        <f t="shared" si="66"/>
        <v>0.50382981220201339</v>
      </c>
      <c r="AA265">
        <v>263</v>
      </c>
      <c r="AB265">
        <f t="shared" si="68"/>
        <v>0.42870568259972403</v>
      </c>
      <c r="AC265">
        <f>SUM($AB$3:AB265)</f>
        <v>129.31099118063258</v>
      </c>
      <c r="AD265" s="4">
        <f t="shared" si="69"/>
        <v>0.4916767725499338</v>
      </c>
    </row>
    <row r="266" spans="6:30" x14ac:dyDescent="0.25">
      <c r="F266">
        <v>380000</v>
      </c>
      <c r="G266" s="12">
        <v>2181.6078180492054</v>
      </c>
      <c r="H266" s="12">
        <f t="shared" si="64"/>
        <v>2206.1450369450645</v>
      </c>
      <c r="I266" s="12">
        <f t="shared" si="65"/>
        <v>602.07511114330202</v>
      </c>
      <c r="K266">
        <f t="shared" si="61"/>
        <v>380000</v>
      </c>
      <c r="L266" s="12">
        <v>1277.0325005215336</v>
      </c>
      <c r="M266" s="12">
        <f t="shared" si="60"/>
        <v>1277.6949330051375</v>
      </c>
      <c r="N266" s="12">
        <f t="shared" si="62"/>
        <v>0.43881679533360413</v>
      </c>
      <c r="R266" s="2">
        <f t="shared" si="63"/>
        <v>0.70834165705120888</v>
      </c>
      <c r="V266">
        <v>264</v>
      </c>
      <c r="W266">
        <f t="shared" si="67"/>
        <v>0.42845844967285462</v>
      </c>
      <c r="X266">
        <f>SUM($W$3:W266)</f>
        <v>132.93569905880238</v>
      </c>
      <c r="Y266" s="4">
        <f t="shared" si="66"/>
        <v>0.5035443146166757</v>
      </c>
      <c r="AA266">
        <v>264</v>
      </c>
      <c r="AB266">
        <f t="shared" si="68"/>
        <v>0.42845844967285462</v>
      </c>
      <c r="AC266">
        <f>SUM($AB$3:AB266)</f>
        <v>129.73944963030544</v>
      </c>
      <c r="AD266" s="4">
        <f t="shared" si="69"/>
        <v>0.49143730920570244</v>
      </c>
    </row>
    <row r="267" spans="6:30" x14ac:dyDescent="0.25">
      <c r="F267">
        <v>382000</v>
      </c>
      <c r="G267" s="12">
        <v>2180.7318317888321</v>
      </c>
      <c r="H267" s="12">
        <f t="shared" si="64"/>
        <v>2204.2473228817134</v>
      </c>
      <c r="I267" s="12">
        <f t="shared" si="65"/>
        <v>552.97832133938198</v>
      </c>
      <c r="K267">
        <f t="shared" si="61"/>
        <v>382000</v>
      </c>
      <c r="L267" s="12">
        <v>1275.0704215139795</v>
      </c>
      <c r="M267" s="12">
        <f t="shared" si="60"/>
        <v>1275.7398524003472</v>
      </c>
      <c r="N267" s="12">
        <f t="shared" si="62"/>
        <v>0.44813771162312932</v>
      </c>
      <c r="R267" s="2">
        <f t="shared" si="63"/>
        <v>0.71028344395245102</v>
      </c>
      <c r="V267">
        <v>265</v>
      </c>
      <c r="W267">
        <f t="shared" si="67"/>
        <v>0.4282122932371068</v>
      </c>
      <c r="X267">
        <f>SUM($W$3:W267)</f>
        <v>133.36391135203948</v>
      </c>
      <c r="Y267" s="4">
        <f t="shared" si="66"/>
        <v>0.50326004283788484</v>
      </c>
      <c r="AA267">
        <v>265</v>
      </c>
      <c r="AB267">
        <f t="shared" si="68"/>
        <v>0.4282122932371068</v>
      </c>
      <c r="AC267">
        <f>SUM($AB$3:AB267)</f>
        <v>130.16766192354254</v>
      </c>
      <c r="AD267" s="4">
        <f t="shared" si="69"/>
        <v>0.49119872423978317</v>
      </c>
    </row>
    <row r="268" spans="6:30" x14ac:dyDescent="0.25">
      <c r="F268">
        <v>384000</v>
      </c>
      <c r="G268" s="12">
        <v>2179.8623918267695</v>
      </c>
      <c r="H268" s="12">
        <f t="shared" si="64"/>
        <v>2202.3611382391077</v>
      </c>
      <c r="I268" s="12">
        <f t="shared" si="65"/>
        <v>506.19359012670452</v>
      </c>
      <c r="K268">
        <f t="shared" si="61"/>
        <v>384000</v>
      </c>
      <c r="L268" s="12">
        <v>1273.1217119524149</v>
      </c>
      <c r="M268" s="12">
        <f t="shared" si="60"/>
        <v>1273.7979493466569</v>
      </c>
      <c r="N268" s="12">
        <f t="shared" si="62"/>
        <v>0.457297013371183</v>
      </c>
      <c r="R268" s="2">
        <f t="shared" si="63"/>
        <v>0.71221837736457161</v>
      </c>
      <c r="V268">
        <v>266</v>
      </c>
      <c r="W268">
        <f t="shared" si="67"/>
        <v>0.42796720456948018</v>
      </c>
      <c r="X268">
        <f>SUM($W$3:W268)</f>
        <v>133.79187855660896</v>
      </c>
      <c r="Y268" s="4">
        <f t="shared" si="66"/>
        <v>0.50297698705492089</v>
      </c>
      <c r="AA268">
        <v>266</v>
      </c>
      <c r="AB268">
        <f t="shared" si="68"/>
        <v>0.42796720456948018</v>
      </c>
      <c r="AC268">
        <f>SUM($AB$3:AB268)</f>
        <v>130.59562912811202</v>
      </c>
      <c r="AD268" s="4">
        <f t="shared" si="69"/>
        <v>0.49096101175981965</v>
      </c>
    </row>
    <row r="269" spans="6:30" x14ac:dyDescent="0.25">
      <c r="F269">
        <v>386000</v>
      </c>
      <c r="G269" s="12">
        <v>2178.9994153756506</v>
      </c>
      <c r="H269" s="12">
        <f t="shared" si="64"/>
        <v>2200.4863534667411</v>
      </c>
      <c r="I269" s="12">
        <f t="shared" si="65"/>
        <v>461.68850853035377</v>
      </c>
      <c r="K269">
        <f t="shared" si="61"/>
        <v>386000</v>
      </c>
      <c r="L269" s="12">
        <v>1271.1862115600825</v>
      </c>
      <c r="M269" s="12">
        <f t="shared" ref="M269:M332" si="70">IF(F269&lt;$L$72,$D$28*(F269/$D$6)^-(1-$L$71), $D$28*($L$72/$D$6)^-(1-$L$71))</f>
        <v>1271.8690670828637</v>
      </c>
      <c r="N269" s="12">
        <f t="shared" si="62"/>
        <v>0.46629166499280006</v>
      </c>
      <c r="R269" s="2">
        <f t="shared" si="63"/>
        <v>0.71414651571892107</v>
      </c>
      <c r="V269">
        <v>267</v>
      </c>
      <c r="W269">
        <f t="shared" si="67"/>
        <v>0.42772317505011592</v>
      </c>
      <c r="X269">
        <f>SUM($W$3:W269)</f>
        <v>134.21960173165908</v>
      </c>
      <c r="Y269" s="4">
        <f t="shared" si="66"/>
        <v>0.50269513757175688</v>
      </c>
      <c r="AA269">
        <v>267</v>
      </c>
      <c r="AB269">
        <f t="shared" si="68"/>
        <v>0.42772317505011592</v>
      </c>
      <c r="AC269">
        <f>SUM($AB$3:AB269)</f>
        <v>131.02335230316214</v>
      </c>
      <c r="AD269" s="4">
        <f t="shared" si="69"/>
        <v>0.49072416592944623</v>
      </c>
    </row>
    <row r="270" spans="6:30" x14ac:dyDescent="0.25">
      <c r="F270">
        <v>388000</v>
      </c>
      <c r="G270" s="12">
        <v>2178.1428211182056</v>
      </c>
      <c r="H270" s="12">
        <f t="shared" si="64"/>
        <v>2198.6228411315178</v>
      </c>
      <c r="I270" s="12">
        <f t="shared" si="65"/>
        <v>419.43121974566998</v>
      </c>
      <c r="K270">
        <f t="shared" ref="K270:K333" si="71">F270</f>
        <v>388000</v>
      </c>
      <c r="L270" s="12">
        <v>1269.2637628012508</v>
      </c>
      <c r="M270" s="12">
        <f t="shared" si="70"/>
        <v>1269.953051512512</v>
      </c>
      <c r="N270" s="12">
        <f t="shared" ref="N270:N333" si="72">(M270-L270)^2</f>
        <v>0.47511892747222212</v>
      </c>
      <c r="R270" s="2">
        <f t="shared" ref="R270:R333" si="73">G270/L270-1</f>
        <v>0.71606791665671521</v>
      </c>
      <c r="V270">
        <v>268</v>
      </c>
      <c r="W270">
        <f t="shared" si="67"/>
        <v>0.42748019616069588</v>
      </c>
      <c r="X270">
        <f>SUM($W$3:W270)</f>
        <v>134.64708192781978</v>
      </c>
      <c r="Y270" s="4">
        <f t="shared" si="66"/>
        <v>0.50241448480529771</v>
      </c>
      <c r="AA270">
        <v>268</v>
      </c>
      <c r="AB270">
        <f t="shared" si="68"/>
        <v>0.42748019616069588</v>
      </c>
      <c r="AC270">
        <f>SUM($AB$3:AB270)</f>
        <v>131.45083249932284</v>
      </c>
      <c r="AD270" s="4">
        <f t="shared" si="69"/>
        <v>0.49048818096762253</v>
      </c>
    </row>
    <row r="271" spans="6:30" x14ac:dyDescent="0.25">
      <c r="F271">
        <v>390000</v>
      </c>
      <c r="G271" s="12">
        <v>2177.2925291737211</v>
      </c>
      <c r="H271" s="12">
        <f t="shared" si="64"/>
        <v>2196.770475872444</v>
      </c>
      <c r="I271" s="12">
        <f t="shared" si="65"/>
        <v>379.39040759829101</v>
      </c>
      <c r="K271">
        <f t="shared" si="71"/>
        <v>390000</v>
      </c>
      <c r="L271" s="12">
        <v>1267.3542108204731</v>
      </c>
      <c r="M271" s="12">
        <f t="shared" si="70"/>
        <v>1268.0497511451388</v>
      </c>
      <c r="N271" s="12">
        <f t="shared" si="72"/>
        <v>0.48377634323602775</v>
      </c>
      <c r="R271" s="2">
        <f t="shared" si="73"/>
        <v>0.71798263704364262</v>
      </c>
      <c r="V271">
        <v>269</v>
      </c>
      <c r="W271">
        <f t="shared" si="67"/>
        <v>0.42723825948287347</v>
      </c>
      <c r="X271">
        <f>SUM($W$3:W271)</f>
        <v>135.07432018730265</v>
      </c>
      <c r="Y271" s="4">
        <f t="shared" si="66"/>
        <v>0.50213501928365301</v>
      </c>
      <c r="AA271">
        <v>269</v>
      </c>
      <c r="AB271">
        <f t="shared" si="68"/>
        <v>0.42723825948287347</v>
      </c>
      <c r="AC271">
        <f>SUM($AB$3:AB271)</f>
        <v>131.87807075880571</v>
      </c>
      <c r="AD271" s="4">
        <f t="shared" si="69"/>
        <v>0.49025305114797663</v>
      </c>
    </row>
    <row r="272" spans="6:30" x14ac:dyDescent="0.25">
      <c r="F272">
        <v>392000</v>
      </c>
      <c r="G272" s="12">
        <v>2176.4484610654431</v>
      </c>
      <c r="H272" s="12">
        <f t="shared" si="64"/>
        <v>2194.9291343565096</v>
      </c>
      <c r="I272" s="12">
        <f t="shared" si="65"/>
        <v>341.53528529113959</v>
      </c>
      <c r="K272">
        <f t="shared" si="71"/>
        <v>392000</v>
      </c>
      <c r="L272" s="12">
        <v>1265.4574033834979</v>
      </c>
      <c r="M272" s="12">
        <f t="shared" si="70"/>
        <v>1266.1590170391069</v>
      </c>
      <c r="N272" s="12">
        <f t="shared" si="72"/>
        <v>0.49226172173699706</v>
      </c>
      <c r="R272" s="2">
        <f t="shared" si="73"/>
        <v>0.71989073298413397</v>
      </c>
      <c r="V272">
        <v>270</v>
      </c>
      <c r="W272">
        <f t="shared" si="67"/>
        <v>0.42699735669673333</v>
      </c>
      <c r="X272">
        <f>SUM($W$3:W272)</f>
        <v>135.50131754399939</v>
      </c>
      <c r="Y272" s="4">
        <f t="shared" si="66"/>
        <v>0.50185673164444222</v>
      </c>
      <c r="AA272">
        <v>270</v>
      </c>
      <c r="AB272">
        <f t="shared" si="68"/>
        <v>0.42699735669673333</v>
      </c>
      <c r="AC272">
        <f>SUM($AB$3:AB272)</f>
        <v>132.30506811550245</v>
      </c>
      <c r="AD272" s="4">
        <f t="shared" si="69"/>
        <v>0.4900187707981572</v>
      </c>
    </row>
    <row r="273" spans="6:30" x14ac:dyDescent="0.25">
      <c r="F273">
        <v>394000</v>
      </c>
      <c r="G273" s="12">
        <v>2175.6105396888665</v>
      </c>
      <c r="H273" s="12">
        <f t="shared" si="64"/>
        <v>2193.0986952357352</v>
      </c>
      <c r="I273" s="12">
        <f t="shared" si="65"/>
        <v>305.83558443147484</v>
      </c>
      <c r="K273">
        <f t="shared" si="71"/>
        <v>394000</v>
      </c>
      <c r="L273" s="12">
        <v>1263.5731908197752</v>
      </c>
      <c r="M273" s="12">
        <f t="shared" si="70"/>
        <v>1264.2807027459771</v>
      </c>
      <c r="N273" s="12">
        <f t="shared" si="72"/>
        <v>0.50057312571800738</v>
      </c>
      <c r="R273" s="2">
        <f t="shared" si="73"/>
        <v>0.72179225983528816</v>
      </c>
      <c r="V273">
        <v>271</v>
      </c>
      <c r="W273">
        <f t="shared" si="67"/>
        <v>0.42675747957928151</v>
      </c>
      <c r="X273">
        <f>SUM($W$3:W273)</f>
        <v>135.92807502357869</v>
      </c>
      <c r="Y273" s="4">
        <f t="shared" si="66"/>
        <v>0.50157961263313167</v>
      </c>
      <c r="AA273">
        <v>271</v>
      </c>
      <c r="AB273">
        <f t="shared" si="68"/>
        <v>0.42675747957928151</v>
      </c>
      <c r="AC273">
        <f>SUM($AB$3:AB273)</f>
        <v>132.73182559508174</v>
      </c>
      <c r="AD273" s="4">
        <f t="shared" si="69"/>
        <v>0.48978533429919463</v>
      </c>
    </row>
    <row r="274" spans="6:30" x14ac:dyDescent="0.25">
      <c r="F274">
        <v>396000</v>
      </c>
      <c r="G274" s="12">
        <v>2174.7786892809172</v>
      </c>
      <c r="H274" s="12">
        <f t="shared" si="64"/>
        <v>2191.2790391053354</v>
      </c>
      <c r="I274" s="12">
        <f t="shared" si="65"/>
        <v>272.26154432817799</v>
      </c>
      <c r="K274">
        <f t="shared" si="71"/>
        <v>396000</v>
      </c>
      <c r="L274" s="12">
        <v>1261.7014259665077</v>
      </c>
      <c r="M274" s="12">
        <f t="shared" si="70"/>
        <v>1262.4146642563724</v>
      </c>
      <c r="N274" s="12">
        <f t="shared" si="72"/>
        <v>0.50870885812904809</v>
      </c>
      <c r="R274" s="2">
        <f t="shared" si="73"/>
        <v>0.72368727222049389</v>
      </c>
      <c r="V274">
        <v>272</v>
      </c>
      <c r="W274">
        <f t="shared" si="67"/>
        <v>0.42651862000296276</v>
      </c>
      <c r="X274">
        <f>SUM($W$3:W274)</f>
        <v>136.35459364358164</v>
      </c>
      <c r="Y274" s="4">
        <f t="shared" si="66"/>
        <v>0.50130365310140312</v>
      </c>
      <c r="AA274">
        <v>272</v>
      </c>
      <c r="AB274">
        <f t="shared" si="68"/>
        <v>0.42651862000296276</v>
      </c>
      <c r="AC274">
        <f>SUM($AB$3:AB274)</f>
        <v>133.1583442150847</v>
      </c>
      <c r="AD274" s="4">
        <f t="shared" si="69"/>
        <v>0.48955273608487021</v>
      </c>
    </row>
    <row r="275" spans="6:30" x14ac:dyDescent="0.25">
      <c r="F275">
        <v>398000</v>
      </c>
      <c r="G275" s="12">
        <v>2173.9528353899632</v>
      </c>
      <c r="H275" s="12">
        <f t="shared" si="64"/>
        <v>2189.470048462973</v>
      </c>
      <c r="I275" s="12">
        <f t="shared" si="65"/>
        <v>240.78390155318533</v>
      </c>
      <c r="K275">
        <f t="shared" si="71"/>
        <v>398000</v>
      </c>
      <c r="L275" s="12">
        <v>1259.8419641142034</v>
      </c>
      <c r="M275" s="12">
        <f t="shared" si="70"/>
        <v>1260.5607599472778</v>
      </c>
      <c r="N275" s="12">
        <f t="shared" si="72"/>
        <v>0.51666744964513445</v>
      </c>
      <c r="R275" s="2">
        <f t="shared" si="73"/>
        <v>0.72557582404271814</v>
      </c>
      <c r="V275">
        <v>273</v>
      </c>
      <c r="W275">
        <f t="shared" si="67"/>
        <v>0.42628076993420772</v>
      </c>
      <c r="X275">
        <f>SUM($W$3:W275)</f>
        <v>136.78087441351585</v>
      </c>
      <c r="Y275" s="4">
        <f t="shared" si="66"/>
        <v>0.50102884400555259</v>
      </c>
      <c r="AA275">
        <v>273</v>
      </c>
      <c r="AB275">
        <f t="shared" si="68"/>
        <v>0.42628076993420772</v>
      </c>
      <c r="AC275">
        <f>SUM($AB$3:AB275)</f>
        <v>133.58462498501891</v>
      </c>
      <c r="AD275" s="4">
        <f t="shared" si="69"/>
        <v>0.48932097064109487</v>
      </c>
    </row>
    <row r="276" spans="6:30" x14ac:dyDescent="0.25">
      <c r="F276">
        <v>400000</v>
      </c>
      <c r="G276" s="12">
        <v>2173.132904846645</v>
      </c>
      <c r="H276" s="12">
        <f t="shared" si="64"/>
        <v>2187.6716076690691</v>
      </c>
      <c r="I276" s="12">
        <f t="shared" si="65"/>
        <v>211.37387975876123</v>
      </c>
      <c r="K276">
        <f t="shared" si="71"/>
        <v>400000</v>
      </c>
      <c r="L276" s="12">
        <v>1257.9946629536721</v>
      </c>
      <c r="M276" s="12">
        <f t="shared" si="70"/>
        <v>1258.7188505307452</v>
      </c>
      <c r="N276" s="12">
        <f t="shared" si="72"/>
        <v>0.52444764678693911</v>
      </c>
      <c r="R276" s="2">
        <f t="shared" si="73"/>
        <v>0.727457968497498</v>
      </c>
      <c r="V276">
        <v>274</v>
      </c>
      <c r="W276">
        <f t="shared" si="67"/>
        <v>0.42604392143200587</v>
      </c>
      <c r="X276">
        <f>SUM($W$3:W276)</f>
        <v>137.20691833494786</v>
      </c>
      <c r="Y276" s="4">
        <f t="shared" si="66"/>
        <v>0.50075517640491918</v>
      </c>
      <c r="AA276">
        <v>274</v>
      </c>
      <c r="AB276">
        <f t="shared" si="68"/>
        <v>0.42604392143200587</v>
      </c>
      <c r="AC276">
        <f>SUM($AB$3:AB276)</f>
        <v>134.01066890645092</v>
      </c>
      <c r="AD276" s="4">
        <f t="shared" si="69"/>
        <v>0.48909003250529531</v>
      </c>
    </row>
    <row r="277" spans="6:30" x14ac:dyDescent="0.25">
      <c r="F277">
        <v>402000</v>
      </c>
      <c r="G277" s="12">
        <v>2172.3188257355073</v>
      </c>
      <c r="H277" s="12">
        <f t="shared" si="64"/>
        <v>2185.8836029081317</v>
      </c>
      <c r="I277" s="12">
        <f t="shared" si="65"/>
        <v>184.00317974295248</v>
      </c>
      <c r="K277">
        <f t="shared" si="71"/>
        <v>402000</v>
      </c>
      <c r="L277" s="12">
        <v>1256.1593825244256</v>
      </c>
      <c r="M277" s="12">
        <f t="shared" si="70"/>
        <v>1256.8887990039448</v>
      </c>
      <c r="N277" s="12">
        <f t="shared" si="72"/>
        <v>0.53204840059412384</v>
      </c>
      <c r="R277" s="2">
        <f t="shared" si="73"/>
        <v>0.72933375808564427</v>
      </c>
      <c r="V277">
        <v>275</v>
      </c>
      <c r="W277">
        <f t="shared" si="67"/>
        <v>0.42580806664650611</v>
      </c>
      <c r="X277">
        <f>SUM($W$3:W277)</f>
        <v>137.63272640159437</v>
      </c>
      <c r="Y277" s="4">
        <f t="shared" si="66"/>
        <v>0.50048264146034316</v>
      </c>
      <c r="AA277">
        <v>275</v>
      </c>
      <c r="AB277">
        <f t="shared" si="68"/>
        <v>0.42580806664650611</v>
      </c>
      <c r="AC277">
        <f>SUM($AB$3:AB277)</f>
        <v>134.43647697309743</v>
      </c>
      <c r="AD277" s="4">
        <f t="shared" si="69"/>
        <v>0.48885991626580882</v>
      </c>
    </row>
    <row r="278" spans="6:30" x14ac:dyDescent="0.25">
      <c r="F278">
        <v>404000</v>
      </c>
      <c r="G278" s="12">
        <v>2171.5105273673807</v>
      </c>
      <c r="H278" s="12">
        <f t="shared" si="64"/>
        <v>2184.1059221510759</v>
      </c>
      <c r="I278" s="12">
        <f t="shared" si="65"/>
        <v>158.64396975713512</v>
      </c>
      <c r="K278">
        <f t="shared" si="71"/>
        <v>404000</v>
      </c>
      <c r="L278" s="12">
        <v>1254.3359851644459</v>
      </c>
      <c r="M278" s="12">
        <f t="shared" si="70"/>
        <v>1255.0704706005297</v>
      </c>
      <c r="N278" s="12">
        <f t="shared" si="72"/>
        <v>0.53946885581919091</v>
      </c>
      <c r="R278" s="2">
        <f t="shared" si="73"/>
        <v>0.73120324462563469</v>
      </c>
      <c r="V278">
        <v>276</v>
      </c>
      <c r="W278">
        <f t="shared" si="67"/>
        <v>0.42557319781764352</v>
      </c>
      <c r="X278">
        <f>SUM($W$3:W278)</f>
        <v>138.05829959941201</v>
      </c>
      <c r="Y278" s="4">
        <f t="shared" si="66"/>
        <v>0.50021123043265225</v>
      </c>
      <c r="AA278">
        <v>276</v>
      </c>
      <c r="AB278">
        <f t="shared" si="68"/>
        <v>0.42557319781764352</v>
      </c>
      <c r="AC278">
        <f>SUM($AB$3:AB278)</f>
        <v>134.86205017091507</v>
      </c>
      <c r="AD278" s="4">
        <f t="shared" si="69"/>
        <v>0.48863061656128648</v>
      </c>
    </row>
    <row r="279" spans="6:30" x14ac:dyDescent="0.25">
      <c r="F279">
        <v>406000</v>
      </c>
      <c r="G279" s="12">
        <v>2170.7079402525214</v>
      </c>
      <c r="H279" s="12">
        <f t="shared" si="64"/>
        <v>2182.3384551185086</v>
      </c>
      <c r="I279" s="12">
        <f t="shared" si="65"/>
        <v>135.26887604794814</v>
      </c>
      <c r="K279">
        <f t="shared" si="71"/>
        <v>406000</v>
      </c>
      <c r="L279" s="12">
        <v>1252.5243354612608</v>
      </c>
      <c r="M279" s="12">
        <f t="shared" si="70"/>
        <v>1253.2637327432708</v>
      </c>
      <c r="N279" s="12">
        <f t="shared" si="72"/>
        <v>0.54670834064382223</v>
      </c>
      <c r="R279" s="2">
        <f t="shared" si="73"/>
        <v>0.73306647926575086</v>
      </c>
      <c r="V279">
        <v>277</v>
      </c>
      <c r="W279">
        <f t="shared" si="67"/>
        <v>0.42533930727379082</v>
      </c>
      <c r="X279">
        <f>SUM($W$3:W279)</f>
        <v>138.4836389066858</v>
      </c>
      <c r="Y279" s="4">
        <f t="shared" si="66"/>
        <v>0.49994093468117617</v>
      </c>
      <c r="AA279">
        <v>277</v>
      </c>
      <c r="AB279">
        <f t="shared" si="68"/>
        <v>0.42533930727379082</v>
      </c>
      <c r="AC279">
        <f>SUM($AB$3:AB279)</f>
        <v>135.28738947818886</v>
      </c>
      <c r="AD279" s="4">
        <f t="shared" si="69"/>
        <v>0.48840212808010419</v>
      </c>
    </row>
    <row r="280" spans="6:30" x14ac:dyDescent="0.25">
      <c r="F280">
        <v>408000</v>
      </c>
      <c r="G280" s="12">
        <v>2169.9109960744549</v>
      </c>
      <c r="H280" s="12">
        <f t="shared" si="64"/>
        <v>2180.5810932449358</v>
      </c>
      <c r="I280" s="12">
        <f t="shared" si="65"/>
        <v>113.85097362750361</v>
      </c>
      <c r="K280">
        <f t="shared" si="71"/>
        <v>408000</v>
      </c>
      <c r="L280" s="12">
        <v>1250.7243002043015</v>
      </c>
      <c r="M280" s="12">
        <f t="shared" si="70"/>
        <v>1251.4684549979227</v>
      </c>
      <c r="N280" s="12">
        <f t="shared" si="72"/>
        <v>0.55376635686939868</v>
      </c>
      <c r="R280" s="2">
        <f t="shared" si="73"/>
        <v>0.73492351249592547</v>
      </c>
      <c r="V280">
        <v>278</v>
      </c>
      <c r="W280">
        <f t="shared" si="67"/>
        <v>0.42510638743043627</v>
      </c>
      <c r="X280">
        <f>SUM($W$3:W280)</f>
        <v>138.90874529411624</v>
      </c>
      <c r="Y280" s="4">
        <f t="shared" si="66"/>
        <v>0.49967174566228867</v>
      </c>
      <c r="AA280">
        <v>278</v>
      </c>
      <c r="AB280">
        <f t="shared" si="68"/>
        <v>0.42510638743043627</v>
      </c>
      <c r="AC280">
        <f>SUM($AB$3:AB280)</f>
        <v>135.7124958656193</v>
      </c>
      <c r="AD280" s="4">
        <f t="shared" si="69"/>
        <v>0.48817444555978168</v>
      </c>
    </row>
    <row r="281" spans="6:30" x14ac:dyDescent="0.25">
      <c r="F281">
        <v>410000</v>
      </c>
      <c r="G281" s="12">
        <v>2169.1196276645219</v>
      </c>
      <c r="H281" s="12">
        <f t="shared" si="64"/>
        <v>2178.8337296438831</v>
      </c>
      <c r="I281" s="12">
        <f t="shared" si="65"/>
        <v>94.363777265429249</v>
      </c>
      <c r="K281">
        <f t="shared" si="71"/>
        <v>410000</v>
      </c>
      <c r="L281" s="12">
        <v>1248.9357483384963</v>
      </c>
      <c r="M281" s="12">
        <f t="shared" si="70"/>
        <v>1249.6845090282798</v>
      </c>
      <c r="N281" s="12">
        <f t="shared" si="72"/>
        <v>0.56064257056501277</v>
      </c>
      <c r="R281" s="2">
        <f t="shared" si="73"/>
        <v>0.73677439415933033</v>
      </c>
      <c r="V281">
        <v>279</v>
      </c>
      <c r="W281">
        <f t="shared" si="67"/>
        <v>0.4248744307888847</v>
      </c>
      <c r="X281">
        <f>SUM($W$3:W281)</f>
        <v>139.33361972490513</v>
      </c>
      <c r="Y281" s="4">
        <f t="shared" si="66"/>
        <v>0.49940365492797539</v>
      </c>
      <c r="AA281">
        <v>279</v>
      </c>
      <c r="AB281">
        <f t="shared" si="68"/>
        <v>0.4248744307888847</v>
      </c>
      <c r="AC281">
        <f>SUM($AB$3:AB281)</f>
        <v>136.13737029640819</v>
      </c>
      <c r="AD281" s="4">
        <f t="shared" si="69"/>
        <v>0.4879475637864093</v>
      </c>
    </row>
    <row r="282" spans="6:30" x14ac:dyDescent="0.25">
      <c r="F282">
        <v>412000</v>
      </c>
      <c r="G282" s="12">
        <v>2168.3337689770965</v>
      </c>
      <c r="H282" s="12">
        <f t="shared" si="64"/>
        <v>2177.0962590738873</v>
      </c>
      <c r="I282" s="12">
        <f t="shared" si="65"/>
        <v>76.781232696356327</v>
      </c>
      <c r="K282">
        <f t="shared" si="71"/>
        <v>412000</v>
      </c>
      <c r="L282" s="12">
        <v>1247.1585509190634</v>
      </c>
      <c r="M282" s="12">
        <f t="shared" si="70"/>
        <v>1247.9117685523934</v>
      </c>
      <c r="N282" s="12">
        <f t="shared" si="72"/>
        <v>0.56733680315923996</v>
      </c>
      <c r="R282" s="2">
        <f t="shared" si="73"/>
        <v>0.73861917346370709</v>
      </c>
      <c r="V282">
        <v>280</v>
      </c>
      <c r="W282">
        <f t="shared" si="67"/>
        <v>0.42464342993498333</v>
      </c>
      <c r="X282">
        <f>SUM($W$3:W282)</f>
        <v>139.75826315484011</v>
      </c>
      <c r="Y282" s="4">
        <f t="shared" si="66"/>
        <v>0.49913665412442898</v>
      </c>
      <c r="AA282">
        <v>280</v>
      </c>
      <c r="AB282">
        <f t="shared" si="68"/>
        <v>0.42464342993498333</v>
      </c>
      <c r="AC282">
        <f>SUM($AB$3:AB282)</f>
        <v>136.56201372634317</v>
      </c>
      <c r="AD282" s="4">
        <f t="shared" si="69"/>
        <v>0.48772147759408274</v>
      </c>
    </row>
    <row r="283" spans="6:30" x14ac:dyDescent="0.25">
      <c r="F283">
        <v>414000</v>
      </c>
      <c r="G283" s="12">
        <v>2167.5533550654591</v>
      </c>
      <c r="H283" s="12">
        <f t="shared" si="64"/>
        <v>2175.3685779053344</v>
      </c>
      <c r="I283" s="12">
        <f t="shared" si="65"/>
        <v>61.077708036909051</v>
      </c>
      <c r="K283">
        <f t="shared" si="71"/>
        <v>414000</v>
      </c>
      <c r="L283" s="12">
        <v>1245.3925810674675</v>
      </c>
      <c r="M283" s="12">
        <f t="shared" si="70"/>
        <v>1246.1501092999065</v>
      </c>
      <c r="N283" s="12">
        <f t="shared" si="72"/>
        <v>0.57384902294211293</v>
      </c>
      <c r="R283" s="2">
        <f t="shared" si="73"/>
        <v>0.74045789899244197</v>
      </c>
      <c r="V283">
        <v>281</v>
      </c>
      <c r="W283">
        <f t="shared" si="67"/>
        <v>0.42441337753787078</v>
      </c>
      <c r="X283">
        <f>SUM($W$3:W283)</f>
        <v>140.18267653237797</v>
      </c>
      <c r="Y283" s="4">
        <f t="shared" si="66"/>
        <v>0.49887073499066892</v>
      </c>
      <c r="AA283">
        <v>281</v>
      </c>
      <c r="AB283">
        <f t="shared" si="68"/>
        <v>0.42441337753787078</v>
      </c>
      <c r="AC283">
        <f>SUM($AB$3:AB283)</f>
        <v>136.98642710388103</v>
      </c>
      <c r="AD283" s="4">
        <f t="shared" si="69"/>
        <v>0.48749618186434529</v>
      </c>
    </row>
    <row r="284" spans="6:30" x14ac:dyDescent="0.25">
      <c r="F284">
        <v>416000</v>
      </c>
      <c r="G284" s="12">
        <v>2166.778322058296</v>
      </c>
      <c r="H284" s="12">
        <f t="shared" si="64"/>
        <v>2173.6505840881341</v>
      </c>
      <c r="I284" s="12">
        <f t="shared" si="65"/>
        <v>47.227985406754641</v>
      </c>
      <c r="K284">
        <f t="shared" si="71"/>
        <v>416000</v>
      </c>
      <c r="L284" s="12">
        <v>1243.6377139285019</v>
      </c>
      <c r="M284" s="12">
        <f t="shared" si="70"/>
        <v>1244.3994089704765</v>
      </c>
      <c r="N284" s="12">
        <f t="shared" si="72"/>
        <v>0.58017933696882473</v>
      </c>
      <c r="R284" s="2">
        <f t="shared" si="73"/>
        <v>0.74229061871540081</v>
      </c>
      <c r="V284">
        <v>282</v>
      </c>
      <c r="W284">
        <f t="shared" si="67"/>
        <v>0.42418426634874834</v>
      </c>
      <c r="X284">
        <f>SUM($W$3:W284)</f>
        <v>140.60686079872673</v>
      </c>
      <c r="Y284" s="4">
        <f t="shared" si="66"/>
        <v>0.49860588935718697</v>
      </c>
      <c r="AA284">
        <v>282</v>
      </c>
      <c r="AB284">
        <f t="shared" si="68"/>
        <v>0.42418426634874834</v>
      </c>
      <c r="AC284">
        <f>SUM($AB$3:AB284)</f>
        <v>137.41061137022979</v>
      </c>
      <c r="AD284" s="4">
        <f t="shared" si="69"/>
        <v>0.48727167152563755</v>
      </c>
    </row>
    <row r="285" spans="6:30" x14ac:dyDescent="0.25">
      <c r="F285">
        <v>418000</v>
      </c>
      <c r="G285" s="12">
        <v>2166.0086071368169</v>
      </c>
      <c r="H285" s="12">
        <f t="shared" si="64"/>
        <v>2171.9421771201801</v>
      </c>
      <c r="I285" s="12">
        <f t="shared" si="65"/>
        <v>35.207252747468921</v>
      </c>
      <c r="K285">
        <f t="shared" si="71"/>
        <v>418000</v>
      </c>
      <c r="L285" s="12">
        <v>1241.8938266284626</v>
      </c>
      <c r="M285" s="12">
        <f t="shared" si="70"/>
        <v>1242.659547193254</v>
      </c>
      <c r="N285" s="12">
        <f t="shared" si="72"/>
        <v>0.5863279833443209</v>
      </c>
      <c r="R285" s="2">
        <f t="shared" si="73"/>
        <v>0.74411737999952354</v>
      </c>
      <c r="V285">
        <v>283</v>
      </c>
      <c r="W285">
        <f t="shared" si="67"/>
        <v>0.42395608919967492</v>
      </c>
      <c r="X285">
        <f>SUM($W$3:W285)</f>
        <v>141.03081688792639</v>
      </c>
      <c r="Y285" s="4">
        <f t="shared" si="66"/>
        <v>0.49834210914461624</v>
      </c>
      <c r="AA285">
        <v>283</v>
      </c>
      <c r="AB285">
        <f t="shared" si="68"/>
        <v>0.42395608919967492</v>
      </c>
      <c r="AC285">
        <f>SUM($AB$3:AB285)</f>
        <v>137.83456745942945</v>
      </c>
      <c r="AD285" s="4">
        <f t="shared" si="69"/>
        <v>0.48704794155275422</v>
      </c>
    </row>
    <row r="286" spans="6:30" x14ac:dyDescent="0.25">
      <c r="F286">
        <v>420000</v>
      </c>
      <c r="G286" s="12">
        <v>2165.2441485124655</v>
      </c>
      <c r="H286" s="12">
        <f t="shared" si="64"/>
        <v>2170.2432580166005</v>
      </c>
      <c r="I286" s="12">
        <f t="shared" si="65"/>
        <v>24.991095834333375</v>
      </c>
      <c r="K286">
        <f t="shared" si="71"/>
        <v>420000</v>
      </c>
      <c r="L286" s="12">
        <v>1240.1607982343878</v>
      </c>
      <c r="M286" s="12">
        <f t="shared" si="70"/>
        <v>1240.9304054873826</v>
      </c>
      <c r="N286" s="12">
        <f t="shared" si="72"/>
        <v>0.59229532386216233</v>
      </c>
      <c r="R286" s="2">
        <f t="shared" si="73"/>
        <v>0.74593822961918743</v>
      </c>
      <c r="V286">
        <v>284</v>
      </c>
      <c r="W286">
        <f t="shared" si="67"/>
        <v>0.42372883900238256</v>
      </c>
      <c r="X286">
        <f>SUM($W$3:W286)</f>
        <v>141.45454572692879</v>
      </c>
      <c r="Y286" s="4">
        <f t="shared" si="66"/>
        <v>0.49807938636242532</v>
      </c>
      <c r="AA286">
        <v>284</v>
      </c>
      <c r="AB286">
        <f t="shared" si="68"/>
        <v>0.42372883900238256</v>
      </c>
      <c r="AC286">
        <f>SUM($AB$3:AB286)</f>
        <v>138.25829629843184</v>
      </c>
      <c r="AD286" s="4">
        <f t="shared" si="69"/>
        <v>0.48682498696630933</v>
      </c>
    </row>
    <row r="287" spans="6:30" x14ac:dyDescent="0.25">
      <c r="F287">
        <v>422000</v>
      </c>
      <c r="G287" s="12">
        <v>2164.4848854052025</v>
      </c>
      <c r="H287" s="12">
        <f t="shared" si="64"/>
        <v>2168.5537292797526</v>
      </c>
      <c r="I287" s="12">
        <f t="shared" si="65"/>
        <v>16.555490475463966</v>
      </c>
      <c r="K287">
        <f t="shared" si="71"/>
        <v>422000</v>
      </c>
      <c r="L287" s="12">
        <v>1238.4385097143202</v>
      </c>
      <c r="M287" s="12">
        <f t="shared" si="70"/>
        <v>1239.2118672234919</v>
      </c>
      <c r="N287" s="12">
        <f t="shared" si="72"/>
        <v>0.59808183699237039</v>
      </c>
      <c r="R287" s="2">
        <f t="shared" si="73"/>
        <v>0.7477532137663423</v>
      </c>
      <c r="V287">
        <v>285</v>
      </c>
      <c r="W287">
        <f t="shared" si="67"/>
        <v>0.42350250874711426</v>
      </c>
      <c r="X287">
        <f>SUM($W$3:W287)</f>
        <v>141.87804823567589</v>
      </c>
      <c r="Y287" s="4">
        <f t="shared" si="66"/>
        <v>0.49781771310763473</v>
      </c>
      <c r="AA287">
        <v>285</v>
      </c>
      <c r="AB287">
        <f t="shared" si="68"/>
        <v>0.42350250874711426</v>
      </c>
      <c r="AC287">
        <f>SUM($AB$3:AB287)</f>
        <v>138.68179880717895</v>
      </c>
      <c r="AD287" s="4">
        <f t="shared" si="69"/>
        <v>0.48660280283220686</v>
      </c>
    </row>
    <row r="288" spans="6:30" x14ac:dyDescent="0.25">
      <c r="F288">
        <v>424000</v>
      </c>
      <c r="G288" s="12">
        <v>2163.730758022351</v>
      </c>
      <c r="H288" s="12">
        <f t="shared" si="64"/>
        <v>2166.8734948699566</v>
      </c>
      <c r="I288" s="12">
        <f t="shared" si="65"/>
        <v>9.8767948932982801</v>
      </c>
      <c r="K288">
        <f t="shared" si="71"/>
        <v>424000</v>
      </c>
      <c r="L288" s="12">
        <v>1236.7268438985679</v>
      </c>
      <c r="M288" s="12">
        <f t="shared" si="70"/>
        <v>1237.5038175861537</v>
      </c>
      <c r="N288" s="12">
        <f t="shared" si="72"/>
        <v>0.60368811120055732</v>
      </c>
      <c r="R288" s="2">
        <f t="shared" si="73"/>
        <v>0.74956237806043191</v>
      </c>
      <c r="V288">
        <v>286</v>
      </c>
      <c r="W288">
        <f t="shared" si="67"/>
        <v>0.42327709150148246</v>
      </c>
      <c r="X288">
        <f>SUM($W$3:W288)</f>
        <v>142.30132532717738</v>
      </c>
      <c r="Y288" s="4">
        <f t="shared" si="66"/>
        <v>0.49755708156355727</v>
      </c>
      <c r="AA288">
        <v>286</v>
      </c>
      <c r="AB288">
        <f t="shared" si="68"/>
        <v>0.42327709150148246</v>
      </c>
      <c r="AC288">
        <f>SUM($AB$3:AB288)</f>
        <v>139.10507589868044</v>
      </c>
      <c r="AD288" s="4">
        <f t="shared" si="69"/>
        <v>0.48638138426112043</v>
      </c>
    </row>
    <row r="289" spans="6:30" x14ac:dyDescent="0.25">
      <c r="F289">
        <v>426000</v>
      </c>
      <c r="G289" s="12">
        <v>2162.9817075379815</v>
      </c>
      <c r="H289" s="12">
        <f t="shared" si="64"/>
        <v>2165.2024601769353</v>
      </c>
      <c r="I289" s="12">
        <f t="shared" si="65"/>
        <v>4.9317422834205082</v>
      </c>
      <c r="K289">
        <f t="shared" si="71"/>
        <v>426000</v>
      </c>
      <c r="L289" s="12">
        <v>1235.0256854419379</v>
      </c>
      <c r="M289" s="12">
        <f t="shared" si="70"/>
        <v>1235.8061435372706</v>
      </c>
      <c r="N289" s="12">
        <f t="shared" si="72"/>
        <v>0.60911483857039761</v>
      </c>
      <c r="R289" s="2">
        <f t="shared" si="73"/>
        <v>0.7513657675580947</v>
      </c>
      <c r="V289">
        <v>287</v>
      </c>
      <c r="W289">
        <f t="shared" si="67"/>
        <v>0.42305258040934829</v>
      </c>
      <c r="X289">
        <f>SUM($W$3:W289)</f>
        <v>142.72437790758673</v>
      </c>
      <c r="Y289" s="4">
        <f t="shared" si="66"/>
        <v>0.49729748399856005</v>
      </c>
      <c r="AA289">
        <v>287</v>
      </c>
      <c r="AB289">
        <f t="shared" si="68"/>
        <v>0.42305258040934829</v>
      </c>
      <c r="AC289">
        <f>SUM($AB$3:AB289)</f>
        <v>139.52812847908979</v>
      </c>
      <c r="AD289" s="4">
        <f t="shared" si="69"/>
        <v>0.48616072640797836</v>
      </c>
    </row>
    <row r="290" spans="6:30" x14ac:dyDescent="0.25">
      <c r="F290">
        <v>428000</v>
      </c>
      <c r="G290" s="12">
        <v>2162.2376760728202</v>
      </c>
      <c r="H290" s="12">
        <f t="shared" si="64"/>
        <v>2163.54053199195</v>
      </c>
      <c r="I290" s="12">
        <f t="shared" si="65"/>
        <v>1.6974335460115488</v>
      </c>
      <c r="K290">
        <f t="shared" si="71"/>
        <v>428000</v>
      </c>
      <c r="L290" s="12">
        <v>1233.3349207869016</v>
      </c>
      <c r="M290" s="12">
        <f t="shared" si="70"/>
        <v>1234.1187337803742</v>
      </c>
      <c r="N290" s="12">
        <f t="shared" si="72"/>
        <v>0.61436280873642435</v>
      </c>
      <c r="R290" s="2">
        <f t="shared" si="73"/>
        <v>0.75316342676266146</v>
      </c>
      <c r="V290">
        <v>288</v>
      </c>
      <c r="W290">
        <f t="shared" si="67"/>
        <v>0.42282896868972014</v>
      </c>
      <c r="X290">
        <f>SUM($W$3:W290)</f>
        <v>143.14720687627644</v>
      </c>
      <c r="Y290" s="4">
        <f t="shared" si="66"/>
        <v>0.49703891276484874</v>
      </c>
      <c r="AA290">
        <v>288</v>
      </c>
      <c r="AB290">
        <f t="shared" si="68"/>
        <v>0.42282896868972014</v>
      </c>
      <c r="AC290">
        <f>SUM($AB$3:AB290)</f>
        <v>139.9509574477795</v>
      </c>
      <c r="AD290" s="4">
        <f t="shared" si="69"/>
        <v>0.48594082447145659</v>
      </c>
    </row>
    <row r="291" spans="6:30" x14ac:dyDescent="0.25">
      <c r="F291">
        <v>430000</v>
      </c>
      <c r="G291" s="12">
        <v>2161.4986066746719</v>
      </c>
      <c r="H291" s="12">
        <f t="shared" ref="H291:H354" si="74">IF(F291&lt;$G$72,$D$64*(F291/$D$41)^-(1-$G$71), $D$64*($G$72/$D$41)^-(1-$G$71))</f>
        <v>2161.887618480599</v>
      </c>
      <c r="I291" s="12">
        <f t="shared" ref="I291:I354" si="75">(H291-G291)^2</f>
        <v>0.15133018515067281</v>
      </c>
      <c r="K291">
        <f t="shared" si="71"/>
        <v>430000</v>
      </c>
      <c r="L291" s="12">
        <v>1231.654438127681</v>
      </c>
      <c r="M291" s="12">
        <f t="shared" si="70"/>
        <v>1232.4414787258004</v>
      </c>
      <c r="N291" s="12">
        <f t="shared" si="72"/>
        <v>0.61943290308805965</v>
      </c>
      <c r="R291" s="2">
        <f t="shared" si="73"/>
        <v>0.75495539963344616</v>
      </c>
      <c r="V291">
        <v>289</v>
      </c>
      <c r="W291">
        <f t="shared" si="67"/>
        <v>0.42260624963567317</v>
      </c>
      <c r="X291">
        <f>SUM($W$3:W291)</f>
        <v>143.56981312591211</v>
      </c>
      <c r="Y291" s="4">
        <f t="shared" si="66"/>
        <v>0.49678136029727371</v>
      </c>
      <c r="AA291">
        <v>289</v>
      </c>
      <c r="AB291">
        <f t="shared" si="68"/>
        <v>0.42260624963567317</v>
      </c>
      <c r="AC291">
        <f>SUM($AB$3:AB291)</f>
        <v>140.37356369741516</v>
      </c>
      <c r="AD291" s="4">
        <f t="shared" si="69"/>
        <v>0.48572167369347807</v>
      </c>
    </row>
    <row r="292" spans="6:30" x14ac:dyDescent="0.25">
      <c r="F292">
        <v>432000</v>
      </c>
      <c r="G292" s="12">
        <v>2160.764443299332</v>
      </c>
      <c r="H292" s="12">
        <f t="shared" si="74"/>
        <v>2160.2436291562763</v>
      </c>
      <c r="I292" s="12">
        <f t="shared" si="75"/>
        <v>0.27124737160690449</v>
      </c>
      <c r="K292">
        <f t="shared" si="71"/>
        <v>432000</v>
      </c>
      <c r="L292" s="12">
        <v>1229.9841273752115</v>
      </c>
      <c r="M292" s="12">
        <f t="shared" si="70"/>
        <v>1230.7742704567231</v>
      </c>
      <c r="N292" s="12">
        <f t="shared" si="72"/>
        <v>0.62432608926062694</v>
      </c>
      <c r="R292" s="2">
        <f t="shared" si="73"/>
        <v>0.75674172959484243</v>
      </c>
      <c r="V292">
        <v>290</v>
      </c>
      <c r="W292">
        <f t="shared" si="67"/>
        <v>0.42238441661328668</v>
      </c>
      <c r="X292">
        <f>SUM($W$3:W292)</f>
        <v>143.99219754252539</v>
      </c>
      <c r="Y292" s="4">
        <f t="shared" si="66"/>
        <v>0.49652481911215651</v>
      </c>
      <c r="AA292">
        <v>290</v>
      </c>
      <c r="AB292">
        <f t="shared" si="68"/>
        <v>0.42238441661328668</v>
      </c>
      <c r="AC292">
        <f>SUM($AB$3:AB292)</f>
        <v>140.79594811402845</v>
      </c>
      <c r="AD292" s="4">
        <f t="shared" si="69"/>
        <v>0.48550326935871879</v>
      </c>
    </row>
    <row r="293" spans="6:30" x14ac:dyDescent="0.25">
      <c r="F293">
        <v>434000</v>
      </c>
      <c r="G293" s="12">
        <v>2160.0351307919732</v>
      </c>
      <c r="H293" s="12">
        <f t="shared" si="74"/>
        <v>2158.6084748542571</v>
      </c>
      <c r="I293" s="12">
        <f t="shared" si="75"/>
        <v>2.0353471646205401</v>
      </c>
      <c r="K293">
        <f t="shared" si="71"/>
        <v>434000</v>
      </c>
      <c r="L293" s="12">
        <v>1228.3238801229691</v>
      </c>
      <c r="M293" s="12">
        <f t="shared" si="70"/>
        <v>1229.1170026960128</v>
      </c>
      <c r="N293" s="12">
        <f t="shared" si="72"/>
        <v>0.62904341587157753</v>
      </c>
      <c r="R293" s="2">
        <f t="shared" si="73"/>
        <v>0.75852245954522135</v>
      </c>
      <c r="V293">
        <v>291</v>
      </c>
      <c r="W293">
        <f t="shared" si="67"/>
        <v>0.42216346306060104</v>
      </c>
      <c r="X293">
        <f>SUM($W$3:W293)</f>
        <v>144.41436100558599</v>
      </c>
      <c r="Y293" s="4">
        <f t="shared" si="66"/>
        <v>0.49626928180613744</v>
      </c>
      <c r="AA293">
        <v>291</v>
      </c>
      <c r="AB293">
        <f t="shared" si="68"/>
        <v>0.42216346306060104</v>
      </c>
      <c r="AC293">
        <f>SUM($AB$3:AB293)</f>
        <v>141.21811157708905</v>
      </c>
      <c r="AD293" s="4">
        <f t="shared" si="69"/>
        <v>0.48528560679412042</v>
      </c>
    </row>
    <row r="294" spans="6:30" x14ac:dyDescent="0.25">
      <c r="F294">
        <v>436000</v>
      </c>
      <c r="G294" s="12">
        <v>2159.3106148690126</v>
      </c>
      <c r="H294" s="12">
        <f t="shared" si="74"/>
        <v>2156.9820677064004</v>
      </c>
      <c r="I294" s="12">
        <f t="shared" si="75"/>
        <v>5.4221318885096403</v>
      </c>
      <c r="K294">
        <f t="shared" si="71"/>
        <v>436000</v>
      </c>
      <c r="L294" s="12">
        <v>1226.6735896136306</v>
      </c>
      <c r="M294" s="12">
        <f t="shared" si="70"/>
        <v>1227.4695707739061</v>
      </c>
      <c r="N294" s="12">
        <f t="shared" si="72"/>
        <v>0.63358600751346728</v>
      </c>
      <c r="R294" s="2">
        <f t="shared" si="73"/>
        <v>0.76029763186565202</v>
      </c>
      <c r="V294">
        <v>292</v>
      </c>
      <c r="W294">
        <f t="shared" si="67"/>
        <v>0.4219433824865938</v>
      </c>
      <c r="X294">
        <f>SUM($W$3:W294)</f>
        <v>144.83630438807259</v>
      </c>
      <c r="Y294" s="4">
        <f t="shared" si="66"/>
        <v>0.49601474105504312</v>
      </c>
      <c r="AA294">
        <v>292</v>
      </c>
      <c r="AB294">
        <f t="shared" si="68"/>
        <v>0.4219433824865938</v>
      </c>
      <c r="AC294">
        <f>SUM($AB$3:AB294)</f>
        <v>141.64005495957565</v>
      </c>
      <c r="AD294" s="4">
        <f t="shared" si="69"/>
        <v>0.48506868136840975</v>
      </c>
    </row>
    <row r="295" spans="6:30" x14ac:dyDescent="0.25">
      <c r="F295">
        <v>438000</v>
      </c>
      <c r="G295" s="12">
        <v>2158.5908421004174</v>
      </c>
      <c r="H295" s="12">
        <f t="shared" si="74"/>
        <v>2155.3643211164494</v>
      </c>
      <c r="I295" s="12">
        <f t="shared" si="75"/>
        <v>10.41043765998538</v>
      </c>
      <c r="K295">
        <f t="shared" si="71"/>
        <v>438000</v>
      </c>
      <c r="L295" s="12">
        <v>1225.0331507065443</v>
      </c>
      <c r="M295" s="12">
        <f t="shared" si="70"/>
        <v>1225.8318715964517</v>
      </c>
      <c r="N295" s="12">
        <f t="shared" si="72"/>
        <v>0.63795505997442448</v>
      </c>
      <c r="R295" s="2">
        <f t="shared" si="73"/>
        <v>0.76206728842843052</v>
      </c>
      <c r="V295">
        <v>293</v>
      </c>
      <c r="W295">
        <f t="shared" si="67"/>
        <v>0.42172416847017147</v>
      </c>
      <c r="X295">
        <f>SUM($W$3:W295)</f>
        <v>145.25802855654277</v>
      </c>
      <c r="Y295" s="4">
        <f t="shared" si="66"/>
        <v>0.49576118961277393</v>
      </c>
      <c r="AA295">
        <v>293</v>
      </c>
      <c r="AB295">
        <f t="shared" si="68"/>
        <v>0.42172416847017147</v>
      </c>
      <c r="AC295">
        <f>SUM($AB$3:AB295)</f>
        <v>142.06177912804583</v>
      </c>
      <c r="AD295" s="4">
        <f t="shared" si="69"/>
        <v>0.48485248849162399</v>
      </c>
    </row>
    <row r="296" spans="6:30" x14ac:dyDescent="0.25">
      <c r="F296">
        <v>440000</v>
      </c>
      <c r="G296" s="12">
        <v>2157.8757598924494</v>
      </c>
      <c r="H296" s="12">
        <f t="shared" si="74"/>
        <v>2153.755149735915</v>
      </c>
      <c r="I296" s="12">
        <f t="shared" si="75"/>
        <v>16.97942806213478</v>
      </c>
      <c r="K296">
        <f t="shared" si="71"/>
        <v>440000</v>
      </c>
      <c r="L296" s="12">
        <v>1223.4024598459878</v>
      </c>
      <c r="M296" s="12">
        <f t="shared" si="70"/>
        <v>1224.2038036147237</v>
      </c>
      <c r="N296" s="12">
        <f t="shared" si="72"/>
        <v>0.64215183569190815</v>
      </c>
      <c r="R296" s="2">
        <f t="shared" si="73"/>
        <v>0.76383147060543033</v>
      </c>
      <c r="V296">
        <v>294</v>
      </c>
      <c r="W296">
        <f t="shared" si="67"/>
        <v>0.42150581465918224</v>
      </c>
      <c r="X296">
        <f>SUM($W$3:W296)</f>
        <v>145.67953437120195</v>
      </c>
      <c r="Y296" s="4">
        <f t="shared" si="66"/>
        <v>0.4955086203102107</v>
      </c>
      <c r="AA296">
        <v>294</v>
      </c>
      <c r="AB296">
        <f t="shared" si="68"/>
        <v>0.42150581465918224</v>
      </c>
      <c r="AC296">
        <f>SUM($AB$3:AB296)</f>
        <v>142.48328494270501</v>
      </c>
      <c r="AD296" s="4">
        <f t="shared" si="69"/>
        <v>0.48463702361464289</v>
      </c>
    </row>
    <row r="297" spans="6:30" x14ac:dyDescent="0.25">
      <c r="F297">
        <v>442000</v>
      </c>
      <c r="G297" s="12">
        <v>2157.1653164708418</v>
      </c>
      <c r="H297" s="12">
        <f t="shared" si="74"/>
        <v>2152.1544694405147</v>
      </c>
      <c r="I297" s="12">
        <f t="shared" si="75"/>
        <v>25.108587961338049</v>
      </c>
      <c r="K297">
        <f t="shared" si="71"/>
        <v>442000</v>
      </c>
      <c r="L297" s="12">
        <v>1221.781415030189</v>
      </c>
      <c r="M297" s="12">
        <f t="shared" si="70"/>
        <v>1222.5852667947674</v>
      </c>
      <c r="N297" s="12">
        <f t="shared" si="72"/>
        <v>0.64617765941587102</v>
      </c>
      <c r="R297" s="2">
        <f t="shared" si="73"/>
        <v>0.76559021927628557</v>
      </c>
      <c r="V297">
        <v>295</v>
      </c>
      <c r="W297">
        <f t="shared" si="67"/>
        <v>0.42128831476944284</v>
      </c>
      <c r="X297">
        <f>SUM($W$3:W297)</f>
        <v>146.10082268597139</v>
      </c>
      <c r="Y297" s="4">
        <f t="shared" si="66"/>
        <v>0.49525702605414029</v>
      </c>
      <c r="AA297">
        <v>295</v>
      </c>
      <c r="AB297">
        <f t="shared" si="68"/>
        <v>0.42128831476944284</v>
      </c>
      <c r="AC297">
        <f>SUM($AB$3:AB297)</f>
        <v>142.90457325747445</v>
      </c>
      <c r="AD297" s="4">
        <f t="shared" si="69"/>
        <v>0.48442228222872696</v>
      </c>
    </row>
    <row r="298" spans="6:30" x14ac:dyDescent="0.25">
      <c r="F298">
        <v>444000</v>
      </c>
      <c r="G298" s="12">
        <v>2156.4594608643838</v>
      </c>
      <c r="H298" s="12">
        <f t="shared" si="74"/>
        <v>2150.5621973071766</v>
      </c>
      <c r="I298" s="12">
        <f t="shared" si="75"/>
        <v>34.777717463164414</v>
      </c>
      <c r="K298">
        <f t="shared" si="71"/>
        <v>444000</v>
      </c>
      <c r="L298" s="12">
        <v>1220.1699157810915</v>
      </c>
      <c r="M298" s="12">
        <f t="shared" si="70"/>
        <v>1220.9761625882654</v>
      </c>
      <c r="N298" s="12">
        <f t="shared" si="72"/>
        <v>0.65003391407814082</v>
      </c>
      <c r="R298" s="2">
        <f t="shared" si="73"/>
        <v>0.76734357483640037</v>
      </c>
      <c r="V298">
        <v>296</v>
      </c>
      <c r="W298">
        <f t="shared" si="67"/>
        <v>0.42107166258378464</v>
      </c>
      <c r="X298">
        <f>SUM($W$3:W298)</f>
        <v>146.52189434855518</v>
      </c>
      <c r="Y298" s="4">
        <f t="shared" si="66"/>
        <v>0.49500639982619993</v>
      </c>
      <c r="AA298">
        <v>296</v>
      </c>
      <c r="AB298">
        <f t="shared" si="68"/>
        <v>0.42107166258378464</v>
      </c>
      <c r="AC298">
        <f>SUM($AB$3:AB298)</f>
        <v>143.32564492005824</v>
      </c>
      <c r="AD298" s="4">
        <f t="shared" si="69"/>
        <v>0.48420825986506161</v>
      </c>
    </row>
    <row r="299" spans="6:30" x14ac:dyDescent="0.25">
      <c r="F299">
        <v>446000</v>
      </c>
      <c r="G299" s="12">
        <v>2155.7581428889075</v>
      </c>
      <c r="H299" s="12">
        <f t="shared" si="74"/>
        <v>2148.9782515915595</v>
      </c>
      <c r="I299" s="12">
        <f t="shared" si="75"/>
        <v>45.966926003855939</v>
      </c>
      <c r="K299">
        <f t="shared" si="71"/>
        <v>446000</v>
      </c>
      <c r="L299" s="12">
        <v>1218.5678631148412</v>
      </c>
      <c r="M299" s="12">
        <f t="shared" si="70"/>
        <v>1219.3763939039002</v>
      </c>
      <c r="N299" s="12">
        <f t="shared" si="72"/>
        <v>0.65372203685633268</v>
      </c>
      <c r="R299" s="2">
        <f t="shared" si="73"/>
        <v>0.76909157720479193</v>
      </c>
      <c r="V299">
        <v>297</v>
      </c>
      <c r="W299">
        <f t="shared" si="67"/>
        <v>0.42085585195111491</v>
      </c>
      <c r="X299">
        <f>SUM($W$3:W299)</f>
        <v>146.94275020050628</v>
      </c>
      <c r="Y299" s="4">
        <f t="shared" si="66"/>
        <v>0.49475673468183934</v>
      </c>
      <c r="AA299">
        <v>297</v>
      </c>
      <c r="AB299">
        <f t="shared" si="68"/>
        <v>0.42085585195111491</v>
      </c>
      <c r="AC299">
        <f>SUM($AB$3:AB299)</f>
        <v>143.74650077200934</v>
      </c>
      <c r="AD299" s="4">
        <f t="shared" si="69"/>
        <v>0.48399495209430754</v>
      </c>
    </row>
    <row r="300" spans="6:30" x14ac:dyDescent="0.25">
      <c r="F300">
        <v>448000</v>
      </c>
      <c r="G300" s="12">
        <v>2155.0613131316659</v>
      </c>
      <c r="H300" s="12">
        <f t="shared" si="74"/>
        <v>2147.4025517061041</v>
      </c>
      <c r="I300" s="12">
        <f t="shared" si="75"/>
        <v>58.656626573673513</v>
      </c>
      <c r="K300">
        <f t="shared" si="71"/>
        <v>448000</v>
      </c>
      <c r="L300" s="12">
        <v>1216.9751595129731</v>
      </c>
      <c r="M300" s="12">
        <f t="shared" si="70"/>
        <v>1217.7858650793937</v>
      </c>
      <c r="N300" s="12">
        <f t="shared" si="72"/>
        <v>0.65724351542545212</v>
      </c>
      <c r="R300" s="2">
        <f t="shared" si="73"/>
        <v>0.7708342658317775</v>
      </c>
      <c r="V300">
        <v>298</v>
      </c>
      <c r="W300">
        <f t="shared" si="67"/>
        <v>0.42064087678549539</v>
      </c>
      <c r="X300">
        <f>SUM($W$3:W300)</f>
        <v>147.36339107729177</v>
      </c>
      <c r="Y300" s="4">
        <f t="shared" si="66"/>
        <v>0.49450802374930125</v>
      </c>
      <c r="AA300">
        <v>298</v>
      </c>
      <c r="AB300">
        <f t="shared" si="68"/>
        <v>0.42064087678549539</v>
      </c>
      <c r="AC300">
        <f>SUM($AB$3:AB300)</f>
        <v>144.16714164879482</v>
      </c>
      <c r="AD300" s="4">
        <f t="shared" si="69"/>
        <v>0.48378235452615714</v>
      </c>
    </row>
    <row r="301" spans="6:30" x14ac:dyDescent="0.25">
      <c r="F301">
        <v>450000</v>
      </c>
      <c r="G301" s="12">
        <v>2154.3689229360843</v>
      </c>
      <c r="H301" s="12">
        <f t="shared" si="74"/>
        <v>2145.8350181985866</v>
      </c>
      <c r="I301" s="12">
        <f t="shared" si="75"/>
        <v>72.827530068687025</v>
      </c>
      <c r="K301">
        <f t="shared" si="71"/>
        <v>450000</v>
      </c>
      <c r="L301" s="12">
        <v>1215.3917088942796</v>
      </c>
      <c r="M301" s="12">
        <f t="shared" si="70"/>
        <v>1216.2044818542076</v>
      </c>
      <c r="N301" s="12">
        <f t="shared" si="72"/>
        <v>0.66059988439011796</v>
      </c>
      <c r="R301" s="2">
        <f t="shared" si="73"/>
        <v>0.77257167970649809</v>
      </c>
      <c r="V301">
        <v>299</v>
      </c>
      <c r="W301">
        <f t="shared" si="67"/>
        <v>0.42042673106523593</v>
      </c>
      <c r="X301">
        <f>SUM($W$3:W301)</f>
        <v>147.78381780835701</v>
      </c>
      <c r="Y301" s="4">
        <f t="shared" si="66"/>
        <v>0.4942602602286188</v>
      </c>
      <c r="AA301">
        <v>299</v>
      </c>
      <c r="AB301">
        <f t="shared" si="68"/>
        <v>0.42042673106523593</v>
      </c>
      <c r="AC301">
        <f>SUM($AB$3:AB301)</f>
        <v>144.58756837986007</v>
      </c>
      <c r="AD301" s="4">
        <f t="shared" si="69"/>
        <v>0.48357046280889654</v>
      </c>
    </row>
    <row r="302" spans="6:30" x14ac:dyDescent="0.25">
      <c r="F302">
        <v>452000</v>
      </c>
      <c r="G302" s="12">
        <v>2153.6809243868906</v>
      </c>
      <c r="H302" s="12">
        <f t="shared" si="74"/>
        <v>2144.2755727311574</v>
      </c>
      <c r="I302" s="12">
        <f t="shared" si="75"/>
        <v>88.460639768004825</v>
      </c>
      <c r="K302">
        <f t="shared" si="71"/>
        <v>452000</v>
      </c>
      <c r="L302" s="12">
        <v>1213.8174165873456</v>
      </c>
      <c r="M302" s="12">
        <f t="shared" si="70"/>
        <v>1214.632151342882</v>
      </c>
      <c r="N302" s="12">
        <f t="shared" si="72"/>
        <v>0.66379272187894478</v>
      </c>
      <c r="R302" s="2">
        <f t="shared" si="73"/>
        <v>0.77430385736429486</v>
      </c>
      <c r="V302">
        <v>300</v>
      </c>
      <c r="W302">
        <f t="shared" si="67"/>
        <v>0.42021340883200392</v>
      </c>
      <c r="X302">
        <f>SUM($W$3:W302)</f>
        <v>148.20403121718903</v>
      </c>
      <c r="Y302" s="4">
        <f t="shared" si="66"/>
        <v>0.49401343739063008</v>
      </c>
      <c r="AA302">
        <v>300</v>
      </c>
      <c r="AB302">
        <f t="shared" si="68"/>
        <v>0.42021340883200392</v>
      </c>
      <c r="AC302">
        <f>SUM($AB$3:AB302)</f>
        <v>145.00778178869209</v>
      </c>
      <c r="AD302" s="4">
        <f t="shared" si="69"/>
        <v>0.4833592726289736</v>
      </c>
    </row>
    <row r="303" spans="6:30" x14ac:dyDescent="0.25">
      <c r="F303">
        <v>454000</v>
      </c>
      <c r="G303" s="12">
        <v>2152.9972702955847</v>
      </c>
      <c r="H303" s="12">
        <f t="shared" si="74"/>
        <v>2142.7241380598666</v>
      </c>
      <c r="I303" s="12">
        <f t="shared" si="75"/>
        <v>105.53724593255025</v>
      </c>
      <c r="K303">
        <f t="shared" si="71"/>
        <v>454000</v>
      </c>
      <c r="L303" s="12">
        <v>1212.2521893037185</v>
      </c>
      <c r="M303" s="12">
        <f t="shared" si="70"/>
        <v>1213.0687820089968</v>
      </c>
      <c r="N303" s="12">
        <f t="shared" si="72"/>
        <v>0.66682364631365665</v>
      </c>
      <c r="R303" s="2">
        <f t="shared" si="73"/>
        <v>0.77603083689393215</v>
      </c>
      <c r="V303">
        <v>301</v>
      </c>
      <c r="W303">
        <f t="shared" si="67"/>
        <v>0.42000090418994951</v>
      </c>
      <c r="X303">
        <f>SUM($W$3:W303)</f>
        <v>148.62403212137897</v>
      </c>
      <c r="Y303" s="4">
        <f t="shared" si="66"/>
        <v>0.49376754857600991</v>
      </c>
      <c r="AA303">
        <v>301</v>
      </c>
      <c r="AB303">
        <f t="shared" si="68"/>
        <v>0.42000090418994951</v>
      </c>
      <c r="AC303">
        <f>SUM($AB$3:AB303)</f>
        <v>145.42778269288203</v>
      </c>
      <c r="AD303" s="4">
        <f t="shared" si="69"/>
        <v>0.48314877971057152</v>
      </c>
    </row>
    <row r="304" spans="6:30" x14ac:dyDescent="0.25">
      <c r="F304">
        <v>456000</v>
      </c>
      <c r="G304" s="12">
        <v>2152.3179141862724</v>
      </c>
      <c r="H304" s="12">
        <f t="shared" si="74"/>
        <v>2141.1806380146459</v>
      </c>
      <c r="I304" s="12">
        <f t="shared" si="75"/>
        <v>124.03892052308125</v>
      </c>
      <c r="K304">
        <f t="shared" si="71"/>
        <v>456000</v>
      </c>
      <c r="L304" s="12">
        <v>1210.6959351117157</v>
      </c>
      <c r="M304" s="12">
        <f t="shared" si="70"/>
        <v>1211.5142836397379</v>
      </c>
      <c r="N304" s="12">
        <f t="shared" si="72"/>
        <v>0.66969431331605278</v>
      </c>
      <c r="R304" s="2">
        <f t="shared" si="73"/>
        <v>0.77775265594467324</v>
      </c>
      <c r="V304">
        <v>302</v>
      </c>
      <c r="W304">
        <f t="shared" si="67"/>
        <v>0.41978921130484487</v>
      </c>
      <c r="X304">
        <f>SUM($W$3:W304)</f>
        <v>149.04382133268382</v>
      </c>
      <c r="Y304" s="4">
        <f t="shared" si="66"/>
        <v>0.4935225871943173</v>
      </c>
      <c r="AA304">
        <v>302</v>
      </c>
      <c r="AB304">
        <f t="shared" si="68"/>
        <v>0.41978921130484487</v>
      </c>
      <c r="AC304">
        <f>SUM($AB$3:AB304)</f>
        <v>145.84757190418688</v>
      </c>
      <c r="AD304" s="4">
        <f t="shared" si="69"/>
        <v>0.48293897981518835</v>
      </c>
    </row>
    <row r="305" spans="6:30" x14ac:dyDescent="0.25">
      <c r="F305">
        <v>458000</v>
      </c>
      <c r="G305" s="12">
        <v>2151.64281028183</v>
      </c>
      <c r="H305" s="12">
        <f t="shared" si="74"/>
        <v>2139.6449974797474</v>
      </c>
      <c r="I305" s="12">
        <f t="shared" si="75"/>
        <v>143.94751203381557</v>
      </c>
      <c r="K305">
        <f t="shared" si="71"/>
        <v>458000</v>
      </c>
      <c r="L305" s="12">
        <v>1209.1485634108301</v>
      </c>
      <c r="M305" s="12">
        <f t="shared" si="70"/>
        <v>1209.9685673210547</v>
      </c>
      <c r="N305" s="12">
        <f t="shared" si="72"/>
        <v>0.67240641278365632</v>
      </c>
      <c r="R305" s="2">
        <f t="shared" si="73"/>
        <v>0.77946935173322496</v>
      </c>
      <c r="V305">
        <v>303</v>
      </c>
      <c r="W305">
        <f t="shared" si="67"/>
        <v>0.41957832440323889</v>
      </c>
      <c r="X305">
        <f>SUM($W$3:W305)</f>
        <v>149.46339965708705</v>
      </c>
      <c r="Y305" s="4">
        <f t="shared" si="66"/>
        <v>0.4932785467230596</v>
      </c>
      <c r="AA305">
        <v>303</v>
      </c>
      <c r="AB305">
        <f t="shared" si="68"/>
        <v>0.41957832440323889</v>
      </c>
      <c r="AC305">
        <f>SUM($AB$3:AB305)</f>
        <v>146.26715022859011</v>
      </c>
      <c r="AD305" s="4">
        <f t="shared" si="69"/>
        <v>0.48272986874122148</v>
      </c>
    </row>
    <row r="306" spans="6:30" x14ac:dyDescent="0.25">
      <c r="F306">
        <v>460000</v>
      </c>
      <c r="G306" s="12">
        <v>2150.9719134903917</v>
      </c>
      <c r="H306" s="12">
        <f t="shared" si="74"/>
        <v>2138.1171423746223</v>
      </c>
      <c r="I306" s="12">
        <f t="shared" si="75"/>
        <v>165.24514043881879</v>
      </c>
      <c r="K306">
        <f t="shared" si="71"/>
        <v>460000</v>
      </c>
      <c r="L306" s="12">
        <v>1207.6099849067357</v>
      </c>
      <c r="M306" s="12">
        <f t="shared" si="70"/>
        <v>1208.4315454133864</v>
      </c>
      <c r="N306" s="12">
        <f t="shared" si="72"/>
        <v>0.67496166608817521</v>
      </c>
      <c r="R306" s="2">
        <f t="shared" si="73"/>
        <v>0.78118096105052692</v>
      </c>
      <c r="V306">
        <v>304</v>
      </c>
      <c r="W306">
        <f t="shared" si="67"/>
        <v>0.41936823777162607</v>
      </c>
      <c r="X306">
        <f>SUM($W$3:W306)</f>
        <v>149.88276789485869</v>
      </c>
      <c r="Y306" s="4">
        <f t="shared" si="66"/>
        <v>0.49303542070677198</v>
      </c>
      <c r="AA306">
        <v>304</v>
      </c>
      <c r="AB306">
        <f t="shared" si="68"/>
        <v>0.41936823777162607</v>
      </c>
      <c r="AC306">
        <f>SUM($AB$3:AB306)</f>
        <v>146.68651846636175</v>
      </c>
      <c r="AD306" s="4">
        <f t="shared" si="69"/>
        <v>0.48252144232355837</v>
      </c>
    </row>
    <row r="307" spans="6:30" x14ac:dyDescent="0.25">
      <c r="F307">
        <v>462000</v>
      </c>
      <c r="G307" s="12">
        <v>2150.3051793921622</v>
      </c>
      <c r="H307" s="12">
        <f t="shared" si="74"/>
        <v>2136.5969996352251</v>
      </c>
      <c r="I307" s="12">
        <f t="shared" si="75"/>
        <v>187.91419224850202</v>
      </c>
      <c r="K307">
        <f t="shared" si="71"/>
        <v>462000</v>
      </c>
      <c r="L307" s="12">
        <v>1206.0801115868651</v>
      </c>
      <c r="M307" s="12">
        <f t="shared" si="70"/>
        <v>1206.9031315279476</v>
      </c>
      <c r="N307" s="12">
        <f t="shared" si="72"/>
        <v>0.67736182341947593</v>
      </c>
      <c r="R307" s="2">
        <f t="shared" si="73"/>
        <v>0.78288752026841757</v>
      </c>
      <c r="V307">
        <v>305</v>
      </c>
      <c r="W307">
        <f t="shared" si="67"/>
        <v>0.41915894575562895</v>
      </c>
      <c r="X307">
        <f>SUM($W$3:W307)</f>
        <v>150.30192684061433</v>
      </c>
      <c r="Y307" s="4">
        <f t="shared" si="66"/>
        <v>0.49279320275611255</v>
      </c>
      <c r="AA307">
        <v>305</v>
      </c>
      <c r="AB307">
        <f t="shared" si="68"/>
        <v>0.41915894575562895</v>
      </c>
      <c r="AC307">
        <f>SUM($AB$3:AB307)</f>
        <v>147.10567741211739</v>
      </c>
      <c r="AD307" s="4">
        <f t="shared" si="69"/>
        <v>0.48231369643317173</v>
      </c>
    </row>
    <row r="308" spans="6:30" x14ac:dyDescent="0.25">
      <c r="F308">
        <v>464000</v>
      </c>
      <c r="G308" s="12">
        <v>2149.6425642265394</v>
      </c>
      <c r="H308" s="12">
        <f t="shared" si="74"/>
        <v>2135.0844971957376</v>
      </c>
      <c r="I308" s="12">
        <f t="shared" si="75"/>
        <v>211.93731567331818</v>
      </c>
      <c r="K308">
        <f t="shared" si="71"/>
        <v>464000</v>
      </c>
      <c r="L308" s="12">
        <v>1204.5588566965496</v>
      </c>
      <c r="M308" s="12">
        <f t="shared" si="70"/>
        <v>1205.3832405035548</v>
      </c>
      <c r="N308" s="12">
        <f t="shared" si="72"/>
        <v>0.6796086612524419</v>
      </c>
      <c r="R308" s="2">
        <f t="shared" si="73"/>
        <v>0.78458906534616402</v>
      </c>
      <c r="V308">
        <v>306</v>
      </c>
      <c r="W308">
        <f t="shared" si="67"/>
        <v>0.41895044275919513</v>
      </c>
      <c r="X308">
        <f>SUM($W$3:W308)</f>
        <v>150.72087728337351</v>
      </c>
      <c r="Y308" s="4">
        <f t="shared" si="66"/>
        <v>0.49255188654697224</v>
      </c>
      <c r="AA308">
        <v>306</v>
      </c>
      <c r="AB308">
        <f t="shared" si="68"/>
        <v>0.41895044275919513</v>
      </c>
      <c r="AC308">
        <f>SUM($AB$3:AB308)</f>
        <v>147.52462785487657</v>
      </c>
      <c r="AD308" s="4">
        <f t="shared" si="69"/>
        <v>0.4821066269767208</v>
      </c>
    </row>
    <row r="309" spans="6:30" x14ac:dyDescent="0.25">
      <c r="F309">
        <v>466000</v>
      </c>
      <c r="G309" s="12">
        <v>2148.9840248795299</v>
      </c>
      <c r="H309" s="12">
        <f t="shared" si="74"/>
        <v>2133.5795639706948</v>
      </c>
      <c r="I309" s="12">
        <f t="shared" si="75"/>
        <v>237.29741589182757</v>
      </c>
      <c r="K309">
        <f t="shared" si="71"/>
        <v>466000</v>
      </c>
      <c r="L309" s="12">
        <v>1203.0461347156995</v>
      </c>
      <c r="M309" s="12">
        <f t="shared" si="70"/>
        <v>1203.8717883839804</v>
      </c>
      <c r="N309" s="12">
        <f t="shared" si="72"/>
        <v>0.68170397994569454</v>
      </c>
      <c r="R309" s="2">
        <f t="shared" si="73"/>
        <v>0.78628563183686362</v>
      </c>
      <c r="V309">
        <v>307</v>
      </c>
      <c r="W309">
        <f t="shared" si="67"/>
        <v>0.4187427232438069</v>
      </c>
      <c r="X309">
        <f>SUM($W$3:W309)</f>
        <v>151.13962000661732</v>
      </c>
      <c r="Y309" s="4">
        <f t="shared" si="66"/>
        <v>0.49231146581960039</v>
      </c>
      <c r="AA309">
        <v>307</v>
      </c>
      <c r="AB309">
        <f t="shared" si="68"/>
        <v>0.4187427232438069</v>
      </c>
      <c r="AC309">
        <f>SUM($AB$3:AB309)</f>
        <v>147.94337057812038</v>
      </c>
      <c r="AD309" s="4">
        <f t="shared" si="69"/>
        <v>0.48190022989615761</v>
      </c>
    </row>
    <row r="310" spans="6:30" x14ac:dyDescent="0.25">
      <c r="F310">
        <v>468000</v>
      </c>
      <c r="G310" s="12">
        <v>2148.3295188714692</v>
      </c>
      <c r="H310" s="12">
        <f t="shared" si="74"/>
        <v>2132.0821298375145</v>
      </c>
      <c r="I310" s="12">
        <f t="shared" si="75"/>
        <v>263.97765042067249</v>
      </c>
      <c r="K310">
        <f t="shared" si="71"/>
        <v>468000</v>
      </c>
      <c r="L310" s="12">
        <v>1201.5418613360212</v>
      </c>
      <c r="M310" s="12">
        <f t="shared" si="70"/>
        <v>1202.3686923958189</v>
      </c>
      <c r="N310" s="12">
        <f t="shared" si="72"/>
        <v>0.6836496014463016</v>
      </c>
      <c r="R310" s="2">
        <f t="shared" si="73"/>
        <v>0.78797725489371939</v>
      </c>
      <c r="V310">
        <v>308</v>
      </c>
      <c r="W310">
        <f t="shared" si="67"/>
        <v>0.418535781727705</v>
      </c>
      <c r="X310">
        <f>SUM($W$3:W310)</f>
        <v>151.55815578834503</v>
      </c>
      <c r="Y310" s="4">
        <f t="shared" ref="Y310:Y373" si="76">X310/V310</f>
        <v>0.4920719343777436</v>
      </c>
      <c r="AA310">
        <v>308</v>
      </c>
      <c r="AB310">
        <f t="shared" si="68"/>
        <v>0.418535781727705</v>
      </c>
      <c r="AC310">
        <f>SUM($AB$3:AB310)</f>
        <v>148.36190635984809</v>
      </c>
      <c r="AD310" s="4">
        <f t="shared" si="69"/>
        <v>0.48169450116833795</v>
      </c>
    </row>
    <row r="311" spans="6:30" x14ac:dyDescent="0.25">
      <c r="F311">
        <v>470000</v>
      </c>
      <c r="G311" s="12">
        <v>2147.6790043450187</v>
      </c>
      <c r="H311" s="12">
        <f t="shared" si="74"/>
        <v>2130.5921256193983</v>
      </c>
      <c r="I311" s="12">
        <f t="shared" si="75"/>
        <v>291.96142458405933</v>
      </c>
      <c r="K311">
        <f t="shared" si="71"/>
        <v>470000</v>
      </c>
      <c r="L311" s="12">
        <v>1200.0459534387458</v>
      </c>
      <c r="M311" s="12">
        <f t="shared" si="70"/>
        <v>1200.8738709268539</v>
      </c>
      <c r="N311" s="12">
        <f t="shared" si="72"/>
        <v>0.68544736711529497</v>
      </c>
      <c r="R311" s="2">
        <f t="shared" si="73"/>
        <v>0.78966396927619265</v>
      </c>
      <c r="V311">
        <v>309</v>
      </c>
      <c r="W311">
        <f t="shared" si="67"/>
        <v>0.41832961278512454</v>
      </c>
      <c r="X311">
        <f>SUM($W$3:W311)</f>
        <v>151.97648540113016</v>
      </c>
      <c r="Y311" s="4">
        <f t="shared" si="76"/>
        <v>0.49183328608779986</v>
      </c>
      <c r="AA311">
        <v>309</v>
      </c>
      <c r="AB311">
        <f t="shared" si="68"/>
        <v>0.41832961278512454</v>
      </c>
      <c r="AC311">
        <f>SUM($AB$3:AB311)</f>
        <v>148.78023597263322</v>
      </c>
      <c r="AD311" s="4">
        <f t="shared" si="69"/>
        <v>0.48148943680463824</v>
      </c>
    </row>
    <row r="312" spans="6:30" x14ac:dyDescent="0.25">
      <c r="F312">
        <v>472000</v>
      </c>
      <c r="G312" s="12">
        <v>2147.0324400534428</v>
      </c>
      <c r="H312" s="12">
        <f t="shared" si="74"/>
        <v>2129.1094830686197</v>
      </c>
      <c r="I312" s="12">
        <f t="shared" si="75"/>
        <v>321.2323870798167</v>
      </c>
      <c r="K312">
        <f t="shared" si="71"/>
        <v>472000</v>
      </c>
      <c r="L312" s="12">
        <v>1198.5583290728621</v>
      </c>
      <c r="M312" s="12">
        <f t="shared" si="70"/>
        <v>1199.3872435049072</v>
      </c>
      <c r="N312" s="12">
        <f t="shared" si="72"/>
        <v>0.68709913565276159</v>
      </c>
      <c r="R312" s="2">
        <f t="shared" si="73"/>
        <v>0.79134580935603482</v>
      </c>
      <c r="V312">
        <v>310</v>
      </c>
      <c r="W312">
        <f t="shared" si="67"/>
        <v>0.41812421104554442</v>
      </c>
      <c r="X312">
        <f>SUM($W$3:W312)</f>
        <v>152.39460961217571</v>
      </c>
      <c r="Y312" s="4">
        <f t="shared" si="76"/>
        <v>0.49159551487798619</v>
      </c>
      <c r="AA312">
        <v>310</v>
      </c>
      <c r="AB312">
        <f t="shared" si="68"/>
        <v>0.41812421104554442</v>
      </c>
      <c r="AC312">
        <f>SUM($AB$3:AB312)</f>
        <v>149.19836018367877</v>
      </c>
      <c r="AD312" s="4">
        <f t="shared" si="69"/>
        <v>0.48128503285057667</v>
      </c>
    </row>
    <row r="313" spans="6:30" x14ac:dyDescent="0.25">
      <c r="F313">
        <v>474000</v>
      </c>
      <c r="G313" s="12">
        <v>2146.3897853491512</v>
      </c>
      <c r="H313" s="12">
        <f t="shared" si="74"/>
        <v>2127.6341348501696</v>
      </c>
      <c r="I313" s="12">
        <f t="shared" si="75"/>
        <v>351.77442563994856</v>
      </c>
      <c r="K313">
        <f t="shared" si="71"/>
        <v>474000</v>
      </c>
      <c r="L313" s="12">
        <v>1197.0789074338363</v>
      </c>
      <c r="M313" s="12">
        <f t="shared" si="70"/>
        <v>1197.9087307771672</v>
      </c>
      <c r="N313" s="12">
        <f t="shared" si="72"/>
        <v>0.68860678113682694</v>
      </c>
      <c r="R313" s="2">
        <f t="shared" si="73"/>
        <v>0.79302280912320233</v>
      </c>
      <c r="V313">
        <v>311</v>
      </c>
      <c r="W313">
        <f t="shared" si="67"/>
        <v>0.41791957119294837</v>
      </c>
      <c r="X313">
        <f>SUM($W$3:W313)</f>
        <v>152.81252918336867</v>
      </c>
      <c r="Y313" s="4">
        <f t="shared" si="76"/>
        <v>0.49135861473751985</v>
      </c>
      <c r="AA313">
        <v>311</v>
      </c>
      <c r="AB313">
        <f t="shared" si="68"/>
        <v>0.41791957119294837</v>
      </c>
      <c r="AC313">
        <f>SUM($AB$3:AB313)</f>
        <v>149.61627975487173</v>
      </c>
      <c r="AD313" s="4">
        <f t="shared" si="69"/>
        <v>0.48108128538543965</v>
      </c>
    </row>
    <row r="314" spans="6:30" x14ac:dyDescent="0.25">
      <c r="F314">
        <v>476000</v>
      </c>
      <c r="G314" s="12">
        <v>2145.7510001725132</v>
      </c>
      <c r="H314" s="12">
        <f t="shared" si="74"/>
        <v>2126.1660145257601</v>
      </c>
      <c r="I314" s="12">
        <f t="shared" si="75"/>
        <v>383.5716627835215</v>
      </c>
      <c r="K314">
        <f t="shared" si="71"/>
        <v>476000</v>
      </c>
      <c r="L314" s="12">
        <v>1195.6076088428083</v>
      </c>
      <c r="M314" s="12">
        <f t="shared" si="70"/>
        <v>1196.4382544899702</v>
      </c>
      <c r="N314" s="12">
        <f t="shared" si="72"/>
        <v>0.68997219114896691</v>
      </c>
      <c r="R314" s="2">
        <f t="shared" si="73"/>
        <v>0.79469500219166322</v>
      </c>
      <c r="V314">
        <v>312</v>
      </c>
      <c r="W314">
        <f t="shared" si="67"/>
        <v>0.41771568796509889</v>
      </c>
      <c r="X314">
        <f>SUM($W$3:W314)</f>
        <v>153.23024487133375</v>
      </c>
      <c r="Y314" s="4">
        <f t="shared" si="76"/>
        <v>0.4911225797158133</v>
      </c>
      <c r="AA314">
        <v>312</v>
      </c>
      <c r="AB314">
        <f t="shared" si="68"/>
        <v>0.41771568796509889</v>
      </c>
      <c r="AC314">
        <f>SUM($AB$3:AB314)</f>
        <v>150.03399544283681</v>
      </c>
      <c r="AD314" s="4">
        <f t="shared" si="69"/>
        <v>0.48087819052191288</v>
      </c>
    </row>
    <row r="315" spans="6:30" x14ac:dyDescent="0.25">
      <c r="F315">
        <v>478000</v>
      </c>
      <c r="G315" s="12">
        <v>2145.1160450409138</v>
      </c>
      <c r="H315" s="12">
        <f t="shared" si="74"/>
        <v>2124.705056538176</v>
      </c>
      <c r="I315" s="12">
        <f t="shared" si="75"/>
        <v>416.60845165889617</v>
      </c>
      <c r="K315">
        <f t="shared" si="71"/>
        <v>478000</v>
      </c>
      <c r="L315" s="12">
        <v>1194.1443547262541</v>
      </c>
      <c r="M315" s="12">
        <f t="shared" si="70"/>
        <v>1194.9757374690348</v>
      </c>
      <c r="N315" s="12">
        <f t="shared" si="72"/>
        <v>0.69119726499366096</v>
      </c>
      <c r="R315" s="2">
        <f t="shared" si="73"/>
        <v>0.79636242180507621</v>
      </c>
      <c r="V315">
        <v>313</v>
      </c>
      <c r="W315">
        <f t="shared" si="67"/>
        <v>0.41751255615282296</v>
      </c>
      <c r="X315">
        <f>SUM($W$3:W315)</f>
        <v>153.64775742748657</v>
      </c>
      <c r="Y315" s="4">
        <f t="shared" si="76"/>
        <v>0.49088740392168234</v>
      </c>
      <c r="AA315">
        <v>313</v>
      </c>
      <c r="AB315">
        <f t="shared" si="68"/>
        <v>0.41751255615282296</v>
      </c>
      <c r="AC315">
        <f>SUM($AB$3:AB315)</f>
        <v>150.45150799898963</v>
      </c>
      <c r="AD315" s="4">
        <f t="shared" si="69"/>
        <v>0.48067574440571764</v>
      </c>
    </row>
    <row r="316" spans="6:30" x14ac:dyDescent="0.25">
      <c r="F316">
        <v>480000</v>
      </c>
      <c r="G316" s="12">
        <v>2144.4848810380718</v>
      </c>
      <c r="H316" s="12">
        <f t="shared" si="74"/>
        <v>2123.2511961959581</v>
      </c>
      <c r="I316" s="12">
        <f t="shared" si="75"/>
        <v>450.86937197420866</v>
      </c>
      <c r="K316">
        <f t="shared" si="71"/>
        <v>480000</v>
      </c>
      <c r="L316" s="12">
        <v>1192.6890675960929</v>
      </c>
      <c r="M316" s="12">
        <f t="shared" si="70"/>
        <v>1193.5211036001333</v>
      </c>
      <c r="N316" s="12">
        <f t="shared" si="72"/>
        <v>0.69228391201959416</v>
      </c>
      <c r="R316" s="2">
        <f t="shared" si="73"/>
        <v>0.79802510084238221</v>
      </c>
      <c r="V316">
        <v>314</v>
      </c>
      <c r="W316">
        <f t="shared" si="67"/>
        <v>0.41731017059930886</v>
      </c>
      <c r="X316">
        <f>SUM($W$3:W316)</f>
        <v>154.06506759808588</v>
      </c>
      <c r="Y316" s="4">
        <f t="shared" si="76"/>
        <v>0.49065308152256648</v>
      </c>
      <c r="AA316">
        <v>314</v>
      </c>
      <c r="AB316">
        <f t="shared" si="68"/>
        <v>0.41731017059930886</v>
      </c>
      <c r="AC316">
        <f>SUM($AB$3:AB316)</f>
        <v>150.86881816958893</v>
      </c>
      <c r="AD316" s="4">
        <f t="shared" si="69"/>
        <v>0.48047394321525139</v>
      </c>
    </row>
    <row r="317" spans="6:30" x14ac:dyDescent="0.25">
      <c r="F317">
        <v>482000</v>
      </c>
      <c r="G317" s="12">
        <v>2143.8574698035886</v>
      </c>
      <c r="H317" s="12">
        <f t="shared" si="74"/>
        <v>2121.8043696584205</v>
      </c>
      <c r="I317" s="12">
        <f t="shared" si="75"/>
        <v>486.33922601281648</v>
      </c>
      <c r="K317">
        <f t="shared" si="71"/>
        <v>482000</v>
      </c>
      <c r="L317" s="12">
        <v>1191.2416710302402</v>
      </c>
      <c r="M317" s="12">
        <f t="shared" si="70"/>
        <v>1192.0742778101842</v>
      </c>
      <c r="N317" s="12">
        <f t="shared" si="72"/>
        <v>0.69323405000862359</v>
      </c>
      <c r="R317" s="2">
        <f t="shared" si="73"/>
        <v>0.79968307182327059</v>
      </c>
      <c r="V317">
        <v>315</v>
      </c>
      <c r="W317">
        <f t="shared" si="67"/>
        <v>0.41710852619941591</v>
      </c>
      <c r="X317">
        <f>SUM($W$3:W317)</f>
        <v>154.4821761242853</v>
      </c>
      <c r="Y317" s="4">
        <f t="shared" si="76"/>
        <v>0.49041960674376289</v>
      </c>
      <c r="AA317">
        <v>315</v>
      </c>
      <c r="AB317">
        <f t="shared" si="68"/>
        <v>0.41710852619941591</v>
      </c>
      <c r="AC317">
        <f>SUM($AB$3:AB317)</f>
        <v>151.28592669578836</v>
      </c>
      <c r="AD317" s="4">
        <f t="shared" si="69"/>
        <v>0.4802727831612329</v>
      </c>
    </row>
    <row r="318" spans="6:30" x14ac:dyDescent="0.25">
      <c r="F318">
        <v>484000</v>
      </c>
      <c r="G318" s="12">
        <v>2143.2337735227366</v>
      </c>
      <c r="H318" s="12">
        <f t="shared" si="74"/>
        <v>2120.3645139209884</v>
      </c>
      <c r="I318" s="12">
        <f t="shared" si="75"/>
        <v>523.00303473214888</v>
      </c>
      <c r="K318">
        <f t="shared" si="71"/>
        <v>484000</v>
      </c>
      <c r="L318" s="12">
        <v>1189.8020896535836</v>
      </c>
      <c r="M318" s="12">
        <f t="shared" si="70"/>
        <v>1190.6351860487614</v>
      </c>
      <c r="N318" s="12">
        <f t="shared" si="72"/>
        <v>0.69404960365822899</v>
      </c>
      <c r="R318" s="2">
        <f t="shared" si="73"/>
        <v>0.80133636691355026</v>
      </c>
      <c r="V318">
        <v>316</v>
      </c>
      <c r="W318">
        <f t="shared" si="67"/>
        <v>0.41690761789899405</v>
      </c>
      <c r="X318">
        <f>SUM($W$3:W318)</f>
        <v>154.8990837421843</v>
      </c>
      <c r="Y318" s="4">
        <f t="shared" si="76"/>
        <v>0.49018697386767185</v>
      </c>
      <c r="AA318">
        <v>316</v>
      </c>
      <c r="AB318">
        <f t="shared" si="68"/>
        <v>0.41690761789899405</v>
      </c>
      <c r="AC318">
        <f>SUM($AB$3:AB318)</f>
        <v>151.70283431368736</v>
      </c>
      <c r="AD318" s="4">
        <f t="shared" si="69"/>
        <v>0.48007226048635243</v>
      </c>
    </row>
    <row r="319" spans="6:30" x14ac:dyDescent="0.25">
      <c r="F319">
        <v>486000</v>
      </c>
      <c r="G319" s="12">
        <v>2142.6137549164796</v>
      </c>
      <c r="H319" s="12">
        <f t="shared" si="74"/>
        <v>2118.931566800843</v>
      </c>
      <c r="I319" s="12">
        <f t="shared" si="75"/>
        <v>560.84603394439773</v>
      </c>
      <c r="K319">
        <f t="shared" si="71"/>
        <v>486000</v>
      </c>
      <c r="L319" s="12">
        <v>1188.3702491193771</v>
      </c>
      <c r="M319" s="12">
        <f t="shared" si="70"/>
        <v>1189.2037552700074</v>
      </c>
      <c r="N319" s="12">
        <f t="shared" si="72"/>
        <v>0.69473250313842061</v>
      </c>
      <c r="R319" s="2">
        <f t="shared" si="73"/>
        <v>0.80298501793042143</v>
      </c>
      <c r="V319">
        <v>317</v>
      </c>
      <c r="W319">
        <f t="shared" si="67"/>
        <v>0.41670744069421528</v>
      </c>
      <c r="X319">
        <f>SUM($W$3:W319)</f>
        <v>155.31579118287851</v>
      </c>
      <c r="Y319" s="4">
        <f t="shared" si="76"/>
        <v>0.48995517723305526</v>
      </c>
      <c r="AA319">
        <v>317</v>
      </c>
      <c r="AB319">
        <f t="shared" si="68"/>
        <v>0.41670744069421528</v>
      </c>
      <c r="AC319">
        <f>SUM($AB$3:AB319)</f>
        <v>152.11954175438157</v>
      </c>
      <c r="AD319" s="4">
        <f t="shared" si="69"/>
        <v>0.47987237146492612</v>
      </c>
    </row>
    <row r="320" spans="6:30" x14ac:dyDescent="0.25">
      <c r="F320">
        <v>488000</v>
      </c>
      <c r="G320" s="12">
        <v>2141.9973772317098</v>
      </c>
      <c r="H320" s="12">
        <f t="shared" si="74"/>
        <v>2117.5054669228748</v>
      </c>
      <c r="I320" s="12">
        <f t="shared" si="75"/>
        <v>599.85367057601968</v>
      </c>
      <c r="K320">
        <f t="shared" si="71"/>
        <v>488000</v>
      </c>
      <c r="L320" s="12">
        <v>1186.9460760910424</v>
      </c>
      <c r="M320" s="12">
        <f t="shared" si="70"/>
        <v>1187.7799134149368</v>
      </c>
      <c r="N320" s="12">
        <f t="shared" si="72"/>
        <v>0.69528468271935107</v>
      </c>
      <c r="R320" s="2">
        <f t="shared" si="73"/>
        <v>0.80462905634763815</v>
      </c>
      <c r="V320">
        <v>318</v>
      </c>
      <c r="W320">
        <f t="shared" si="67"/>
        <v>0.41650798963091556</v>
      </c>
      <c r="X320">
        <f>SUM($W$3:W320)</f>
        <v>155.73229917250944</v>
      </c>
      <c r="Y320" s="4">
        <f t="shared" si="76"/>
        <v>0.48972421123430643</v>
      </c>
      <c r="AA320">
        <v>318</v>
      </c>
      <c r="AB320">
        <f t="shared" si="68"/>
        <v>0.41650798963091556</v>
      </c>
      <c r="AC320">
        <f>SUM($AB$3:AB320)</f>
        <v>152.5360497440125</v>
      </c>
      <c r="AD320" s="4">
        <f t="shared" si="69"/>
        <v>0.47967311240255506</v>
      </c>
    </row>
    <row r="321" spans="6:30" x14ac:dyDescent="0.25">
      <c r="F321">
        <v>490000</v>
      </c>
      <c r="G321" s="12">
        <v>2141.3846042317068</v>
      </c>
      <c r="H321" s="12">
        <f t="shared" si="74"/>
        <v>2116.0861537059341</v>
      </c>
      <c r="I321" s="12">
        <f t="shared" si="75"/>
        <v>640.01159900497157</v>
      </c>
      <c r="K321">
        <f t="shared" si="71"/>
        <v>490000</v>
      </c>
      <c r="L321" s="12">
        <v>1185.5294982243622</v>
      </c>
      <c r="M321" s="12">
        <f t="shared" si="70"/>
        <v>1186.3635893941241</v>
      </c>
      <c r="N321" s="12">
        <f t="shared" si="72"/>
        <v>0.69570807947478286</v>
      </c>
      <c r="R321" s="2">
        <f t="shared" si="73"/>
        <v>0.80626851330058469</v>
      </c>
      <c r="V321">
        <v>319</v>
      </c>
      <c r="W321">
        <f t="shared" si="67"/>
        <v>0.41630925980394801</v>
      </c>
      <c r="X321">
        <f>SUM($W$3:W321)</f>
        <v>156.14860843231338</v>
      </c>
      <c r="Y321" s="4">
        <f t="shared" si="76"/>
        <v>0.48949407032073161</v>
      </c>
      <c r="AA321">
        <v>319</v>
      </c>
      <c r="AB321">
        <f t="shared" si="68"/>
        <v>0.41630925980394801</v>
      </c>
      <c r="AC321">
        <f>SUM($AB$3:AB321)</f>
        <v>152.95235900381644</v>
      </c>
      <c r="AD321" s="4">
        <f t="shared" si="69"/>
        <v>0.47947447963578821</v>
      </c>
    </row>
    <row r="322" spans="6:30" x14ac:dyDescent="0.25">
      <c r="F322">
        <v>492000</v>
      </c>
      <c r="G322" s="12">
        <v>2140.7754001868047</v>
      </c>
      <c r="H322" s="12">
        <f t="shared" si="74"/>
        <v>2114.6735673493672</v>
      </c>
      <c r="I322" s="12">
        <f t="shared" si="75"/>
        <v>681.30567747353268</v>
      </c>
      <c r="K322">
        <f t="shared" si="71"/>
        <v>492000</v>
      </c>
      <c r="L322" s="12">
        <v>1184.1204441500613</v>
      </c>
      <c r="M322" s="12">
        <f t="shared" si="70"/>
        <v>1184.954713070766</v>
      </c>
      <c r="N322" s="12">
        <f t="shared" si="72"/>
        <v>0.69600463205385887</v>
      </c>
      <c r="R322" s="2">
        <f t="shared" si="73"/>
        <v>0.80790341959124934</v>
      </c>
      <c r="V322">
        <v>320</v>
      </c>
      <c r="W322">
        <f t="shared" si="67"/>
        <v>0.41611124635654512</v>
      </c>
      <c r="X322">
        <f>SUM($W$3:W322)</f>
        <v>156.56471967866992</v>
      </c>
      <c r="Y322" s="4">
        <f t="shared" si="76"/>
        <v>0.48926474899584349</v>
      </c>
      <c r="AA322">
        <v>320</v>
      </c>
      <c r="AB322">
        <f t="shared" si="68"/>
        <v>0.41611124635654512</v>
      </c>
      <c r="AC322">
        <f>SUM($AB$3:AB322)</f>
        <v>153.36847025017298</v>
      </c>
      <c r="AD322" s="4">
        <f t="shared" si="69"/>
        <v>0.47927646953179054</v>
      </c>
    </row>
    <row r="323" spans="6:30" x14ac:dyDescent="0.25">
      <c r="F323">
        <v>494000</v>
      </c>
      <c r="G323" s="12">
        <v>2140.169729865268</v>
      </c>
      <c r="H323" s="12">
        <f t="shared" si="74"/>
        <v>2113.2676488198363</v>
      </c>
      <c r="I323" s="12">
        <f t="shared" si="75"/>
        <v>723.72196457497637</v>
      </c>
      <c r="K323">
        <f t="shared" si="71"/>
        <v>494000</v>
      </c>
      <c r="L323" s="12">
        <v>1182.718843456762</v>
      </c>
      <c r="M323" s="12">
        <f t="shared" si="70"/>
        <v>1183.5532152441024</v>
      </c>
      <c r="N323" s="12">
        <f t="shared" si="72"/>
        <v>0.69617627950959282</v>
      </c>
      <c r="R323" s="2">
        <f t="shared" si="73"/>
        <v>0.80953380569310984</v>
      </c>
      <c r="V323">
        <v>321</v>
      </c>
      <c r="W323">
        <f t="shared" si="67"/>
        <v>0.41591394447969354</v>
      </c>
      <c r="X323">
        <f>SUM($W$3:W323)</f>
        <v>156.9806336231496</v>
      </c>
      <c r="Y323" s="4">
        <f t="shared" si="76"/>
        <v>0.48903624181666544</v>
      </c>
      <c r="AA323">
        <v>321</v>
      </c>
      <c r="AB323">
        <f t="shared" si="68"/>
        <v>0.41591394447969354</v>
      </c>
      <c r="AC323">
        <f>SUM($AB$3:AB323)</f>
        <v>153.78438419465266</v>
      </c>
      <c r="AD323" s="4">
        <f t="shared" si="69"/>
        <v>0.47907907848801451</v>
      </c>
    </row>
    <row r="324" spans="6:30" x14ac:dyDescent="0.25">
      <c r="F324">
        <v>496000</v>
      </c>
      <c r="G324" s="12">
        <v>2139.5675585243657</v>
      </c>
      <c r="H324" s="12">
        <f t="shared" si="74"/>
        <v>2111.8683398384155</v>
      </c>
      <c r="I324" s="12">
        <f t="shared" si="75"/>
        <v>767.2467158120927</v>
      </c>
      <c r="K324">
        <f t="shared" si="71"/>
        <v>496000</v>
      </c>
      <c r="L324" s="12">
        <v>1181.324626674306</v>
      </c>
      <c r="M324" s="12">
        <f t="shared" si="70"/>
        <v>1182.1590276331976</v>
      </c>
      <c r="N324" s="12">
        <f t="shared" si="72"/>
        <v>0.69622496019920888</v>
      </c>
      <c r="R324" s="2">
        <f t="shared" si="73"/>
        <v>0.81115970175592511</v>
      </c>
      <c r="V324">
        <v>322</v>
      </c>
      <c r="W324">
        <f t="shared" ref="W324:W387" si="77">V324^(-$D$5)</f>
        <v>0.41571734941151617</v>
      </c>
      <c r="X324">
        <f>SUM($W$3:W324)</f>
        <v>157.39635097256112</v>
      </c>
      <c r="Y324" s="4">
        <f t="shared" si="76"/>
        <v>0.48880854339304697</v>
      </c>
      <c r="AA324">
        <v>322</v>
      </c>
      <c r="AB324">
        <f t="shared" ref="AB324:AB387" si="78">AA324^(-$D$5)</f>
        <v>0.41571734941151617</v>
      </c>
      <c r="AC324">
        <f>SUM($AB$3:AB324)</f>
        <v>154.20010154406418</v>
      </c>
      <c r="AD324" s="4">
        <f t="shared" si="69"/>
        <v>0.47888230293187634</v>
      </c>
    </row>
    <row r="325" spans="6:30" x14ac:dyDescent="0.25">
      <c r="F325">
        <v>498000</v>
      </c>
      <c r="G325" s="12">
        <v>2138.9688519016413</v>
      </c>
      <c r="H325" s="12">
        <f t="shared" si="74"/>
        <v>2110.4755828679549</v>
      </c>
      <c r="I325" s="12">
        <f t="shared" si="75"/>
        <v>811.86638022603086</v>
      </c>
      <c r="K325">
        <f t="shared" si="71"/>
        <v>498000</v>
      </c>
      <c r="L325" s="12">
        <v>1179.9377252574313</v>
      </c>
      <c r="M325" s="12">
        <f t="shared" si="70"/>
        <v>1180.7720828610613</v>
      </c>
      <c r="N325" s="12">
        <f t="shared" si="72"/>
        <v>0.6961526107351903</v>
      </c>
      <c r="R325" s="2">
        <f t="shared" si="73"/>
        <v>0.81278113761044013</v>
      </c>
      <c r="V325">
        <v>323</v>
      </c>
      <c r="W325">
        <f t="shared" si="77"/>
        <v>0.41552145643666638</v>
      </c>
      <c r="X325">
        <f>SUM($W$3:W325)</f>
        <v>157.81187242899779</v>
      </c>
      <c r="Y325" s="4">
        <f t="shared" si="76"/>
        <v>0.48858164838699003</v>
      </c>
      <c r="AA325">
        <v>323</v>
      </c>
      <c r="AB325">
        <f t="shared" si="78"/>
        <v>0.41552145643666638</v>
      </c>
      <c r="AC325">
        <f>SUM($AB$3:AB325)</f>
        <v>154.61562300050085</v>
      </c>
      <c r="AD325" s="4">
        <f t="shared" si="69"/>
        <v>0.47868613932043608</v>
      </c>
    </row>
    <row r="326" spans="6:30" x14ac:dyDescent="0.25">
      <c r="F326">
        <v>500000</v>
      </c>
      <c r="G326" s="12">
        <v>2138.3735762063716</v>
      </c>
      <c r="H326" s="12">
        <f t="shared" si="74"/>
        <v>2109.0893211007001</v>
      </c>
      <c r="I326" s="12">
        <f t="shared" si="75"/>
        <v>857.56759709404685</v>
      </c>
      <c r="K326">
        <f t="shared" si="71"/>
        <v>500000</v>
      </c>
      <c r="L326" s="12">
        <v>1178.5580715697974</v>
      </c>
      <c r="M326" s="12">
        <f t="shared" si="70"/>
        <v>1179.3923144391104</v>
      </c>
      <c r="N326" s="12">
        <f t="shared" si="72"/>
        <v>0.69596116499942406</v>
      </c>
      <c r="R326" s="2">
        <f t="shared" si="73"/>
        <v>0.81439814277300226</v>
      </c>
      <c r="V326">
        <v>324</v>
      </c>
      <c r="W326">
        <f t="shared" si="77"/>
        <v>0.41532626088573021</v>
      </c>
      <c r="X326">
        <f>SUM($W$3:W326)</f>
        <v>158.22719868988352</v>
      </c>
      <c r="Y326" s="4">
        <f t="shared" si="76"/>
        <v>0.48835555151198617</v>
      </c>
      <c r="AA326">
        <v>324</v>
      </c>
      <c r="AB326">
        <f t="shared" si="78"/>
        <v>0.41532626088573021</v>
      </c>
      <c r="AC326">
        <f>SUM($AB$3:AB326)</f>
        <v>155.03094926138658</v>
      </c>
      <c r="AD326" s="4">
        <f t="shared" ref="AD326:AD389" si="79">AC326/AA326</f>
        <v>0.47849058414008205</v>
      </c>
    </row>
    <row r="327" spans="6:30" x14ac:dyDescent="0.25">
      <c r="F327">
        <v>502000</v>
      </c>
      <c r="G327" s="12">
        <v>2137.7816981112187</v>
      </c>
      <c r="H327" s="12">
        <f t="shared" si="74"/>
        <v>2107.7094984461773</v>
      </c>
      <c r="I327" s="12">
        <f t="shared" si="75"/>
        <v>904.33719269411324</v>
      </c>
      <c r="K327">
        <f t="shared" si="71"/>
        <v>502000</v>
      </c>
      <c r="L327" s="12">
        <v>1177.1855988683492</v>
      </c>
      <c r="M327" s="12">
        <f t="shared" si="70"/>
        <v>1178.0196567519558</v>
      </c>
      <c r="N327" s="12">
        <f t="shared" si="72"/>
        <v>0.69565255320639918</v>
      </c>
      <c r="R327" s="2">
        <f t="shared" si="73"/>
        <v>0.81601074645009986</v>
      </c>
      <c r="V327">
        <v>325</v>
      </c>
      <c r="W327">
        <f t="shared" si="77"/>
        <v>0.41513175813463937</v>
      </c>
      <c r="X327">
        <f>SUM($W$3:W327)</f>
        <v>158.64233044801816</v>
      </c>
      <c r="Y327" s="4">
        <f t="shared" si="76"/>
        <v>0.48813024753236356</v>
      </c>
      <c r="AA327">
        <v>325</v>
      </c>
      <c r="AB327">
        <f t="shared" si="78"/>
        <v>0.41513175813463937</v>
      </c>
      <c r="AC327">
        <f>SUM($AB$3:AB327)</f>
        <v>155.44608101952122</v>
      </c>
      <c r="AD327" s="4">
        <f t="shared" si="79"/>
        <v>0.47829563390621915</v>
      </c>
    </row>
    <row r="328" spans="6:30" x14ac:dyDescent="0.25">
      <c r="F328">
        <v>504000</v>
      </c>
      <c r="G328" s="12">
        <v>2137.1931847440455</v>
      </c>
      <c r="H328" s="12">
        <f t="shared" si="74"/>
        <v>2106.336059519318</v>
      </c>
      <c r="I328" s="12">
        <f t="shared" si="75"/>
        <v>952.16217713451397</v>
      </c>
      <c r="K328">
        <f t="shared" si="71"/>
        <v>504000</v>
      </c>
      <c r="L328" s="12">
        <v>1175.8202412880098</v>
      </c>
      <c r="M328" s="12">
        <f t="shared" si="70"/>
        <v>1176.6540450425116</v>
      </c>
      <c r="N328" s="12">
        <f t="shared" si="72"/>
        <v>0.6952287010212761</v>
      </c>
      <c r="R328" s="2">
        <f t="shared" si="73"/>
        <v>0.81761897754280399</v>
      </c>
      <c r="V328">
        <v>326</v>
      </c>
      <c r="W328">
        <f t="shared" si="77"/>
        <v>0.41493794360409275</v>
      </c>
      <c r="X328">
        <f>SUM($W$3:W328)</f>
        <v>159.05726839162224</v>
      </c>
      <c r="Y328" s="4">
        <f t="shared" si="76"/>
        <v>0.48790573126264491</v>
      </c>
      <c r="AA328">
        <v>326</v>
      </c>
      <c r="AB328">
        <f t="shared" si="78"/>
        <v>0.41493794360409275</v>
      </c>
      <c r="AC328">
        <f>SUM($AB$3:AB328)</f>
        <v>155.8610189631253</v>
      </c>
      <c r="AD328" s="4">
        <f t="shared" si="79"/>
        <v>0.47810128516296108</v>
      </c>
    </row>
    <row r="329" spans="6:30" x14ac:dyDescent="0.25">
      <c r="F329">
        <v>506000</v>
      </c>
      <c r="G329" s="12">
        <v>2136.608003679929</v>
      </c>
      <c r="H329" s="12">
        <f t="shared" si="74"/>
        <v>2104.9689496288329</v>
      </c>
      <c r="I329" s="12">
        <f t="shared" si="75"/>
        <v>1001.0297412481793</v>
      </c>
      <c r="K329">
        <f t="shared" si="71"/>
        <v>506000</v>
      </c>
      <c r="L329" s="12">
        <v>1174.461933826698</v>
      </c>
      <c r="M329" s="12">
        <f t="shared" si="70"/>
        <v>1175.2954153974131</v>
      </c>
      <c r="N329" s="12">
        <f t="shared" si="72"/>
        <v>0.69469152872169981</v>
      </c>
      <c r="R329" s="2">
        <f t="shared" si="73"/>
        <v>0.81922286465114502</v>
      </c>
      <c r="V329">
        <v>327</v>
      </c>
      <c r="W329">
        <f t="shared" si="77"/>
        <v>0.41474481275898728</v>
      </c>
      <c r="X329">
        <f>SUM($W$3:W329)</f>
        <v>159.47201320438123</v>
      </c>
      <c r="Y329" s="4">
        <f t="shared" si="76"/>
        <v>0.48768199756691505</v>
      </c>
      <c r="AA329">
        <v>327</v>
      </c>
      <c r="AB329">
        <f t="shared" si="78"/>
        <v>0.41474481275898728</v>
      </c>
      <c r="AC329">
        <f>SUM($AB$3:AB329)</f>
        <v>156.27576377588429</v>
      </c>
      <c r="AD329" s="4">
        <f t="shared" si="79"/>
        <v>0.47790753448282658</v>
      </c>
    </row>
    <row r="330" spans="6:30" x14ac:dyDescent="0.25">
      <c r="F330">
        <v>508000</v>
      </c>
      <c r="G330" s="12">
        <v>2136.0261229333282</v>
      </c>
      <c r="H330" s="12">
        <f t="shared" si="74"/>
        <v>2103.608114765816</v>
      </c>
      <c r="I330" s="12">
        <f t="shared" si="75"/>
        <v>1050.9272535488876</v>
      </c>
      <c r="K330">
        <f t="shared" si="71"/>
        <v>508000</v>
      </c>
      <c r="L330" s="12">
        <v>1173.1106123306554</v>
      </c>
      <c r="M330" s="12">
        <f t="shared" si="70"/>
        <v>1173.9437047327428</v>
      </c>
      <c r="N330" s="12">
        <f t="shared" si="72"/>
        <v>0.69404295041585251</v>
      </c>
      <c r="R330" s="2">
        <f t="shared" si="73"/>
        <v>0.82082243607840066</v>
      </c>
      <c r="V330">
        <v>328</v>
      </c>
      <c r="W330">
        <f t="shared" si="77"/>
        <v>0.41455236110785765</v>
      </c>
      <c r="X330">
        <f>SUM($W$3:W330)</f>
        <v>159.88656556548909</v>
      </c>
      <c r="Y330" s="4">
        <f t="shared" si="76"/>
        <v>0.48745904135819845</v>
      </c>
      <c r="AA330">
        <v>328</v>
      </c>
      <c r="AB330">
        <f t="shared" si="78"/>
        <v>0.41455236110785765</v>
      </c>
      <c r="AC330">
        <f>SUM($AB$3:AB330)</f>
        <v>156.69031613699215</v>
      </c>
      <c r="AD330" s="4">
        <f t="shared" si="79"/>
        <v>0.47771437846643949</v>
      </c>
    </row>
    <row r="331" spans="6:30" x14ac:dyDescent="0.25">
      <c r="F331">
        <v>510000</v>
      </c>
      <c r="G331" s="12">
        <v>2135.4475109504237</v>
      </c>
      <c r="H331" s="12">
        <f t="shared" si="74"/>
        <v>2102.2535015925864</v>
      </c>
      <c r="I331" s="12">
        <f t="shared" si="75"/>
        <v>1101.8422572481923</v>
      </c>
      <c r="K331">
        <f t="shared" si="71"/>
        <v>510000</v>
      </c>
      <c r="L331" s="12">
        <v>1171.7662134800853</v>
      </c>
      <c r="M331" s="12">
        <f t="shared" si="70"/>
        <v>1172.5988507800503</v>
      </c>
      <c r="N331" s="12">
        <f t="shared" si="72"/>
        <v>0.69328487329295885</v>
      </c>
      <c r="R331" s="2">
        <f t="shared" si="73"/>
        <v>0.82241771983530287</v>
      </c>
      <c r="V331">
        <v>329</v>
      </c>
      <c r="W331">
        <f t="shared" si="77"/>
        <v>0.4143605842023248</v>
      </c>
      <c r="X331">
        <f>SUM($W$3:W331)</f>
        <v>160.30092614969141</v>
      </c>
      <c r="Y331" s="4">
        <f t="shared" si="76"/>
        <v>0.48723685759784624</v>
      </c>
      <c r="AA331">
        <v>329</v>
      </c>
      <c r="AB331">
        <f t="shared" si="78"/>
        <v>0.4143605842023248</v>
      </c>
      <c r="AC331">
        <f>SUM($AB$3:AB331)</f>
        <v>157.10467672119447</v>
      </c>
      <c r="AD331" s="4">
        <f t="shared" si="79"/>
        <v>0.4775218137422324</v>
      </c>
    </row>
    <row r="332" spans="6:30" x14ac:dyDescent="0.25">
      <c r="F332">
        <v>512000</v>
      </c>
      <c r="G332" s="12">
        <v>2134.8721366016284</v>
      </c>
      <c r="H332" s="12">
        <f t="shared" si="74"/>
        <v>2100.9050574317521</v>
      </c>
      <c r="I332" s="12">
        <f t="shared" si="75"/>
        <v>1153.7624673326472</v>
      </c>
      <c r="K332">
        <f t="shared" si="71"/>
        <v>512000</v>
      </c>
      <c r="L332" s="12">
        <v>1170.4286747750839</v>
      </c>
      <c r="M332" s="12">
        <f t="shared" si="70"/>
        <v>1171.2607920726616</v>
      </c>
      <c r="N332" s="12">
        <f t="shared" si="72"/>
        <v>0.6924191969280552</v>
      </c>
      <c r="R332" s="2">
        <f t="shared" si="73"/>
        <v>0.8240087436441843</v>
      </c>
      <c r="V332">
        <v>330</v>
      </c>
      <c r="W332">
        <f t="shared" si="77"/>
        <v>0.4141694776365536</v>
      </c>
      <c r="X332">
        <f>SUM($W$3:W332)</f>
        <v>160.71509562732797</v>
      </c>
      <c r="Y332" s="4">
        <f t="shared" si="76"/>
        <v>0.48701544129493324</v>
      </c>
      <c r="AA332">
        <v>330</v>
      </c>
      <c r="AB332">
        <f t="shared" si="78"/>
        <v>0.4141694776365536</v>
      </c>
      <c r="AC332">
        <f>SUM($AB$3:AB332)</f>
        <v>157.51884619883103</v>
      </c>
      <c r="AD332" s="4">
        <f t="shared" si="79"/>
        <v>0.47732983696615461</v>
      </c>
    </row>
    <row r="333" spans="6:30" x14ac:dyDescent="0.25">
      <c r="F333">
        <v>514000</v>
      </c>
      <c r="G333" s="12">
        <v>2134.2999691742425</v>
      </c>
      <c r="H333" s="12">
        <f t="shared" si="74"/>
        <v>2099.5627302554922</v>
      </c>
      <c r="I333" s="12">
        <f t="shared" si="75"/>
        <v>1206.675767698343</v>
      </c>
      <c r="K333">
        <f t="shared" si="71"/>
        <v>514000</v>
      </c>
      <c r="L333" s="12">
        <v>1169.0979345218661</v>
      </c>
      <c r="M333" s="12">
        <f t="shared" ref="M333:M396" si="80">IF(F333&lt;$L$72,$D$28*(F333/$D$6)^-(1-$L$71), $D$28*($L$72/$D$6)^-(1-$L$71))</f>
        <v>1169.9294679322734</v>
      </c>
      <c r="N333" s="12">
        <f t="shared" si="72"/>
        <v>0.69144781262350585</v>
      </c>
      <c r="R333" s="2">
        <f t="shared" si="73"/>
        <v>0.82559553494303417</v>
      </c>
      <c r="V333">
        <v>331</v>
      </c>
      <c r="W333">
        <f t="shared" si="77"/>
        <v>0.41397903704671762</v>
      </c>
      <c r="X333">
        <f>SUM($W$3:W333)</f>
        <v>161.12907466437468</v>
      </c>
      <c r="Y333" s="4">
        <f t="shared" si="76"/>
        <v>0.48679478750566368</v>
      </c>
      <c r="AA333">
        <v>331</v>
      </c>
      <c r="AB333">
        <f t="shared" si="78"/>
        <v>0.41397903704671762</v>
      </c>
      <c r="AC333">
        <f>SUM($AB$3:AB333)</f>
        <v>157.93282523587774</v>
      </c>
      <c r="AD333" s="4">
        <f t="shared" si="79"/>
        <v>0.4771384448213829</v>
      </c>
    </row>
    <row r="334" spans="6:30" x14ac:dyDescent="0.25">
      <c r="F334">
        <v>516000</v>
      </c>
      <c r="G334" s="12">
        <v>2133.7309783652768</v>
      </c>
      <c r="H334" s="12">
        <f t="shared" si="74"/>
        <v>2098.2264686750605</v>
      </c>
      <c r="I334" s="12">
        <f t="shared" si="75"/>
        <v>1260.5702083426638</v>
      </c>
      <c r="K334">
        <f t="shared" ref="K334:K397" si="81">F334</f>
        <v>516000</v>
      </c>
      <c r="L334" s="12">
        <v>1167.7739318192773</v>
      </c>
      <c r="M334" s="12">
        <f t="shared" si="80"/>
        <v>1168.6048184558181</v>
      </c>
      <c r="N334" s="12">
        <f t="shared" ref="N334:N397" si="82">(M334-L334)^2</f>
        <v>0.69037260278200685</v>
      </c>
      <c r="R334" s="2">
        <f t="shared" ref="R334:R397" si="83">G334/L334-1</f>
        <v>0.82717812088948839</v>
      </c>
      <c r="V334">
        <v>332</v>
      </c>
      <c r="W334">
        <f t="shared" si="77"/>
        <v>0.41378925811047423</v>
      </c>
      <c r="X334">
        <f>SUM($W$3:W334)</f>
        <v>161.54286392248517</v>
      </c>
      <c r="Y334" s="4">
        <f t="shared" si="76"/>
        <v>0.48657489133278664</v>
      </c>
      <c r="AA334">
        <v>332</v>
      </c>
      <c r="AB334">
        <f t="shared" si="78"/>
        <v>0.41378925811047423</v>
      </c>
      <c r="AC334">
        <f>SUM($AB$3:AB334)</f>
        <v>158.34661449398823</v>
      </c>
      <c r="AD334" s="4">
        <f t="shared" si="79"/>
        <v>0.4769476340180368</v>
      </c>
    </row>
    <row r="335" spans="6:30" x14ac:dyDescent="0.25">
      <c r="F335">
        <v>518000</v>
      </c>
      <c r="G335" s="12">
        <v>2133.1651342744199</v>
      </c>
      <c r="H335" s="12">
        <f t="shared" si="74"/>
        <v>2096.8962219304894</v>
      </c>
      <c r="I335" s="12">
        <f t="shared" si="75"/>
        <v>1315.4340026117086</v>
      </c>
      <c r="K335">
        <f t="shared" si="81"/>
        <v>518000</v>
      </c>
      <c r="L335" s="12">
        <v>1166.4566065455772</v>
      </c>
      <c r="M335" s="12">
        <f t="shared" si="80"/>
        <v>1167.2867845026033</v>
      </c>
      <c r="N335" s="12">
        <f t="shared" si="82"/>
        <v>0.68919544033199687</v>
      </c>
      <c r="R335" s="2">
        <f t="shared" si="83"/>
        <v>0.82875652836475266</v>
      </c>
      <c r="V335">
        <v>333</v>
      </c>
      <c r="W335">
        <f t="shared" si="77"/>
        <v>0.41360013654644562</v>
      </c>
      <c r="X335">
        <f>SUM($W$3:W335)</f>
        <v>161.95646405903162</v>
      </c>
      <c r="Y335" s="4">
        <f t="shared" si="76"/>
        <v>0.4863557479250199</v>
      </c>
      <c r="AA335">
        <v>333</v>
      </c>
      <c r="AB335">
        <f t="shared" si="78"/>
        <v>0.41360013654644562</v>
      </c>
      <c r="AC335">
        <f>SUM($AB$3:AB335)</f>
        <v>158.76021463053468</v>
      </c>
      <c r="AD335" s="4">
        <f t="shared" si="79"/>
        <v>0.4767574012928969</v>
      </c>
    </row>
    <row r="336" spans="6:30" x14ac:dyDescent="0.25">
      <c r="F336">
        <v>520000</v>
      </c>
      <c r="G336" s="12">
        <v>2132.6024073971539</v>
      </c>
      <c r="H336" s="12">
        <f t="shared" si="74"/>
        <v>2095.5719398805086</v>
      </c>
      <c r="I336" s="12">
        <f t="shared" si="75"/>
        <v>1371.255524501325</v>
      </c>
      <c r="K336">
        <f t="shared" si="81"/>
        <v>520000</v>
      </c>
      <c r="L336" s="12">
        <v>1165.1458993454976</v>
      </c>
      <c r="M336" s="12">
        <f t="shared" si="80"/>
        <v>1165.9753076817078</v>
      </c>
      <c r="N336" s="12">
        <f t="shared" si="82"/>
        <v>0.68791818817503114</v>
      </c>
      <c r="R336" s="2">
        <f t="shared" si="83"/>
        <v>0.83033078397744853</v>
      </c>
      <c r="V336">
        <v>334</v>
      </c>
      <c r="W336">
        <f t="shared" si="77"/>
        <v>0.41341166811370955</v>
      </c>
      <c r="X336">
        <f>SUM($W$3:W336)</f>
        <v>162.36987572714531</v>
      </c>
      <c r="Y336" s="4">
        <f t="shared" si="76"/>
        <v>0.48613735247648299</v>
      </c>
      <c r="AA336">
        <v>334</v>
      </c>
      <c r="AB336">
        <f t="shared" si="78"/>
        <v>0.41341166811370955</v>
      </c>
      <c r="AC336">
        <f>SUM($AB$3:AB336)</f>
        <v>159.17362629864837</v>
      </c>
      <c r="AD336" s="4">
        <f t="shared" si="79"/>
        <v>0.47656774340912689</v>
      </c>
    </row>
    <row r="337" spans="6:30" x14ac:dyDescent="0.25">
      <c r="F337">
        <v>522000</v>
      </c>
      <c r="G337" s="12">
        <v>2132.0427686180151</v>
      </c>
      <c r="H337" s="12">
        <f t="shared" si="74"/>
        <v>2094.2535729926553</v>
      </c>
      <c r="I337" s="12">
        <f t="shared" si="75"/>
        <v>1428.0233060117087</v>
      </c>
      <c r="K337">
        <f t="shared" si="81"/>
        <v>522000</v>
      </c>
      <c r="L337" s="12">
        <v>1163.8417516175641</v>
      </c>
      <c r="M337" s="12">
        <f t="shared" si="80"/>
        <v>1164.6703303396373</v>
      </c>
      <c r="N337" s="12">
        <f t="shared" si="82"/>
        <v>0.68654269867243911</v>
      </c>
      <c r="R337" s="2">
        <f t="shared" si="83"/>
        <v>0.83190091406739608</v>
      </c>
      <c r="V337">
        <v>335</v>
      </c>
      <c r="W337">
        <f t="shared" si="77"/>
        <v>0.41322384861129735</v>
      </c>
      <c r="X337">
        <f>SUM($W$3:W337)</f>
        <v>162.78309957575661</v>
      </c>
      <c r="Y337" s="4">
        <f t="shared" si="76"/>
        <v>0.48591970022613912</v>
      </c>
      <c r="AA337">
        <v>335</v>
      </c>
      <c r="AB337">
        <f t="shared" si="78"/>
        <v>0.41322384861129735</v>
      </c>
      <c r="AC337">
        <f>SUM($AB$3:AB337)</f>
        <v>159.58685014725967</v>
      </c>
      <c r="AD337" s="4">
        <f t="shared" si="79"/>
        <v>0.47637865715599903</v>
      </c>
    </row>
    <row r="338" spans="6:30" x14ac:dyDescent="0.25">
      <c r="F338">
        <v>524000</v>
      </c>
      <c r="G338" s="12">
        <v>2131.4861892039921</v>
      </c>
      <c r="H338" s="12">
        <f t="shared" si="74"/>
        <v>2092.9410723335836</v>
      </c>
      <c r="I338" s="12">
        <f t="shared" si="75"/>
        <v>1485.7260345534494</v>
      </c>
      <c r="K338">
        <f t="shared" si="81"/>
        <v>524000</v>
      </c>
      <c r="L338" s="12">
        <v>1162.5441055016731</v>
      </c>
      <c r="M338" s="12">
        <f t="shared" si="80"/>
        <v>1163.3717955482282</v>
      </c>
      <c r="N338" s="12">
        <f t="shared" si="82"/>
        <v>0.68507081316632157</v>
      </c>
      <c r="R338" s="2">
        <f t="shared" si="83"/>
        <v>0.83346694470932881</v>
      </c>
      <c r="V338">
        <v>336</v>
      </c>
      <c r="W338">
        <f t="shared" si="77"/>
        <v>0.41303667387769899</v>
      </c>
      <c r="X338">
        <f>SUM($W$3:W338)</f>
        <v>163.19613624963432</v>
      </c>
      <c r="Y338" s="4">
        <f t="shared" si="76"/>
        <v>0.48570278645724502</v>
      </c>
      <c r="AA338">
        <v>336</v>
      </c>
      <c r="AB338">
        <f t="shared" si="78"/>
        <v>0.41303667387769899</v>
      </c>
      <c r="AC338">
        <f>SUM($AB$3:AB338)</f>
        <v>159.99988682113738</v>
      </c>
      <c r="AD338" s="4">
        <f t="shared" si="79"/>
        <v>0.47619013934862314</v>
      </c>
    </row>
    <row r="339" spans="6:30" x14ac:dyDescent="0.25">
      <c r="F339">
        <v>526000</v>
      </c>
      <c r="G339" s="12">
        <v>2130.932640798067</v>
      </c>
      <c r="H339" s="12">
        <f t="shared" si="74"/>
        <v>2091.6343895595642</v>
      </c>
      <c r="I339" s="12">
        <f t="shared" si="75"/>
        <v>1544.3525504044924</v>
      </c>
      <c r="K339">
        <f t="shared" si="81"/>
        <v>526000</v>
      </c>
      <c r="L339" s="12">
        <v>1161.2529038669211</v>
      </c>
      <c r="M339" s="12">
        <f t="shared" si="80"/>
        <v>1162.0796470927958</v>
      </c>
      <c r="N339" s="12">
        <f t="shared" si="82"/>
        <v>0.6835043615296712</v>
      </c>
      <c r="R339" s="2">
        <f t="shared" si="83"/>
        <v>0.83502890171654687</v>
      </c>
      <c r="V339">
        <v>337</v>
      </c>
      <c r="W339">
        <f t="shared" si="77"/>
        <v>0.41285013979037688</v>
      </c>
      <c r="X339">
        <f>SUM($W$3:W339)</f>
        <v>163.6089863894247</v>
      </c>
      <c r="Y339" s="4">
        <f t="shared" si="76"/>
        <v>0.48548660649680919</v>
      </c>
      <c r="AA339">
        <v>337</v>
      </c>
      <c r="AB339">
        <f t="shared" si="78"/>
        <v>0.41285013979037688</v>
      </c>
      <c r="AC339">
        <f>SUM($AB$3:AB339)</f>
        <v>160.41273696092776</v>
      </c>
      <c r="AD339" s="4">
        <f t="shared" si="79"/>
        <v>0.47600218682767881</v>
      </c>
    </row>
    <row r="340" spans="6:30" x14ac:dyDescent="0.25">
      <c r="F340">
        <v>528000</v>
      </c>
      <c r="G340" s="12">
        <v>2130.3820954128796</v>
      </c>
      <c r="H340" s="12">
        <f t="shared" si="74"/>
        <v>2090.3334769071707</v>
      </c>
      <c r="I340" s="12">
        <f t="shared" si="75"/>
        <v>1603.8918442158072</v>
      </c>
      <c r="K340">
        <f t="shared" si="81"/>
        <v>528000</v>
      </c>
      <c r="L340" s="12">
        <v>1159.9680902996818</v>
      </c>
      <c r="M340" s="12">
        <f t="shared" si="80"/>
        <v>1160.7938294605187</v>
      </c>
      <c r="N340" s="12">
        <f t="shared" si="82"/>
        <v>0.68184516173975074</v>
      </c>
      <c r="R340" s="2">
        <f t="shared" si="83"/>
        <v>0.83658681064449625</v>
      </c>
      <c r="V340">
        <v>338</v>
      </c>
      <c r="W340">
        <f t="shared" si="77"/>
        <v>0.41266424226528642</v>
      </c>
      <c r="X340">
        <f>SUM($W$3:W340)</f>
        <v>164.02165063168999</v>
      </c>
      <c r="Y340" s="4">
        <f t="shared" si="76"/>
        <v>0.48527115571505913</v>
      </c>
      <c r="AA340">
        <v>338</v>
      </c>
      <c r="AB340">
        <f t="shared" si="78"/>
        <v>0.41266424226528642</v>
      </c>
      <c r="AC340">
        <f>SUM($AB$3:AB340)</f>
        <v>160.82540120319305</v>
      </c>
      <c r="AD340" s="4">
        <f t="shared" si="79"/>
        <v>0.47581479645915103</v>
      </c>
    </row>
    <row r="341" spans="6:30" x14ac:dyDescent="0.25">
      <c r="F341">
        <v>530000</v>
      </c>
      <c r="G341" s="12">
        <v>2129.8345254245314</v>
      </c>
      <c r="H341" s="12">
        <f t="shared" si="74"/>
        <v>2089.0382871841452</v>
      </c>
      <c r="I341" s="12">
        <f t="shared" si="75"/>
        <v>1664.3330545663471</v>
      </c>
      <c r="K341">
        <f t="shared" si="81"/>
        <v>530000</v>
      </c>
      <c r="L341" s="12">
        <v>1158.6896090919161</v>
      </c>
      <c r="M341" s="12">
        <f t="shared" si="80"/>
        <v>1159.5142878290585</v>
      </c>
      <c r="N341" s="12">
        <f t="shared" si="82"/>
        <v>0.68009501949486428</v>
      </c>
      <c r="R341" s="2">
        <f t="shared" si="83"/>
        <v>0.83814069679430148</v>
      </c>
      <c r="V341">
        <v>339</v>
      </c>
      <c r="W341">
        <f t="shared" si="77"/>
        <v>0.4124789772564037</v>
      </c>
      <c r="X341">
        <f>SUM($W$3:W341)</f>
        <v>164.43412960894639</v>
      </c>
      <c r="Y341" s="4">
        <f t="shared" si="76"/>
        <v>0.48505642952491562</v>
      </c>
      <c r="AA341">
        <v>339</v>
      </c>
      <c r="AB341">
        <f t="shared" si="78"/>
        <v>0.4124789772564037</v>
      </c>
      <c r="AC341">
        <f>SUM($AB$3:AB341)</f>
        <v>161.23788018044945</v>
      </c>
      <c r="AD341" s="4">
        <f t="shared" si="79"/>
        <v>0.47562796513406919</v>
      </c>
    </row>
    <row r="342" spans="6:30" x14ac:dyDescent="0.25">
      <c r="F342">
        <v>532000</v>
      </c>
      <c r="G342" s="12">
        <v>2129.2899035665109</v>
      </c>
      <c r="H342" s="12">
        <f t="shared" si="74"/>
        <v>2087.7487737604451</v>
      </c>
      <c r="I342" s="12">
        <f t="shared" si="75"/>
        <v>1725.665465564407</v>
      </c>
      <c r="K342">
        <f t="shared" si="81"/>
        <v>532000</v>
      </c>
      <c r="L342" s="12">
        <v>1157.417405229724</v>
      </c>
      <c r="M342" s="12">
        <f t="shared" si="80"/>
        <v>1158.2409680554038</v>
      </c>
      <c r="N342" s="12">
        <f t="shared" si="82"/>
        <v>0.67825572784169808</v>
      </c>
      <c r="R342" s="2">
        <f t="shared" si="83"/>
        <v>0.83969058521622109</v>
      </c>
      <c r="V342">
        <v>340</v>
      </c>
      <c r="W342">
        <f t="shared" si="77"/>
        <v>0.41229434075526106</v>
      </c>
      <c r="X342">
        <f>SUM($W$3:W342)</f>
        <v>164.84642394970166</v>
      </c>
      <c r="Y342" s="4">
        <f t="shared" si="76"/>
        <v>0.48484242338147548</v>
      </c>
      <c r="AA342">
        <v>340</v>
      </c>
      <c r="AB342">
        <f t="shared" si="78"/>
        <v>0.41229434075526106</v>
      </c>
      <c r="AC342">
        <f>SUM($AB$3:AB342)</f>
        <v>161.65017452120472</v>
      </c>
      <c r="AD342" s="4">
        <f t="shared" si="79"/>
        <v>0.47544168976824919</v>
      </c>
    </row>
    <row r="343" spans="6:30" x14ac:dyDescent="0.25">
      <c r="F343">
        <v>534000</v>
      </c>
      <c r="G343" s="12">
        <v>2128.7482029237472</v>
      </c>
      <c r="H343" s="12">
        <f t="shared" si="74"/>
        <v>2086.4648905594577</v>
      </c>
      <c r="I343" s="12">
        <f t="shared" si="75"/>
        <v>1787.8785044960762</v>
      </c>
      <c r="K343">
        <f t="shared" si="81"/>
        <v>534000</v>
      </c>
      <c r="L343" s="12">
        <v>1156.1514243821182</v>
      </c>
      <c r="M343" s="12">
        <f t="shared" si="80"/>
        <v>1156.9738166649352</v>
      </c>
      <c r="N343" s="12">
        <f t="shared" si="82"/>
        <v>0.67632906683689631</v>
      </c>
      <c r="R343" s="2">
        <f t="shared" si="83"/>
        <v>0.84123650071305645</v>
      </c>
      <c r="V343">
        <v>341</v>
      </c>
      <c r="W343">
        <f t="shared" si="77"/>
        <v>0.41211032879048864</v>
      </c>
      <c r="X343">
        <f>SUM($W$3:W343)</f>
        <v>165.25853427849214</v>
      </c>
      <c r="Y343" s="4">
        <f t="shared" si="76"/>
        <v>0.48462913278150188</v>
      </c>
      <c r="AA343">
        <v>341</v>
      </c>
      <c r="AB343">
        <f t="shared" si="78"/>
        <v>0.41211032879048864</v>
      </c>
      <c r="AC343">
        <f>SUM($AB$3:AB343)</f>
        <v>162.06228484999519</v>
      </c>
      <c r="AD343" s="4">
        <f t="shared" si="79"/>
        <v>0.47525596730203867</v>
      </c>
    </row>
    <row r="344" spans="6:30" x14ac:dyDescent="0.25">
      <c r="F344">
        <v>536000</v>
      </c>
      <c r="G344" s="12">
        <v>2128.209396926778</v>
      </c>
      <c r="H344" s="12">
        <f t="shared" si="74"/>
        <v>2085.1865920493951</v>
      </c>
      <c r="I344" s="12">
        <f t="shared" si="75"/>
        <v>1850.9617395173616</v>
      </c>
      <c r="K344">
        <f t="shared" si="81"/>
        <v>536000</v>
      </c>
      <c r="L344" s="12">
        <v>1154.8916128900244</v>
      </c>
      <c r="M344" s="12">
        <f t="shared" si="80"/>
        <v>1155.7127808407083</v>
      </c>
      <c r="N344" s="12">
        <f t="shared" si="82"/>
        <v>0.67431680323049015</v>
      </c>
      <c r="R344" s="2">
        <f t="shared" si="83"/>
        <v>0.84277846784349175</v>
      </c>
      <c r="V344">
        <v>342</v>
      </c>
      <c r="W344">
        <f t="shared" si="77"/>
        <v>0.41192693742736414</v>
      </c>
      <c r="X344">
        <f>SUM($W$3:W344)</f>
        <v>165.67046121591949</v>
      </c>
      <c r="Y344" s="4">
        <f t="shared" si="76"/>
        <v>0.48441655326292249</v>
      </c>
      <c r="AA344">
        <v>342</v>
      </c>
      <c r="AB344">
        <f t="shared" si="78"/>
        <v>0.41192693742736414</v>
      </c>
      <c r="AC344">
        <f>SUM($AB$3:AB344)</f>
        <v>162.47421178742255</v>
      </c>
      <c r="AD344" s="4">
        <f t="shared" si="79"/>
        <v>0.47507079470006591</v>
      </c>
    </row>
    <row r="345" spans="6:30" x14ac:dyDescent="0.25">
      <c r="F345">
        <v>538000</v>
      </c>
      <c r="G345" s="12">
        <v>2127.6734593460433</v>
      </c>
      <c r="H345" s="12">
        <f t="shared" si="74"/>
        <v>2083.9138332348393</v>
      </c>
      <c r="I345" s="12">
        <f t="shared" si="75"/>
        <v>1914.9048773923619</v>
      </c>
      <c r="K345">
        <f t="shared" si="81"/>
        <v>538000</v>
      </c>
      <c r="L345" s="12">
        <v>1153.6379177554968</v>
      </c>
      <c r="M345" s="12">
        <f t="shared" si="80"/>
        <v>1154.4578084129491</v>
      </c>
      <c r="N345" s="12">
        <f t="shared" si="82"/>
        <v>0.67222069017761965</v>
      </c>
      <c r="R345" s="2">
        <f t="shared" si="83"/>
        <v>0.84431651092538429</v>
      </c>
      <c r="V345">
        <v>343</v>
      </c>
      <c r="W345">
        <f t="shared" si="77"/>
        <v>0.41174416276736792</v>
      </c>
      <c r="X345">
        <f>SUM($W$3:W345)</f>
        <v>166.08220537868687</v>
      </c>
      <c r="Y345" s="4">
        <f t="shared" si="76"/>
        <v>0.4842046804043349</v>
      </c>
      <c r="AA345">
        <v>343</v>
      </c>
      <c r="AB345">
        <f t="shared" si="78"/>
        <v>0.41174416276736792</v>
      </c>
      <c r="AC345">
        <f>SUM($AB$3:AB345)</f>
        <v>162.88595595018992</v>
      </c>
      <c r="AD345" s="4">
        <f t="shared" si="79"/>
        <v>0.47488616895099101</v>
      </c>
    </row>
    <row r="346" spans="6:30" x14ac:dyDescent="0.25">
      <c r="F346">
        <v>540000</v>
      </c>
      <c r="G346" s="12">
        <v>2127.1403642862883</v>
      </c>
      <c r="H346" s="12">
        <f t="shared" si="74"/>
        <v>2082.646569648462</v>
      </c>
      <c r="I346" s="12">
        <f t="shared" si="75"/>
        <v>1979.6977612730641</v>
      </c>
      <c r="K346">
        <f t="shared" si="81"/>
        <v>540000</v>
      </c>
      <c r="L346" s="12">
        <v>1152.3902866311455</v>
      </c>
      <c r="M346" s="12">
        <f t="shared" si="80"/>
        <v>1153.208847848749</v>
      </c>
      <c r="N346" s="12">
        <f t="shared" si="82"/>
        <v>0.67004246696448155</v>
      </c>
      <c r="R346" s="2">
        <f t="shared" si="83"/>
        <v>0.84585065403899806</v>
      </c>
      <c r="V346">
        <v>344</v>
      </c>
      <c r="W346">
        <f t="shared" si="77"/>
        <v>0.41156200094774614</v>
      </c>
      <c r="X346">
        <f>SUM($W$3:W346)</f>
        <v>166.49376737963462</v>
      </c>
      <c r="Y346" s="4">
        <f t="shared" si="76"/>
        <v>0.48399350982451922</v>
      </c>
      <c r="AA346">
        <v>344</v>
      </c>
      <c r="AB346">
        <f t="shared" si="78"/>
        <v>0.41156200094774614</v>
      </c>
      <c r="AC346">
        <f>SUM($AB$3:AB346)</f>
        <v>163.29751795113768</v>
      </c>
      <c r="AD346" s="4">
        <f t="shared" si="79"/>
        <v>0.47470208706726069</v>
      </c>
    </row>
    <row r="347" spans="6:30" x14ac:dyDescent="0.25">
      <c r="F347">
        <v>542000</v>
      </c>
      <c r="G347" s="12">
        <v>2126.6100861810819</v>
      </c>
      <c r="H347" s="12">
        <f t="shared" si="74"/>
        <v>2081.3847573428984</v>
      </c>
      <c r="I347" s="12">
        <f t="shared" si="75"/>
        <v>2045.3303685218309</v>
      </c>
      <c r="K347">
        <f t="shared" si="81"/>
        <v>542000</v>
      </c>
      <c r="L347" s="12">
        <v>1151.1486678097776</v>
      </c>
      <c r="M347" s="12">
        <f t="shared" si="80"/>
        <v>1151.96584824197</v>
      </c>
      <c r="N347" s="12">
        <f t="shared" si="82"/>
        <v>0.66778385875806712</v>
      </c>
      <c r="R347" s="2">
        <f t="shared" si="83"/>
        <v>0.84738092103017149</v>
      </c>
      <c r="V347">
        <v>345</v>
      </c>
      <c r="W347">
        <f t="shared" si="77"/>
        <v>0.41138044814107944</v>
      </c>
      <c r="X347">
        <f>SUM($W$3:W347)</f>
        <v>166.90514782777569</v>
      </c>
      <c r="Y347" s="4">
        <f t="shared" si="76"/>
        <v>0.48378303718195853</v>
      </c>
      <c r="AA347">
        <v>345</v>
      </c>
      <c r="AB347">
        <f t="shared" si="78"/>
        <v>0.41138044814107944</v>
      </c>
      <c r="AC347">
        <f>SUM($AB$3:AB347)</f>
        <v>163.70889839927875</v>
      </c>
      <c r="AD347" s="4">
        <f t="shared" si="79"/>
        <v>0.47451854608486593</v>
      </c>
    </row>
    <row r="348" spans="6:30" x14ac:dyDescent="0.25">
      <c r="F348">
        <v>544000</v>
      </c>
      <c r="G348" s="12">
        <v>2126.0825997874426</v>
      </c>
      <c r="H348" s="12">
        <f t="shared" si="74"/>
        <v>2080.1283528827726</v>
      </c>
      <c r="I348" s="12">
        <f t="shared" si="75"/>
        <v>2111.7928085753788</v>
      </c>
      <c r="K348">
        <f t="shared" si="81"/>
        <v>544000</v>
      </c>
      <c r="L348" s="12">
        <v>1149.9130102142303</v>
      </c>
      <c r="M348" s="12">
        <f t="shared" si="80"/>
        <v>1150.7287593033398</v>
      </c>
      <c r="N348" s="12">
        <f t="shared" si="82"/>
        <v>0.66544657638286675</v>
      </c>
      <c r="R348" s="2">
        <f t="shared" si="83"/>
        <v>0.84890733551344955</v>
      </c>
      <c r="V348">
        <v>346</v>
      </c>
      <c r="W348">
        <f t="shared" si="77"/>
        <v>0.41119950055485843</v>
      </c>
      <c r="X348">
        <f>SUM($W$3:W348)</f>
        <v>167.31634732833055</v>
      </c>
      <c r="Y348" s="4">
        <f t="shared" si="76"/>
        <v>0.48357325817436575</v>
      </c>
      <c r="AA348">
        <v>346</v>
      </c>
      <c r="AB348">
        <f t="shared" si="78"/>
        <v>0.41119950055485843</v>
      </c>
      <c r="AC348">
        <f>SUM($AB$3:AB348)</f>
        <v>164.12009789983361</v>
      </c>
      <c r="AD348" s="4">
        <f t="shared" si="79"/>
        <v>0.47433554306310294</v>
      </c>
    </row>
    <row r="349" spans="6:30" x14ac:dyDescent="0.25">
      <c r="F349">
        <v>546000</v>
      </c>
      <c r="G349" s="12">
        <v>2125.5578801805755</v>
      </c>
      <c r="H349" s="12">
        <f t="shared" si="74"/>
        <v>2078.8773133368777</v>
      </c>
      <c r="I349" s="12">
        <f t="shared" si="75"/>
        <v>2179.0753208489346</v>
      </c>
      <c r="K349">
        <f t="shared" si="81"/>
        <v>546000</v>
      </c>
      <c r="L349" s="12">
        <v>1148.6832633874121</v>
      </c>
      <c r="M349" s="12">
        <f t="shared" si="80"/>
        <v>1149.4975313507437</v>
      </c>
      <c r="N349" s="12">
        <f t="shared" si="82"/>
        <v>0.66303231610807967</v>
      </c>
      <c r="R349" s="2">
        <f t="shared" si="83"/>
        <v>0.85042992087514779</v>
      </c>
      <c r="V349">
        <v>347</v>
      </c>
      <c r="W349">
        <f t="shared" si="77"/>
        <v>0.41101915443106563</v>
      </c>
      <c r="X349">
        <f>SUM($W$3:W349)</f>
        <v>167.72736648276162</v>
      </c>
      <c r="Y349" s="4">
        <f t="shared" si="76"/>
        <v>0.48336416853821795</v>
      </c>
      <c r="AA349">
        <v>347</v>
      </c>
      <c r="AB349">
        <f t="shared" si="78"/>
        <v>0.41101915443106563</v>
      </c>
      <c r="AC349">
        <f>SUM($AB$3:AB349)</f>
        <v>164.53111705426468</v>
      </c>
      <c r="AD349" s="4">
        <f t="shared" si="79"/>
        <v>0.47415307508433624</v>
      </c>
    </row>
    <row r="350" spans="6:30" x14ac:dyDescent="0.25">
      <c r="F350">
        <v>548000</v>
      </c>
      <c r="G350" s="12">
        <v>2125.0359027487102</v>
      </c>
      <c r="H350" s="12">
        <f t="shared" si="74"/>
        <v>2077.6315962705021</v>
      </c>
      <c r="I350" s="12">
        <f t="shared" si="75"/>
        <v>2247.1682726798849</v>
      </c>
      <c r="K350">
        <f t="shared" si="81"/>
        <v>548000</v>
      </c>
      <c r="L350" s="12">
        <v>1147.4593774825316</v>
      </c>
      <c r="M350" s="12">
        <f t="shared" si="80"/>
        <v>1148.2721152996996</v>
      </c>
      <c r="N350" s="12">
        <f t="shared" si="82"/>
        <v>0.66054275945500429</v>
      </c>
      <c r="R350" s="2">
        <f t="shared" si="83"/>
        <v>0.85194870027637282</v>
      </c>
      <c r="V350">
        <v>348</v>
      </c>
      <c r="W350">
        <f t="shared" si="77"/>
        <v>0.41083940604576313</v>
      </c>
      <c r="X350">
        <f>SUM($W$3:W350)</f>
        <v>168.13820588880739</v>
      </c>
      <c r="Y350" s="4">
        <f t="shared" si="76"/>
        <v>0.48315576404829708</v>
      </c>
      <c r="AA350">
        <v>348</v>
      </c>
      <c r="AB350">
        <f t="shared" si="78"/>
        <v>0.41083940604576313</v>
      </c>
      <c r="AC350">
        <f>SUM($AB$3:AB350)</f>
        <v>164.94195646031045</v>
      </c>
      <c r="AD350" s="4">
        <f t="shared" si="79"/>
        <v>0.47397113925376566</v>
      </c>
    </row>
    <row r="351" spans="6:30" x14ac:dyDescent="0.25">
      <c r="F351">
        <v>550000</v>
      </c>
      <c r="G351" s="12">
        <v>2124.5166431880407</v>
      </c>
      <c r="H351" s="12">
        <f t="shared" si="74"/>
        <v>2076.391159737901</v>
      </c>
      <c r="I351" s="12">
        <f t="shared" si="75"/>
        <v>2316.062157309666</v>
      </c>
      <c r="K351">
        <f t="shared" si="81"/>
        <v>550000</v>
      </c>
      <c r="L351" s="12">
        <v>1146.2413032535183</v>
      </c>
      <c r="M351" s="12">
        <f t="shared" si="80"/>
        <v>1147.0524626540218</v>
      </c>
      <c r="N351" s="12">
        <f t="shared" si="82"/>
        <v>0.65797957302533383</v>
      </c>
      <c r="R351" s="2">
        <f t="shared" si="83"/>
        <v>0.85346369665598565</v>
      </c>
      <c r="V351">
        <v>349</v>
      </c>
      <c r="W351">
        <f t="shared" si="77"/>
        <v>0.41066025170868725</v>
      </c>
      <c r="X351">
        <f>SUM($W$3:W351)</f>
        <v>168.54886614051608</v>
      </c>
      <c r="Y351" s="4">
        <f t="shared" si="76"/>
        <v>0.48294804051723805</v>
      </c>
      <c r="AA351">
        <v>349</v>
      </c>
      <c r="AB351">
        <f t="shared" si="78"/>
        <v>0.41066025170868725</v>
      </c>
      <c r="AC351">
        <f>SUM($AB$3:AB351)</f>
        <v>165.35261671201914</v>
      </c>
      <c r="AD351" s="4">
        <f t="shared" si="79"/>
        <v>0.47378973269919522</v>
      </c>
    </row>
    <row r="352" spans="6:30" x14ac:dyDescent="0.25">
      <c r="F352">
        <v>552000</v>
      </c>
      <c r="G352" s="12">
        <v>2124.0000774977707</v>
      </c>
      <c r="H352" s="12">
        <f t="shared" si="74"/>
        <v>2075.1559622749069</v>
      </c>
      <c r="I352" s="12">
        <f t="shared" si="75"/>
        <v>2385.7475919043973</v>
      </c>
      <c r="K352">
        <f t="shared" si="81"/>
        <v>552000</v>
      </c>
      <c r="L352" s="12">
        <v>1145.0289920456246</v>
      </c>
      <c r="M352" s="12">
        <f t="shared" si="80"/>
        <v>1145.8385254966599</v>
      </c>
      <c r="N352" s="12">
        <f t="shared" si="82"/>
        <v>0.65534440834520269</v>
      </c>
      <c r="R352" s="2">
        <f t="shared" si="83"/>
        <v>0.85497493273352698</v>
      </c>
      <c r="V352">
        <v>350</v>
      </c>
      <c r="W352">
        <f t="shared" si="77"/>
        <v>0.41048168776284766</v>
      </c>
      <c r="X352">
        <f>SUM($W$3:W352)</f>
        <v>168.95934782827894</v>
      </c>
      <c r="Y352" s="4">
        <f t="shared" si="76"/>
        <v>0.48274099379508267</v>
      </c>
      <c r="AA352">
        <v>350</v>
      </c>
      <c r="AB352">
        <f t="shared" si="78"/>
        <v>0.41048168776284766</v>
      </c>
      <c r="AC352">
        <f>SUM($AB$3:AB352)</f>
        <v>165.763098399782</v>
      </c>
      <c r="AD352" s="4">
        <f t="shared" si="79"/>
        <v>0.47360885257080571</v>
      </c>
    </row>
    <row r="353" spans="6:30" x14ac:dyDescent="0.25">
      <c r="F353">
        <v>554000</v>
      </c>
      <c r="G353" s="12">
        <v>2123.4861819752477</v>
      </c>
      <c r="H353" s="12">
        <f t="shared" si="74"/>
        <v>2073.9259628916802</v>
      </c>
      <c r="I353" s="12">
        <f t="shared" si="75"/>
        <v>2456.2153156112099</v>
      </c>
      <c r="K353">
        <f t="shared" si="81"/>
        <v>554000</v>
      </c>
      <c r="L353" s="12">
        <v>1143.8223957862117</v>
      </c>
      <c r="M353" s="12">
        <f t="shared" si="80"/>
        <v>1144.6302564807143</v>
      </c>
      <c r="N353" s="12">
        <f t="shared" si="82"/>
        <v>0.65263890172214445</v>
      </c>
      <c r="R353" s="2">
        <f t="shared" si="83"/>
        <v>0.85648243101207999</v>
      </c>
      <c r="V353">
        <v>351</v>
      </c>
      <c r="W353">
        <f t="shared" si="77"/>
        <v>0.41030371058413434</v>
      </c>
      <c r="X353">
        <f>SUM($W$3:W353)</f>
        <v>169.36965153886308</v>
      </c>
      <c r="Y353" s="4">
        <f t="shared" si="76"/>
        <v>0.48253461976884071</v>
      </c>
      <c r="AA353">
        <v>351</v>
      </c>
      <c r="AB353">
        <f t="shared" si="78"/>
        <v>0.41030371058413434</v>
      </c>
      <c r="AC353">
        <f>SUM($AB$3:AB353)</f>
        <v>166.17340211036614</v>
      </c>
      <c r="AD353" s="4">
        <f t="shared" si="79"/>
        <v>0.47342849604092918</v>
      </c>
    </row>
    <row r="354" spans="6:30" x14ac:dyDescent="0.25">
      <c r="F354">
        <v>556000</v>
      </c>
      <c r="G354" s="12">
        <v>2122.9749332112006</v>
      </c>
      <c r="H354" s="12">
        <f t="shared" si="74"/>
        <v>2072.7011210655937</v>
      </c>
      <c r="I354" s="12">
        <f t="shared" si="75"/>
        <v>2527.4561876517646</v>
      </c>
      <c r="K354">
        <f t="shared" si="81"/>
        <v>556000</v>
      </c>
      <c r="L354" s="12">
        <v>1142.6214669757098</v>
      </c>
      <c r="M354" s="12">
        <f t="shared" si="80"/>
        <v>1143.4276088206232</v>
      </c>
      <c r="N354" s="12">
        <f t="shared" si="82"/>
        <v>0.64986467412026272</v>
      </c>
      <c r="R354" s="2">
        <f t="shared" si="83"/>
        <v>0.85798621378109585</v>
      </c>
      <c r="V354">
        <v>352</v>
      </c>
      <c r="W354">
        <f t="shared" si="77"/>
        <v>0.41012631658092841</v>
      </c>
      <c r="X354">
        <f>SUM($W$3:W354)</f>
        <v>169.779777855444</v>
      </c>
      <c r="Y354" s="4">
        <f t="shared" si="76"/>
        <v>0.48232891436205683</v>
      </c>
      <c r="AA354">
        <v>352</v>
      </c>
      <c r="AB354">
        <f t="shared" si="78"/>
        <v>0.41012631658092841</v>
      </c>
      <c r="AC354">
        <f>SUM($AB$3:AB354)</f>
        <v>166.58352842694705</v>
      </c>
      <c r="AD354" s="4">
        <f t="shared" si="79"/>
        <v>0.47324866030382684</v>
      </c>
    </row>
    <row r="355" spans="6:30" x14ac:dyDescent="0.25">
      <c r="F355">
        <v>558000</v>
      </c>
      <c r="G355" s="12">
        <v>2122.4663080850651</v>
      </c>
      <c r="H355" s="12">
        <f t="shared" ref="H355:H418" si="84">IF(F355&lt;$G$72,$D$64*(F355/$D$41)^-(1-$G$71), $D$64*($G$72/$D$41)^-(1-$G$71))</f>
        <v>2071.4813967342502</v>
      </c>
      <c r="I355" s="12">
        <f t="shared" ref="I355:I418" si="85">(H355-G355)^2</f>
        <v>2599.4611854504496</v>
      </c>
      <c r="K355">
        <f t="shared" si="81"/>
        <v>558000</v>
      </c>
      <c r="L355" s="12">
        <v>1141.4261586787525</v>
      </c>
      <c r="M355" s="12">
        <f t="shared" si="80"/>
        <v>1142.2305362835184</v>
      </c>
      <c r="N355" s="12">
        <f t="shared" si="82"/>
        <v>0.64702333104897813</v>
      </c>
      <c r="R355" s="2">
        <f t="shared" si="83"/>
        <v>0.85948630311916685</v>
      </c>
      <c r="V355">
        <v>353</v>
      </c>
      <c r="W355">
        <f t="shared" si="77"/>
        <v>0.40994950219372001</v>
      </c>
      <c r="X355">
        <f>SUM($W$3:W355)</f>
        <v>170.18972735763771</v>
      </c>
      <c r="Y355" s="4">
        <f t="shared" si="76"/>
        <v>0.48212387353438446</v>
      </c>
      <c r="AA355">
        <v>353</v>
      </c>
      <c r="AB355">
        <f t="shared" si="78"/>
        <v>0.40994950219372001</v>
      </c>
      <c r="AC355">
        <f>SUM($AB$3:AB355)</f>
        <v>166.99347792914077</v>
      </c>
      <c r="AD355" s="4">
        <f t="shared" si="79"/>
        <v>0.47306934257546962</v>
      </c>
    </row>
    <row r="356" spans="6:30" x14ac:dyDescent="0.25">
      <c r="F356">
        <v>560000</v>
      </c>
      <c r="G356" s="12">
        <v>2121.960283760402</v>
      </c>
      <c r="H356" s="12">
        <f t="shared" si="84"/>
        <v>2070.2667502886266</v>
      </c>
      <c r="I356" s="12">
        <f t="shared" si="85"/>
        <v>2672.221402797572</v>
      </c>
      <c r="K356">
        <f t="shared" si="81"/>
        <v>560000</v>
      </c>
      <c r="L356" s="12">
        <v>1140.2364245154777</v>
      </c>
      <c r="M356" s="12">
        <f t="shared" si="80"/>
        <v>1141.0389931807401</v>
      </c>
      <c r="N356" s="12">
        <f t="shared" si="82"/>
        <v>0.64411646246118259</v>
      </c>
      <c r="R356" s="2">
        <f t="shared" si="83"/>
        <v>0.86098272089675598</v>
      </c>
      <c r="V356">
        <v>354</v>
      </c>
      <c r="W356">
        <f t="shared" si="77"/>
        <v>0.40977326389473123</v>
      </c>
      <c r="X356">
        <f>SUM($W$3:W356)</f>
        <v>170.59950062153243</v>
      </c>
      <c r="Y356" s="4">
        <f t="shared" si="76"/>
        <v>0.48191949328116507</v>
      </c>
      <c r="AA356">
        <v>354</v>
      </c>
      <c r="AB356">
        <f t="shared" si="78"/>
        <v>0.40977326389473123</v>
      </c>
      <c r="AC356">
        <f>SUM($AB$3:AB356)</f>
        <v>167.40325119303549</v>
      </c>
      <c r="AD356" s="4">
        <f t="shared" si="79"/>
        <v>0.4728905400933206</v>
      </c>
    </row>
    <row r="357" spans="6:30" x14ac:dyDescent="0.25">
      <c r="F357">
        <v>562000</v>
      </c>
      <c r="G357" s="12">
        <v>2121.4568376804036</v>
      </c>
      <c r="H357" s="12">
        <f t="shared" si="84"/>
        <v>2069.0571425663447</v>
      </c>
      <c r="I357" s="12">
        <f t="shared" si="85"/>
        <v>2745.7280480463269</v>
      </c>
      <c r="K357">
        <f t="shared" si="81"/>
        <v>562000</v>
      </c>
      <c r="L357" s="12">
        <v>1139.0522186529945</v>
      </c>
      <c r="M357" s="12">
        <f t="shared" si="80"/>
        <v>1139.8529343595176</v>
      </c>
      <c r="N357" s="12">
        <f t="shared" si="82"/>
        <v>0.64114564267275287</v>
      </c>
      <c r="R357" s="2">
        <f t="shared" si="83"/>
        <v>0.86247548877887992</v>
      </c>
      <c r="V357">
        <v>355</v>
      </c>
      <c r="W357">
        <f t="shared" si="77"/>
        <v>0.40959759818754427</v>
      </c>
      <c r="X357">
        <f>SUM($W$3:W357)</f>
        <v>171.00909821971996</v>
      </c>
      <c r="Y357" s="4">
        <f t="shared" si="76"/>
        <v>0.48171576963301399</v>
      </c>
      <c r="AA357">
        <v>355</v>
      </c>
      <c r="AB357">
        <f t="shared" si="78"/>
        <v>0.40959759818754427</v>
      </c>
      <c r="AC357">
        <f>SUM($AB$3:AB357)</f>
        <v>167.81284879122302</v>
      </c>
      <c r="AD357" s="4">
        <f t="shared" si="79"/>
        <v>0.47271225011612117</v>
      </c>
    </row>
    <row r="358" spans="6:30" x14ac:dyDescent="0.25">
      <c r="F358">
        <v>564000</v>
      </c>
      <c r="G358" s="12">
        <v>2120.9559475634869</v>
      </c>
      <c r="H358" s="12">
        <f t="shared" si="84"/>
        <v>2067.8525348450707</v>
      </c>
      <c r="I358" s="12">
        <f t="shared" si="85"/>
        <v>2819.9724423424436</v>
      </c>
      <c r="K358">
        <f t="shared" si="81"/>
        <v>564000</v>
      </c>
      <c r="L358" s="12">
        <v>1137.8734957970071</v>
      </c>
      <c r="M358" s="12">
        <f t="shared" si="80"/>
        <v>1138.6723151948013</v>
      </c>
      <c r="N358" s="12">
        <f t="shared" si="82"/>
        <v>0.6381124302922957</v>
      </c>
      <c r="R358" s="2">
        <f t="shared" si="83"/>
        <v>0.86396462822775733</v>
      </c>
      <c r="V358">
        <v>356</v>
      </c>
      <c r="W358">
        <f t="shared" si="77"/>
        <v>0.40942250160673538</v>
      </c>
      <c r="X358">
        <f>SUM($W$3:W358)</f>
        <v>171.4185207213267</v>
      </c>
      <c r="Y358" s="4">
        <f t="shared" si="76"/>
        <v>0.48151269865541207</v>
      </c>
      <c r="AA358">
        <v>356</v>
      </c>
      <c r="AB358">
        <f t="shared" si="78"/>
        <v>0.40942250160673538</v>
      </c>
      <c r="AC358">
        <f>SUM($AB$3:AB358)</f>
        <v>168.22227129282976</v>
      </c>
      <c r="AD358" s="4">
        <f t="shared" si="79"/>
        <v>0.47253446992367909</v>
      </c>
    </row>
    <row r="359" spans="6:30" x14ac:dyDescent="0.25">
      <c r="F359">
        <v>566000</v>
      </c>
      <c r="G359" s="12">
        <v>2120.4575913989734</v>
      </c>
      <c r="H359" s="12">
        <f t="shared" si="84"/>
        <v>2066.6528888360262</v>
      </c>
      <c r="I359" s="12">
        <f t="shared" si="85"/>
        <v>2894.9460178872077</v>
      </c>
      <c r="K359">
        <f t="shared" si="81"/>
        <v>566000</v>
      </c>
      <c r="L359" s="12">
        <v>1136.7002111836055</v>
      </c>
      <c r="M359" s="12">
        <f t="shared" si="80"/>
        <v>1137.4970915812505</v>
      </c>
      <c r="N359" s="12">
        <f t="shared" si="82"/>
        <v>0.63501836815094015</v>
      </c>
      <c r="R359" s="2">
        <f t="shared" si="83"/>
        <v>0.86545016050539525</v>
      </c>
      <c r="V359">
        <v>357</v>
      </c>
      <c r="W359">
        <f t="shared" si="77"/>
        <v>0.40924797071751406</v>
      </c>
      <c r="X359">
        <f>SUM($W$3:W359)</f>
        <v>171.8277686920442</v>
      </c>
      <c r="Y359" s="4">
        <f t="shared" si="76"/>
        <v>0.4813102764483031</v>
      </c>
      <c r="AA359">
        <v>357</v>
      </c>
      <c r="AB359">
        <f t="shared" si="78"/>
        <v>0.40924797071751406</v>
      </c>
      <c r="AC359">
        <f>SUM($AB$3:AB359)</f>
        <v>168.63151926354726</v>
      </c>
      <c r="AD359" s="4">
        <f t="shared" si="79"/>
        <v>0.472357196816659</v>
      </c>
    </row>
    <row r="360" spans="6:30" x14ac:dyDescent="0.25">
      <c r="F360">
        <v>568000</v>
      </c>
      <c r="G360" s="12">
        <v>2119.9617474428505</v>
      </c>
      <c r="H360" s="12">
        <f t="shared" si="84"/>
        <v>2065.4581666776248</v>
      </c>
      <c r="I360" s="12">
        <f t="shared" si="85"/>
        <v>2970.6403162314814</v>
      </c>
      <c r="K360">
        <f t="shared" si="81"/>
        <v>568000</v>
      </c>
      <c r="L360" s="12">
        <v>1135.5323205711984</v>
      </c>
      <c r="M360" s="12">
        <f t="shared" si="80"/>
        <v>1136.3272199253709</v>
      </c>
      <c r="N360" s="12">
        <f t="shared" si="82"/>
        <v>0.63186498326379015</v>
      </c>
      <c r="R360" s="2">
        <f t="shared" si="83"/>
        <v>0.86693210667615506</v>
      </c>
      <c r="V360">
        <v>358</v>
      </c>
      <c r="W360">
        <f t="shared" si="77"/>
        <v>0.40907400211536715</v>
      </c>
      <c r="X360">
        <f>SUM($W$3:W360)</f>
        <v>172.23684269415958</v>
      </c>
      <c r="Y360" s="4">
        <f t="shared" si="76"/>
        <v>0.48110849914569714</v>
      </c>
      <c r="AA360">
        <v>358</v>
      </c>
      <c r="AB360">
        <f t="shared" si="78"/>
        <v>0.40907400211536715</v>
      </c>
      <c r="AC360">
        <f>SUM($AB$3:AB360)</f>
        <v>169.04059326566264</v>
      </c>
      <c r="AD360" s="4">
        <f t="shared" si="79"/>
        <v>0.47218042811637606</v>
      </c>
    </row>
    <row r="361" spans="6:30" x14ac:dyDescent="0.25">
      <c r="F361">
        <v>570000</v>
      </c>
      <c r="G361" s="12">
        <v>2119.4683942136094</v>
      </c>
      <c r="H361" s="12">
        <f t="shared" si="84"/>
        <v>2064.2683309292202</v>
      </c>
      <c r="I361" s="12">
        <f t="shared" si="85"/>
        <v>3047.0469866005742</v>
      </c>
      <c r="K361">
        <f t="shared" si="81"/>
        <v>570000</v>
      </c>
      <c r="L361" s="12">
        <v>1134.3697802326062</v>
      </c>
      <c r="M361" s="12">
        <f t="shared" si="80"/>
        <v>1135.1626571377947</v>
      </c>
      <c r="N361" s="12">
        <f t="shared" si="82"/>
        <v>0.62865378678121453</v>
      </c>
      <c r="R361" s="2">
        <f t="shared" si="83"/>
        <v>0.86841048760925688</v>
      </c>
      <c r="V361">
        <v>359</v>
      </c>
      <c r="W361">
        <f t="shared" si="77"/>
        <v>0.40890059242570848</v>
      </c>
      <c r="X361">
        <f>SUM($W$3:W361)</f>
        <v>172.64574328658529</v>
      </c>
      <c r="Y361" s="4">
        <f t="shared" si="76"/>
        <v>0.48090736291527936</v>
      </c>
      <c r="AA361">
        <v>359</v>
      </c>
      <c r="AB361">
        <f t="shared" si="78"/>
        <v>0.40890059242570848</v>
      </c>
      <c r="AC361">
        <f>SUM($AB$3:AB361)</f>
        <v>169.44949385808835</v>
      </c>
      <c r="AD361" s="4">
        <f t="shared" si="79"/>
        <v>0.47200416116459148</v>
      </c>
    </row>
    <row r="362" spans="6:30" x14ac:dyDescent="0.25">
      <c r="F362">
        <v>572000</v>
      </c>
      <c r="G362" s="12">
        <v>2118.9775104881742</v>
      </c>
      <c r="H362" s="12">
        <f t="shared" si="84"/>
        <v>2063.0833445649696</v>
      </c>
      <c r="I362" s="12">
        <f t="shared" si="85"/>
        <v>3124.1577842507245</v>
      </c>
      <c r="K362">
        <f t="shared" si="81"/>
        <v>572000</v>
      </c>
      <c r="L362" s="12">
        <v>1133.2125469472944</v>
      </c>
      <c r="M362" s="12">
        <f t="shared" si="80"/>
        <v>1134.0033606257091</v>
      </c>
      <c r="N362" s="12">
        <f t="shared" si="82"/>
        <v>0.62538627396775548</v>
      </c>
      <c r="R362" s="2">
        <f t="shared" si="83"/>
        <v>0.86988532398126339</v>
      </c>
      <c r="V362">
        <v>360</v>
      </c>
      <c r="W362">
        <f t="shared" si="77"/>
        <v>0.40872773830353321</v>
      </c>
      <c r="X362">
        <f>SUM($W$3:W362)</f>
        <v>173.05447102488881</v>
      </c>
      <c r="Y362" s="4">
        <f t="shared" si="76"/>
        <v>0.48070686395802448</v>
      </c>
      <c r="AA362">
        <v>360</v>
      </c>
      <c r="AB362">
        <f t="shared" si="78"/>
        <v>0.40872773830353321</v>
      </c>
      <c r="AC362">
        <f>SUM($AB$3:AB362)</f>
        <v>169.85822159639187</v>
      </c>
      <c r="AD362" s="4">
        <f t="shared" si="79"/>
        <v>0.47182839332331078</v>
      </c>
    </row>
    <row r="363" spans="6:30" x14ac:dyDescent="0.25">
      <c r="F363">
        <v>574000</v>
      </c>
      <c r="G363" s="12">
        <v>2118.4890752978945</v>
      </c>
      <c r="H363" s="12">
        <f t="shared" si="84"/>
        <v>2061.9031709678052</v>
      </c>
      <c r="I363" s="12">
        <f t="shared" si="85"/>
        <v>3201.9645688540195</v>
      </c>
      <c r="K363">
        <f t="shared" si="81"/>
        <v>574000</v>
      </c>
      <c r="L363" s="12">
        <v>1132.0605779937548</v>
      </c>
      <c r="M363" s="12">
        <f t="shared" si="80"/>
        <v>1132.8492882854196</v>
      </c>
      <c r="N363" s="12">
        <f t="shared" si="82"/>
        <v>0.62206392417790501</v>
      </c>
      <c r="R363" s="2">
        <f t="shared" si="83"/>
        <v>0.87135663627850612</v>
      </c>
      <c r="V363">
        <v>361</v>
      </c>
      <c r="W363">
        <f t="shared" si="77"/>
        <v>0.40855543643307718</v>
      </c>
      <c r="X363">
        <f>SUM($W$3:W363)</f>
        <v>173.4630264613219</v>
      </c>
      <c r="Y363" s="4">
        <f t="shared" si="76"/>
        <v>0.48050699850781692</v>
      </c>
      <c r="AA363">
        <v>361</v>
      </c>
      <c r="AB363">
        <f t="shared" si="78"/>
        <v>0.40855543643307718</v>
      </c>
      <c r="AC363">
        <f>SUM($AB$3:AB363)</f>
        <v>170.26677703282496</v>
      </c>
      <c r="AD363" s="4">
        <f t="shared" si="79"/>
        <v>0.47165312197458437</v>
      </c>
    </row>
    <row r="364" spans="6:30" x14ac:dyDescent="0.25">
      <c r="F364">
        <v>576000</v>
      </c>
      <c r="G364" s="12">
        <v>2118.0030679246174</v>
      </c>
      <c r="H364" s="12">
        <f t="shared" si="84"/>
        <v>2060.7277739235183</v>
      </c>
      <c r="I364" s="12">
        <f t="shared" si="85"/>
        <v>3280.4593029123448</v>
      </c>
      <c r="K364">
        <f t="shared" si="81"/>
        <v>576000</v>
      </c>
      <c r="L364" s="12">
        <v>1130.9138311420256</v>
      </c>
      <c r="M364" s="12">
        <f t="shared" si="80"/>
        <v>1131.7003984950536</v>
      </c>
      <c r="N364" s="12">
        <f t="shared" si="82"/>
        <v>0.61868820084943732</v>
      </c>
      <c r="R364" s="2">
        <f t="shared" si="83"/>
        <v>0.8728244447994804</v>
      </c>
      <c r="V364">
        <v>362</v>
      </c>
      <c r="W364">
        <f t="shared" si="77"/>
        <v>0.40838368352748095</v>
      </c>
      <c r="X364">
        <f>SUM($W$3:W364)</f>
        <v>173.87141014484939</v>
      </c>
      <c r="Y364" s="4">
        <f t="shared" si="76"/>
        <v>0.48030776283107568</v>
      </c>
      <c r="AA364">
        <v>362</v>
      </c>
      <c r="AB364">
        <f t="shared" si="78"/>
        <v>0.40838368352748095</v>
      </c>
      <c r="AC364">
        <f>SUM($AB$3:AB364)</f>
        <v>170.67516071635245</v>
      </c>
      <c r="AD364" s="4">
        <f t="shared" si="79"/>
        <v>0.47147834452031062</v>
      </c>
    </row>
    <row r="365" spans="6:30" x14ac:dyDescent="0.25">
      <c r="F365">
        <v>578000</v>
      </c>
      <c r="G365" s="12">
        <v>2117.5194678968473</v>
      </c>
      <c r="H365" s="12">
        <f t="shared" si="84"/>
        <v>2059.5571176149438</v>
      </c>
      <c r="I365" s="12">
        <f t="shared" si="85"/>
        <v>3359.6340502020885</v>
      </c>
      <c r="K365">
        <f t="shared" si="81"/>
        <v>578000</v>
      </c>
      <c r="L365" s="12">
        <v>1129.7722646463508</v>
      </c>
      <c r="M365" s="12">
        <f t="shared" si="80"/>
        <v>1130.5566501073963</v>
      </c>
      <c r="N365" s="12">
        <f t="shared" si="82"/>
        <v>0.61526055149961023</v>
      </c>
      <c r="R365" s="2">
        <f t="shared" si="83"/>
        <v>0.87428876965720881</v>
      </c>
      <c r="V365">
        <v>363</v>
      </c>
      <c r="W365">
        <f t="shared" si="77"/>
        <v>0.40821247632845925</v>
      </c>
      <c r="X365">
        <f>SUM($W$3:W365)</f>
        <v>174.27962262117785</v>
      </c>
      <c r="Y365" s="4">
        <f t="shared" si="76"/>
        <v>0.48010915322638525</v>
      </c>
      <c r="AA365">
        <v>363</v>
      </c>
      <c r="AB365">
        <f t="shared" si="78"/>
        <v>0.40821247632845925</v>
      </c>
      <c r="AC365">
        <f>SUM($AB$3:AB365)</f>
        <v>171.08337319268091</v>
      </c>
      <c r="AD365" s="4">
        <f t="shared" si="79"/>
        <v>0.47130405838204109</v>
      </c>
    </row>
    <row r="366" spans="6:30" x14ac:dyDescent="0.25">
      <c r="F366">
        <v>580000</v>
      </c>
      <c r="G366" s="12">
        <v>2117.0382549859551</v>
      </c>
      <c r="H366" s="12">
        <f t="shared" si="84"/>
        <v>2058.3911666162521</v>
      </c>
      <c r="I366" s="12">
        <f t="shared" si="85"/>
        <v>3439.480974243746</v>
      </c>
      <c r="K366">
        <f t="shared" si="81"/>
        <v>580000</v>
      </c>
      <c r="L366" s="12">
        <v>1128.6358372379725</v>
      </c>
      <c r="M366" s="12">
        <f t="shared" si="80"/>
        <v>1129.4180024428563</v>
      </c>
      <c r="N366" s="12">
        <f t="shared" si="82"/>
        <v>0.61178240773086634</v>
      </c>
      <c r="R366" s="2">
        <f t="shared" si="83"/>
        <v>0.87574963078155221</v>
      </c>
      <c r="V366">
        <v>364</v>
      </c>
      <c r="W366">
        <f t="shared" si="77"/>
        <v>0.40804181160597441</v>
      </c>
      <c r="X366">
        <f>SUM($W$3:W366)</f>
        <v>174.68766443278383</v>
      </c>
      <c r="Y366" s="4">
        <f t="shared" si="76"/>
        <v>0.47991116602413142</v>
      </c>
      <c r="AA366">
        <v>364</v>
      </c>
      <c r="AB366">
        <f t="shared" si="78"/>
        <v>0.40804181160597441</v>
      </c>
      <c r="AC366">
        <f>SUM($AB$3:AB366)</f>
        <v>171.49141500428689</v>
      </c>
      <c r="AD366" s="4">
        <f t="shared" si="79"/>
        <v>0.47113026100078814</v>
      </c>
    </row>
    <row r="367" spans="6:30" x14ac:dyDescent="0.25">
      <c r="F367">
        <v>582000</v>
      </c>
      <c r="G367" s="12">
        <v>2116.5594092024735</v>
      </c>
      <c r="H367" s="12">
        <f t="shared" si="84"/>
        <v>2057.2298858873405</v>
      </c>
      <c r="I367" s="12">
        <f t="shared" si="85"/>
        <v>3519.9923368009072</v>
      </c>
      <c r="K367">
        <f t="shared" si="81"/>
        <v>582000</v>
      </c>
      <c r="L367" s="12">
        <v>1127.5045081180556</v>
      </c>
      <c r="M367" s="12">
        <f t="shared" si="80"/>
        <v>1128.2844152825621</v>
      </c>
      <c r="N367" s="12">
        <f t="shared" si="82"/>
        <v>0.60825518524863065</v>
      </c>
      <c r="R367" s="2">
        <f t="shared" si="83"/>
        <v>0.87720704792149595</v>
      </c>
      <c r="V367">
        <v>365</v>
      </c>
      <c r="W367">
        <f t="shared" si="77"/>
        <v>0.40787168615791425</v>
      </c>
      <c r="X367">
        <f>SUM($W$3:W367)</f>
        <v>175.09553611894174</v>
      </c>
      <c r="Y367" s="4">
        <f t="shared" si="76"/>
        <v>0.47971379758614174</v>
      </c>
      <c r="AA367">
        <v>365</v>
      </c>
      <c r="AB367">
        <f t="shared" si="78"/>
        <v>0.40787168615791425</v>
      </c>
      <c r="AC367">
        <f>SUM($AB$3:AB367)</f>
        <v>171.8992866904448</v>
      </c>
      <c r="AD367" s="4">
        <f t="shared" si="79"/>
        <v>0.47095694983683506</v>
      </c>
    </row>
    <row r="368" spans="6:30" x14ac:dyDescent="0.25">
      <c r="F368">
        <v>584000</v>
      </c>
      <c r="G368" s="12">
        <v>2116.0829107924615</v>
      </c>
      <c r="H368" s="12">
        <f t="shared" si="84"/>
        <v>2056.0732407683267</v>
      </c>
      <c r="I368" s="12">
        <f t="shared" si="85"/>
        <v>3601.1604964055332</v>
      </c>
      <c r="K368">
        <f t="shared" si="81"/>
        <v>584000</v>
      </c>
      <c r="L368" s="12">
        <v>1126.378236950741</v>
      </c>
      <c r="M368" s="12">
        <f t="shared" si="80"/>
        <v>1127.1558488615817</v>
      </c>
      <c r="N368" s="12">
        <f t="shared" si="82"/>
        <v>0.60468028388137596</v>
      </c>
      <c r="R368" s="2">
        <f t="shared" si="83"/>
        <v>0.87866104064739892</v>
      </c>
      <c r="V368">
        <v>366</v>
      </c>
      <c r="W368">
        <f t="shared" si="77"/>
        <v>0.40770209680977582</v>
      </c>
      <c r="X368">
        <f>SUM($W$3:W368)</f>
        <v>175.50323821575151</v>
      </c>
      <c r="Y368" s="4">
        <f t="shared" si="76"/>
        <v>0.47951704430533199</v>
      </c>
      <c r="AA368">
        <v>366</v>
      </c>
      <c r="AB368">
        <f t="shared" si="78"/>
        <v>0.40770209680977582</v>
      </c>
      <c r="AC368">
        <f>SUM($AB$3:AB368)</f>
        <v>172.30698878725457</v>
      </c>
      <c r="AD368" s="4">
        <f t="shared" si="79"/>
        <v>0.47078412236954797</v>
      </c>
    </row>
    <row r="369" spans="6:30" x14ac:dyDescent="0.25">
      <c r="F369">
        <v>586000</v>
      </c>
      <c r="G369" s="12">
        <v>2115.6087402339276</v>
      </c>
      <c r="H369" s="12">
        <f t="shared" si="84"/>
        <v>2054.9211969741355</v>
      </c>
      <c r="I369" s="12">
        <f t="shared" si="85"/>
        <v>3682.9779069091455</v>
      </c>
      <c r="K369">
        <f t="shared" si="81"/>
        <v>586000</v>
      </c>
      <c r="L369" s="12">
        <v>1125.256983856327</v>
      </c>
      <c r="M369" s="12">
        <f t="shared" si="80"/>
        <v>1126.0322638622658</v>
      </c>
      <c r="N369" s="12">
        <f t="shared" si="82"/>
        <v>0.60105908760852644</v>
      </c>
      <c r="R369" s="2">
        <f t="shared" si="83"/>
        <v>0.88011162835319845</v>
      </c>
      <c r="V369">
        <v>367</v>
      </c>
      <c r="W369">
        <f t="shared" si="77"/>
        <v>0.4075330404143519</v>
      </c>
      <c r="X369">
        <f>SUM($W$3:W369)</f>
        <v>175.91077125616587</v>
      </c>
      <c r="Y369" s="4">
        <f t="shared" si="76"/>
        <v>0.47932090260535659</v>
      </c>
      <c r="AA369">
        <v>367</v>
      </c>
      <c r="AB369">
        <f t="shared" si="78"/>
        <v>0.4075330404143519</v>
      </c>
      <c r="AC369">
        <f>SUM($AB$3:AB369)</f>
        <v>172.71452182766893</v>
      </c>
      <c r="AD369" s="4">
        <f t="shared" si="79"/>
        <v>0.47061177609719057</v>
      </c>
    </row>
    <row r="370" spans="6:30" x14ac:dyDescent="0.25">
      <c r="F370">
        <v>588000</v>
      </c>
      <c r="G370" s="12">
        <v>2115.1368782333243</v>
      </c>
      <c r="H370" s="12">
        <f t="shared" si="84"/>
        <v>2053.7737205891854</v>
      </c>
      <c r="I370" s="12">
        <f t="shared" si="85"/>
        <v>3765.4371160594469</v>
      </c>
      <c r="K370">
        <f t="shared" si="81"/>
        <v>588000</v>
      </c>
      <c r="L370" s="12">
        <v>1124.1407094045708</v>
      </c>
      <c r="M370" s="12">
        <f t="shared" si="80"/>
        <v>1124.91362140771</v>
      </c>
      <c r="N370" s="12">
        <f t="shared" si="82"/>
        <v>0.59739296459673419</v>
      </c>
      <c r="R370" s="2">
        <f t="shared" si="83"/>
        <v>0.88155883025858883</v>
      </c>
      <c r="V370">
        <v>368</v>
      </c>
      <c r="W370">
        <f t="shared" si="77"/>
        <v>0.40736451385142319</v>
      </c>
      <c r="X370">
        <f>SUM($W$3:W370)</f>
        <v>176.31813577001731</v>
      </c>
      <c r="Y370" s="4">
        <f t="shared" si="76"/>
        <v>0.47912536894026442</v>
      </c>
      <c r="AA370">
        <v>368</v>
      </c>
      <c r="AB370">
        <f t="shared" si="78"/>
        <v>0.40736451385142319</v>
      </c>
      <c r="AC370">
        <f>SUM($AB$3:AB370)</f>
        <v>173.12188634152037</v>
      </c>
      <c r="AD370" s="4">
        <f t="shared" si="79"/>
        <v>0.47043990853674011</v>
      </c>
    </row>
    <row r="371" spans="6:30" x14ac:dyDescent="0.25">
      <c r="F371">
        <v>590000</v>
      </c>
      <c r="G371" s="12">
        <v>2114.6673057221137</v>
      </c>
      <c r="H371" s="12">
        <f t="shared" si="84"/>
        <v>2052.6307780621601</v>
      </c>
      <c r="I371" s="12">
        <f t="shared" si="85"/>
        <v>3848.5307641041959</v>
      </c>
      <c r="K371">
        <f t="shared" si="81"/>
        <v>590000</v>
      </c>
      <c r="L371" s="12">
        <v>1123.029374608112</v>
      </c>
      <c r="M371" s="12">
        <f t="shared" si="80"/>
        <v>1123.7998830553352</v>
      </c>
      <c r="N371" s="12">
        <f t="shared" si="82"/>
        <v>0.5936832672422524</v>
      </c>
      <c r="R371" s="2">
        <f t="shared" si="83"/>
        <v>0.88300266541116956</v>
      </c>
      <c r="V371">
        <v>369</v>
      </c>
      <c r="W371">
        <f t="shared" si="77"/>
        <v>0.40719651402745383</v>
      </c>
      <c r="X371">
        <f>SUM($W$3:W371)</f>
        <v>176.72533228404475</v>
      </c>
      <c r="Y371" s="4">
        <f t="shared" si="76"/>
        <v>0.47893043979415922</v>
      </c>
      <c r="AA371">
        <v>369</v>
      </c>
      <c r="AB371">
        <f t="shared" si="78"/>
        <v>0.40719651402745383</v>
      </c>
      <c r="AC371">
        <f>SUM($AB$3:AB371)</f>
        <v>173.52908285554781</v>
      </c>
      <c r="AD371" s="4">
        <f t="shared" si="79"/>
        <v>0.47026851722370683</v>
      </c>
    </row>
    <row r="372" spans="6:30" x14ac:dyDescent="0.25">
      <c r="F372">
        <v>592000</v>
      </c>
      <c r="G372" s="12">
        <v>2114.2000038533806</v>
      </c>
      <c r="H372" s="12">
        <f t="shared" si="84"/>
        <v>2051.4923362008853</v>
      </c>
      <c r="I372" s="12">
        <f t="shared" si="85"/>
        <v>3932.2515824158022</v>
      </c>
      <c r="K372">
        <f t="shared" si="81"/>
        <v>592000</v>
      </c>
      <c r="L372" s="12">
        <v>1121.9229409160168</v>
      </c>
      <c r="M372" s="12">
        <f t="shared" si="80"/>
        <v>1122.6910107905837</v>
      </c>
      <c r="N372" s="12">
        <f t="shared" si="82"/>
        <v>0.58993133221719907</v>
      </c>
      <c r="R372" s="2">
        <f t="shared" si="83"/>
        <v>0.88444315268854301</v>
      </c>
      <c r="V372">
        <v>370</v>
      </c>
      <c r="W372">
        <f t="shared" si="77"/>
        <v>0.40702903787529193</v>
      </c>
      <c r="X372">
        <f>SUM($W$3:W372)</f>
        <v>177.13236132192006</v>
      </c>
      <c r="Y372" s="4">
        <f t="shared" si="76"/>
        <v>0.478736111680865</v>
      </c>
      <c r="AA372">
        <v>370</v>
      </c>
      <c r="AB372">
        <f t="shared" si="78"/>
        <v>0.40702903787529193</v>
      </c>
      <c r="AC372">
        <f>SUM($AB$3:AB372)</f>
        <v>173.93611189342312</v>
      </c>
      <c r="AD372" s="4">
        <f t="shared" si="79"/>
        <v>0.47009759971195436</v>
      </c>
    </row>
    <row r="373" spans="6:30" x14ac:dyDescent="0.25">
      <c r="F373">
        <v>594000</v>
      </c>
      <c r="G373" s="12">
        <v>2113.734953998523</v>
      </c>
      <c r="H373" s="12">
        <f t="shared" si="84"/>
        <v>2050.3583621672801</v>
      </c>
      <c r="I373" s="12">
        <f t="shared" si="85"/>
        <v>4016.5923921439612</v>
      </c>
      <c r="K373">
        <f t="shared" si="81"/>
        <v>594000</v>
      </c>
      <c r="L373" s="12">
        <v>1120.8213702074333</v>
      </c>
      <c r="M373" s="12">
        <f t="shared" si="80"/>
        <v>1121.5869670207248</v>
      </c>
      <c r="N373" s="12">
        <f t="shared" si="82"/>
        <v>0.58613848052209228</v>
      </c>
      <c r="R373" s="2">
        <f t="shared" si="83"/>
        <v>0.88588031080039853</v>
      </c>
      <c r="V373">
        <v>371</v>
      </c>
      <c r="W373">
        <f t="shared" si="77"/>
        <v>0.40686208235387389</v>
      </c>
      <c r="X373">
        <f>SUM($W$3:W373)</f>
        <v>177.53922340427394</v>
      </c>
      <c r="Y373" s="4">
        <f t="shared" si="76"/>
        <v>0.47854238114359554</v>
      </c>
      <c r="AA373">
        <v>371</v>
      </c>
      <c r="AB373">
        <f t="shared" si="78"/>
        <v>0.40686208235387389</v>
      </c>
      <c r="AC373">
        <f>SUM($AB$3:AB373)</f>
        <v>174.342973975777</v>
      </c>
      <c r="AD373" s="4">
        <f t="shared" si="79"/>
        <v>0.46992715357352288</v>
      </c>
    </row>
    <row r="374" spans="6:30" x14ac:dyDescent="0.25">
      <c r="F374">
        <v>596000</v>
      </c>
      <c r="G374" s="12">
        <v>2113.2721377439975</v>
      </c>
      <c r="H374" s="12">
        <f t="shared" si="84"/>
        <v>2049.2288234724042</v>
      </c>
      <c r="I374" s="12">
        <f t="shared" si="85"/>
        <v>4101.5461028900681</v>
      </c>
      <c r="K374">
        <f t="shared" si="81"/>
        <v>596000</v>
      </c>
      <c r="L374" s="12">
        <v>1119.7246247853639</v>
      </c>
      <c r="M374" s="12">
        <f t="shared" si="80"/>
        <v>1120.4877145687747</v>
      </c>
      <c r="N374" s="12">
        <f t="shared" si="82"/>
        <v>0.58230601754595002</v>
      </c>
      <c r="R374" s="2">
        <f t="shared" si="83"/>
        <v>0.88731415829055593</v>
      </c>
      <c r="V374">
        <v>372</v>
      </c>
      <c r="W374">
        <f t="shared" si="77"/>
        <v>0.40669564444793294</v>
      </c>
      <c r="X374">
        <f>SUM($W$3:W374)</f>
        <v>177.94591904872186</v>
      </c>
      <c r="Y374" s="4">
        <f t="shared" ref="Y374:Y437" si="86">X374/V374</f>
        <v>0.47834924475462864</v>
      </c>
      <c r="AA374">
        <v>372</v>
      </c>
      <c r="AB374">
        <f t="shared" si="78"/>
        <v>0.40669564444793294</v>
      </c>
      <c r="AC374">
        <f>SUM($AB$3:AB374)</f>
        <v>174.74966962022492</v>
      </c>
      <c r="AD374" s="4">
        <f t="shared" si="79"/>
        <v>0.4697571763984541</v>
      </c>
    </row>
    <row r="375" spans="6:30" x14ac:dyDescent="0.25">
      <c r="F375">
        <v>598000</v>
      </c>
      <c r="G375" s="12">
        <v>2112.8115368881181</v>
      </c>
      <c r="H375" s="12">
        <f t="shared" si="84"/>
        <v>2048.1036879715894</v>
      </c>
      <c r="I375" s="12">
        <f t="shared" si="85"/>
        <v>4187.1057114043106</v>
      </c>
      <c r="K375">
        <f t="shared" si="81"/>
        <v>598000</v>
      </c>
      <c r="L375" s="12">
        <v>1118.6326673705457</v>
      </c>
      <c r="M375" s="12">
        <f t="shared" si="80"/>
        <v>1119.3932166675206</v>
      </c>
      <c r="N375" s="12">
        <f t="shared" si="82"/>
        <v>0.57843523312899425</v>
      </c>
      <c r="R375" s="2">
        <f t="shared" si="83"/>
        <v>0.88874471353897255</v>
      </c>
      <c r="V375">
        <v>373</v>
      </c>
      <c r="W375">
        <f t="shared" si="77"/>
        <v>0.40652972116771158</v>
      </c>
      <c r="X375">
        <f>SUM($W$3:W375)</f>
        <v>178.35244876988958</v>
      </c>
      <c r="Y375" s="4">
        <f t="shared" si="86"/>
        <v>0.47815669911498548</v>
      </c>
      <c r="AA375">
        <v>373</v>
      </c>
      <c r="AB375">
        <f t="shared" si="78"/>
        <v>0.40652972116771158</v>
      </c>
      <c r="AC375">
        <f>SUM($AB$3:AB375)</f>
        <v>175.15619934139264</v>
      </c>
      <c r="AD375" s="4">
        <f t="shared" si="79"/>
        <v>0.4695876657946183</v>
      </c>
    </row>
    <row r="376" spans="6:30" x14ac:dyDescent="0.25">
      <c r="F376">
        <v>600000</v>
      </c>
      <c r="G376" s="12">
        <v>2112.3531334379263</v>
      </c>
      <c r="H376" s="12">
        <f t="shared" si="84"/>
        <v>2046.9829238596544</v>
      </c>
      <c r="I376" s="12">
        <f t="shared" si="85"/>
        <v>4273.2643003071908</v>
      </c>
      <c r="K376">
        <f t="shared" si="81"/>
        <v>600000</v>
      </c>
      <c r="L376" s="12">
        <v>1117.545461095443</v>
      </c>
      <c r="M376" s="12">
        <f t="shared" si="80"/>
        <v>1118.303436953652</v>
      </c>
      <c r="N376" s="12">
        <f t="shared" si="82"/>
        <v>0.57452740162761751</v>
      </c>
      <c r="R376" s="2">
        <f t="shared" si="83"/>
        <v>0.89017199476373032</v>
      </c>
      <c r="V376">
        <v>374</v>
      </c>
      <c r="W376">
        <f t="shared" si="77"/>
        <v>0.40636430954867803</v>
      </c>
      <c r="X376">
        <f>SUM($W$3:W376)</f>
        <v>178.75881307943826</v>
      </c>
      <c r="Y376" s="4">
        <f t="shared" si="86"/>
        <v>0.477964740854113</v>
      </c>
      <c r="AA376">
        <v>374</v>
      </c>
      <c r="AB376">
        <f t="shared" si="78"/>
        <v>0.40636430954867803</v>
      </c>
      <c r="AC376">
        <f>SUM($AB$3:AB376)</f>
        <v>175.56256365094131</v>
      </c>
      <c r="AD376" s="4">
        <f t="shared" si="79"/>
        <v>0.46941861938754365</v>
      </c>
    </row>
    <row r="377" spans="6:30" x14ac:dyDescent="0.25">
      <c r="F377">
        <v>602000</v>
      </c>
      <c r="G377" s="12">
        <v>2111.8969096061037</v>
      </c>
      <c r="H377" s="12">
        <f t="shared" si="84"/>
        <v>2045.8664996662001</v>
      </c>
      <c r="I377" s="12">
        <f t="shared" si="85"/>
        <v>4360.0150368317227</v>
      </c>
      <c r="K377">
        <f t="shared" si="81"/>
        <v>602000</v>
      </c>
      <c r="L377" s="12">
        <v>1116.4629694983391</v>
      </c>
      <c r="M377" s="12">
        <f t="shared" si="80"/>
        <v>1117.2183394619947</v>
      </c>
      <c r="N377" s="12">
        <f t="shared" si="82"/>
        <v>0.57058378199297077</v>
      </c>
      <c r="R377" s="2">
        <f t="shared" si="83"/>
        <v>0.89159602002298688</v>
      </c>
      <c r="V377">
        <v>375</v>
      </c>
      <c r="W377">
        <f t="shared" si="77"/>
        <v>0.40619940665124676</v>
      </c>
      <c r="X377">
        <f>SUM($W$3:W377)</f>
        <v>179.16501248608949</v>
      </c>
      <c r="Y377" s="4">
        <f t="shared" si="86"/>
        <v>0.47777336662957198</v>
      </c>
      <c r="AA377">
        <v>375</v>
      </c>
      <c r="AB377">
        <f t="shared" si="78"/>
        <v>0.40619940665124676</v>
      </c>
      <c r="AC377">
        <f>SUM($AB$3:AB377)</f>
        <v>175.96876305759255</v>
      </c>
      <c r="AD377" s="4">
        <f t="shared" si="79"/>
        <v>0.4692500348202468</v>
      </c>
    </row>
    <row r="378" spans="6:30" x14ac:dyDescent="0.25">
      <c r="F378">
        <v>604000</v>
      </c>
      <c r="G378" s="12">
        <v>2111.4428478079481</v>
      </c>
      <c r="H378" s="12">
        <f t="shared" si="84"/>
        <v>2044.7543842509901</v>
      </c>
      <c r="I378" s="12">
        <f t="shared" si="85"/>
        <v>4447.3511715877039</v>
      </c>
      <c r="K378">
        <f t="shared" si="81"/>
        <v>604000</v>
      </c>
      <c r="L378" s="12">
        <v>1115.3851565175421</v>
      </c>
      <c r="M378" s="12">
        <f t="shared" si="80"/>
        <v>1116.1378886198474</v>
      </c>
      <c r="N378" s="12">
        <f t="shared" si="82"/>
        <v>0.56660561784102381</v>
      </c>
      <c r="R378" s="2">
        <f t="shared" si="83"/>
        <v>0.89301680721688936</v>
      </c>
      <c r="V378">
        <v>376</v>
      </c>
      <c r="W378">
        <f t="shared" si="77"/>
        <v>0.40603500956050254</v>
      </c>
      <c r="X378">
        <f>SUM($W$3:W378)</f>
        <v>179.57104749564999</v>
      </c>
      <c r="Y378" s="4">
        <f t="shared" si="86"/>
        <v>0.47758257312672869</v>
      </c>
      <c r="AA378">
        <v>376</v>
      </c>
      <c r="AB378">
        <f t="shared" si="78"/>
        <v>0.40603500956050254</v>
      </c>
      <c r="AC378">
        <f>SUM($AB$3:AB378)</f>
        <v>176.37479806715305</v>
      </c>
      <c r="AD378" s="4">
        <f t="shared" si="79"/>
        <v>0.46908190975306663</v>
      </c>
    </row>
    <row r="379" spans="6:30" x14ac:dyDescent="0.25">
      <c r="F379">
        <v>606000</v>
      </c>
      <c r="G379" s="12">
        <v>2110.990930658405</v>
      </c>
      <c r="H379" s="12">
        <f t="shared" si="84"/>
        <v>2043.6465467994053</v>
      </c>
      <c r="I379" s="12">
        <f t="shared" si="85"/>
        <v>4535.266037348294</v>
      </c>
      <c r="K379">
        <f t="shared" si="81"/>
        <v>606000</v>
      </c>
      <c r="L379" s="12">
        <v>1114.3119864856828</v>
      </c>
      <c r="M379" s="12">
        <f t="shared" si="80"/>
        <v>1115.0620492414141</v>
      </c>
      <c r="N379" s="12">
        <f t="shared" si="82"/>
        <v>0.56259413753519916</v>
      </c>
      <c r="R379" s="2">
        <f t="shared" si="83"/>
        <v>0.89443437408947579</v>
      </c>
      <c r="V379">
        <v>377</v>
      </c>
      <c r="W379">
        <f t="shared" si="77"/>
        <v>0.40587111538592857</v>
      </c>
      <c r="X379">
        <f>SUM($W$3:W379)</f>
        <v>179.97691861103593</v>
      </c>
      <c r="Y379" s="4">
        <f t="shared" si="86"/>
        <v>0.47739235705845073</v>
      </c>
      <c r="AA379">
        <v>377</v>
      </c>
      <c r="AB379">
        <f t="shared" si="78"/>
        <v>0.40587111538592857</v>
      </c>
      <c r="AC379">
        <f>SUM($AB$3:AB379)</f>
        <v>176.78066918253899</v>
      </c>
      <c r="AD379" s="4">
        <f t="shared" si="79"/>
        <v>0.46891424186349862</v>
      </c>
    </row>
    <row r="380" spans="6:30" x14ac:dyDescent="0.25">
      <c r="F380">
        <v>608000</v>
      </c>
      <c r="G380" s="12">
        <v>2110.5411409691469</v>
      </c>
      <c r="H380" s="12">
        <f t="shared" si="84"/>
        <v>2042.5429568179775</v>
      </c>
      <c r="I380" s="12">
        <f t="shared" si="85"/>
        <v>4623.7530478563485</v>
      </c>
      <c r="K380">
        <f t="shared" si="81"/>
        <v>608000</v>
      </c>
      <c r="L380" s="12">
        <v>1113.2434241241183</v>
      </c>
      <c r="M380" s="12">
        <f t="shared" si="80"/>
        <v>1113.9907865223374</v>
      </c>
      <c r="N380" s="12">
        <f t="shared" si="82"/>
        <v>0.55855055427186207</v>
      </c>
      <c r="R380" s="2">
        <f t="shared" si="83"/>
        <v>0.89584873823053224</v>
      </c>
      <c r="V380">
        <v>378</v>
      </c>
      <c r="W380">
        <f t="shared" si="77"/>
        <v>0.40570772126113797</v>
      </c>
      <c r="X380">
        <f>SUM($W$3:W380)</f>
        <v>180.38262633229706</v>
      </c>
      <c r="Y380" s="4">
        <f t="shared" si="86"/>
        <v>0.47720271516480706</v>
      </c>
      <c r="AA380">
        <v>378</v>
      </c>
      <c r="AB380">
        <f t="shared" si="78"/>
        <v>0.40570772126113797</v>
      </c>
      <c r="AC380">
        <f>SUM($AB$3:AB380)</f>
        <v>177.18637690380012</v>
      </c>
      <c r="AD380" s="4">
        <f t="shared" si="79"/>
        <v>0.46874702884603209</v>
      </c>
    </row>
    <row r="381" spans="6:30" x14ac:dyDescent="0.25">
      <c r="F381">
        <v>610000</v>
      </c>
      <c r="G381" s="12">
        <v>2110.0934617457092</v>
      </c>
      <c r="H381" s="12">
        <f t="shared" si="84"/>
        <v>2041.4435841300012</v>
      </c>
      <c r="I381" s="12">
        <f t="shared" si="85"/>
        <v>4712.8056966516815</v>
      </c>
      <c r="K381">
        <f t="shared" si="81"/>
        <v>610000</v>
      </c>
      <c r="L381" s="12">
        <v>1112.1794345374312</v>
      </c>
      <c r="M381" s="12">
        <f t="shared" si="80"/>
        <v>1112.9240660343246</v>
      </c>
      <c r="N381" s="12">
        <f t="shared" si="82"/>
        <v>0.55447606616564904</v>
      </c>
      <c r="R381" s="2">
        <f t="shared" si="83"/>
        <v>0.89725991707742958</v>
      </c>
      <c r="V381">
        <v>379</v>
      </c>
      <c r="W381">
        <f t="shared" si="77"/>
        <v>0.40554482434360967</v>
      </c>
      <c r="X381">
        <f>SUM($W$3:W381)</f>
        <v>180.78817115664069</v>
      </c>
      <c r="Y381" s="4">
        <f t="shared" si="86"/>
        <v>0.47701364421277226</v>
      </c>
      <c r="AA381">
        <v>379</v>
      </c>
      <c r="AB381">
        <f t="shared" si="78"/>
        <v>0.40554482434360967</v>
      </c>
      <c r="AC381">
        <f>SUM($AB$3:AB381)</f>
        <v>177.59192172814375</v>
      </c>
      <c r="AD381" s="4">
        <f t="shared" si="79"/>
        <v>0.4685802684119888</v>
      </c>
    </row>
    <row r="382" spans="6:30" x14ac:dyDescent="0.25">
      <c r="F382">
        <v>612000</v>
      </c>
      <c r="G382" s="12">
        <v>2109.6478761846752</v>
      </c>
      <c r="H382" s="12">
        <f t="shared" si="84"/>
        <v>2040.3483988712142</v>
      </c>
      <c r="I382" s="12">
        <f t="shared" si="85"/>
        <v>4802.4175559188971</v>
      </c>
      <c r="K382">
        <f t="shared" si="81"/>
        <v>612000</v>
      </c>
      <c r="L382" s="12">
        <v>1111.1199832080235</v>
      </c>
      <c r="M382" s="12">
        <f t="shared" si="80"/>
        <v>1111.8618537198663</v>
      </c>
      <c r="N382" s="12">
        <f t="shared" si="82"/>
        <v>0.55037185634184227</v>
      </c>
      <c r="R382" s="2">
        <f t="shared" si="83"/>
        <v>0.89866792791693273</v>
      </c>
      <c r="V382">
        <v>380</v>
      </c>
      <c r="W382">
        <f t="shared" si="77"/>
        <v>0.40538242181442646</v>
      </c>
      <c r="X382">
        <f>SUM($W$3:W382)</f>
        <v>181.19355357845512</v>
      </c>
      <c r="Y382" s="4">
        <f t="shared" si="86"/>
        <v>0.47682514099593454</v>
      </c>
      <c r="AA382">
        <v>380</v>
      </c>
      <c r="AB382">
        <f t="shared" si="78"/>
        <v>0.40538242181442646</v>
      </c>
      <c r="AC382">
        <f>SUM($AB$3:AB382)</f>
        <v>177.99730414995818</v>
      </c>
      <c r="AD382" s="4">
        <f t="shared" si="79"/>
        <v>0.46841395828936366</v>
      </c>
    </row>
    <row r="383" spans="6:30" x14ac:dyDescent="0.25">
      <c r="F383">
        <v>614000</v>
      </c>
      <c r="G383" s="12">
        <v>2109.2043676709086</v>
      </c>
      <c r="H383" s="12">
        <f t="shared" si="84"/>
        <v>2039.257371485556</v>
      </c>
      <c r="I383" s="12">
        <f t="shared" si="85"/>
        <v>4892.5822753537377</v>
      </c>
      <c r="K383">
        <f t="shared" si="81"/>
        <v>614000</v>
      </c>
      <c r="L383" s="12">
        <v>1110.065035990807</v>
      </c>
      <c r="M383" s="12">
        <f t="shared" si="80"/>
        <v>1110.8041158870478</v>
      </c>
      <c r="N383" s="12">
        <f t="shared" si="82"/>
        <v>0.54623909302732621</v>
      </c>
      <c r="R383" s="2">
        <f t="shared" si="83"/>
        <v>0.90007278788697564</v>
      </c>
      <c r="V383">
        <v>381</v>
      </c>
      <c r="W383">
        <f t="shared" si="77"/>
        <v>0.4052205108780183</v>
      </c>
      <c r="X383">
        <f>SUM($W$3:W383)</f>
        <v>181.59877408933315</v>
      </c>
      <c r="Y383" s="4">
        <f t="shared" si="86"/>
        <v>0.47663720233420775</v>
      </c>
      <c r="AA383">
        <v>381</v>
      </c>
      <c r="AB383">
        <f t="shared" si="78"/>
        <v>0.4052205108780183</v>
      </c>
      <c r="AC383">
        <f>SUM($AB$3:AB383)</f>
        <v>178.40252466083621</v>
      </c>
      <c r="AD383" s="4">
        <f t="shared" si="79"/>
        <v>0.46824809622266722</v>
      </c>
    </row>
    <row r="384" spans="6:30" x14ac:dyDescent="0.25">
      <c r="F384">
        <v>616000</v>
      </c>
      <c r="G384" s="12">
        <v>2108.7629197748447</v>
      </c>
      <c r="H384" s="12">
        <f t="shared" si="84"/>
        <v>2038.1704727209947</v>
      </c>
      <c r="I384" s="12">
        <f t="shared" si="85"/>
        <v>4983.2935810506206</v>
      </c>
      <c r="K384">
        <f t="shared" si="81"/>
        <v>616000</v>
      </c>
      <c r="L384" s="12">
        <v>1109.0145591079829</v>
      </c>
      <c r="M384" s="12">
        <f t="shared" si="80"/>
        <v>1109.750819204449</v>
      </c>
      <c r="N384" s="12">
        <f t="shared" si="82"/>
        <v>0.54207892964832927</v>
      </c>
      <c r="R384" s="2">
        <f t="shared" si="83"/>
        <v>0.90147451397842104</v>
      </c>
      <c r="V384">
        <v>382</v>
      </c>
      <c r="W384">
        <f t="shared" si="77"/>
        <v>0.40505908876190805</v>
      </c>
      <c r="X384">
        <f>SUM($W$3:W384)</f>
        <v>182.00383317809505</v>
      </c>
      <c r="Y384" s="4">
        <f t="shared" si="86"/>
        <v>0.47644982507354727</v>
      </c>
      <c r="AA384">
        <v>382</v>
      </c>
      <c r="AB384">
        <f t="shared" si="78"/>
        <v>0.40505908876190805</v>
      </c>
      <c r="AC384">
        <f>SUM($AB$3:AB384)</f>
        <v>178.80758374959811</v>
      </c>
      <c r="AD384" s="4">
        <f t="shared" si="79"/>
        <v>0.46808267997276992</v>
      </c>
    </row>
    <row r="385" spans="6:30" x14ac:dyDescent="0.25">
      <c r="F385">
        <v>618000</v>
      </c>
      <c r="G385" s="12">
        <v>2108.3235162498136</v>
      </c>
      <c r="H385" s="12">
        <f t="shared" si="84"/>
        <v>2037.0876736254263</v>
      </c>
      <c r="I385" s="12">
        <f t="shared" si="85"/>
        <v>5074.5452744064687</v>
      </c>
      <c r="K385">
        <f t="shared" si="81"/>
        <v>618000</v>
      </c>
      <c r="L385" s="12">
        <v>1107.9685191439105</v>
      </c>
      <c r="M385" s="12">
        <f t="shared" si="80"/>
        <v>1108.7019306961311</v>
      </c>
      <c r="N385" s="12">
        <f t="shared" si="82"/>
        <v>0.53789250493057017</v>
      </c>
      <c r="R385" s="2">
        <f t="shared" si="83"/>
        <v>0.90287312303678391</v>
      </c>
      <c r="V385">
        <v>383</v>
      </c>
      <c r="W385">
        <f t="shared" si="77"/>
        <v>0.40489815271646051</v>
      </c>
      <c r="X385">
        <f>SUM($W$3:W385)</f>
        <v>182.40873133081152</v>
      </c>
      <c r="Y385" s="4">
        <f t="shared" si="86"/>
        <v>0.47626300608566974</v>
      </c>
      <c r="AA385">
        <v>383</v>
      </c>
      <c r="AB385">
        <f t="shared" si="78"/>
        <v>0.40489815271646051</v>
      </c>
      <c r="AC385">
        <f>SUM($AB$3:AB385)</f>
        <v>179.21248190231458</v>
      </c>
      <c r="AD385" s="4">
        <f t="shared" si="79"/>
        <v>0.46791770731674825</v>
      </c>
    </row>
    <row r="386" spans="6:30" x14ac:dyDescent="0.25">
      <c r="F386">
        <v>620000</v>
      </c>
      <c r="G386" s="12">
        <v>2107.8861410294262</v>
      </c>
      <c r="H386" s="12">
        <f t="shared" si="84"/>
        <v>2036.0089455426373</v>
      </c>
      <c r="I386" s="12">
        <f t="shared" si="85"/>
        <v>5166.3312310460633</v>
      </c>
      <c r="K386">
        <f t="shared" si="81"/>
        <v>620000</v>
      </c>
      <c r="L386" s="12">
        <v>1106.9268830400679</v>
      </c>
      <c r="M386" s="12">
        <f t="shared" si="80"/>
        <v>1107.6574177367099</v>
      </c>
      <c r="N386" s="12">
        <f t="shared" si="82"/>
        <v>0.53368094299789637</v>
      </c>
      <c r="R386" s="2">
        <f t="shared" si="83"/>
        <v>0.90426863176393391</v>
      </c>
      <c r="V386">
        <v>384</v>
      </c>
      <c r="W386">
        <f t="shared" si="77"/>
        <v>0.40473770001463555</v>
      </c>
      <c r="X386">
        <f>SUM($W$3:W386)</f>
        <v>182.81346903082616</v>
      </c>
      <c r="Y386" s="4">
        <f t="shared" si="86"/>
        <v>0.47607674226777646</v>
      </c>
      <c r="AA386">
        <v>384</v>
      </c>
      <c r="AB386">
        <f t="shared" si="78"/>
        <v>0.40473770001463555</v>
      </c>
      <c r="AC386">
        <f>SUM($AB$3:AB386)</f>
        <v>179.61721960232921</v>
      </c>
      <c r="AD386" s="4">
        <f t="shared" si="79"/>
        <v>0.46775317604773231</v>
      </c>
    </row>
    <row r="387" spans="6:30" x14ac:dyDescent="0.25">
      <c r="F387">
        <v>622000</v>
      </c>
      <c r="G387" s="12">
        <v>2107.4507782249916</v>
      </c>
      <c r="H387" s="12">
        <f t="shared" si="84"/>
        <v>2034.9342601083404</v>
      </c>
      <c r="I387" s="12">
        <f t="shared" si="85"/>
        <v>5258.6453997626077</v>
      </c>
      <c r="K387">
        <f t="shared" si="81"/>
        <v>622000</v>
      </c>
      <c r="L387" s="12">
        <v>1105.8896180900936</v>
      </c>
      <c r="M387" s="12">
        <f t="shared" si="80"/>
        <v>1106.6172480465134</v>
      </c>
      <c r="N387" s="12">
        <f t="shared" si="82"/>
        <v>0.52944535347952737</v>
      </c>
      <c r="R387" s="2">
        <f t="shared" si="83"/>
        <v>0.90566105671977093</v>
      </c>
      <c r="V387">
        <v>385</v>
      </c>
      <c r="W387">
        <f t="shared" si="77"/>
        <v>0.40457772795174396</v>
      </c>
      <c r="X387">
        <f>SUM($W$3:W387)</f>
        <v>183.21804675877789</v>
      </c>
      <c r="Y387" s="4">
        <f t="shared" si="86"/>
        <v>0.47589103054228021</v>
      </c>
      <c r="AA387">
        <v>385</v>
      </c>
      <c r="AB387">
        <f t="shared" si="78"/>
        <v>0.40457772795174396</v>
      </c>
      <c r="AC387">
        <f>SUM($AB$3:AB387)</f>
        <v>180.02179733028095</v>
      </c>
      <c r="AD387" s="4">
        <f t="shared" si="79"/>
        <v>0.46758908397475568</v>
      </c>
    </row>
    <row r="388" spans="6:30" x14ac:dyDescent="0.25">
      <c r="F388">
        <v>624000</v>
      </c>
      <c r="G388" s="12">
        <v>2107.0174121229961</v>
      </c>
      <c r="H388" s="12">
        <f t="shared" si="84"/>
        <v>2033.863589246271</v>
      </c>
      <c r="I388" s="12">
        <f t="shared" si="85"/>
        <v>5351.4818014792754</v>
      </c>
      <c r="K388">
        <f t="shared" si="81"/>
        <v>624000</v>
      </c>
      <c r="L388" s="12">
        <v>1104.8566919349184</v>
      </c>
      <c r="M388" s="12">
        <f t="shared" si="80"/>
        <v>1105.5813896868194</v>
      </c>
      <c r="N388" s="12">
        <f t="shared" si="82"/>
        <v>0.52518683161032864</v>
      </c>
      <c r="R388" s="2">
        <f t="shared" si="83"/>
        <v>0.90705041432387867</v>
      </c>
      <c r="V388">
        <v>386</v>
      </c>
      <c r="W388">
        <f t="shared" ref="W388:W451" si="87">V388^(-$D$5)</f>
        <v>0.40441823384520698</v>
      </c>
      <c r="X388">
        <f>SUM($W$3:W388)</f>
        <v>183.62246499262309</v>
      </c>
      <c r="Y388" s="4">
        <f t="shared" si="86"/>
        <v>0.47570586785653651</v>
      </c>
      <c r="AA388">
        <v>386</v>
      </c>
      <c r="AB388">
        <f t="shared" ref="AB388:AB451" si="88">AA388^(-$D$5)</f>
        <v>0.40441823384520698</v>
      </c>
      <c r="AC388">
        <f>SUM($AB$3:AB388)</f>
        <v>180.42621556412615</v>
      </c>
      <c r="AD388" s="4">
        <f t="shared" si="79"/>
        <v>0.46742542892260663</v>
      </c>
    </row>
    <row r="389" spans="6:30" x14ac:dyDescent="0.25">
      <c r="F389">
        <v>626000</v>
      </c>
      <c r="G389" s="12">
        <v>2106.5860271826073</v>
      </c>
      <c r="H389" s="12">
        <f t="shared" si="84"/>
        <v>2032.7969051643549</v>
      </c>
      <c r="I389" s="12">
        <f t="shared" si="85"/>
        <v>5444.8345282245309</v>
      </c>
      <c r="K389">
        <f t="shared" si="81"/>
        <v>626000</v>
      </c>
      <c r="L389" s="12">
        <v>1103.8280725579741</v>
      </c>
      <c r="M389" s="12">
        <f t="shared" si="80"/>
        <v>1104.5498110551766</v>
      </c>
      <c r="N389" s="12">
        <f t="shared" si="82"/>
        <v>0.52090645834415616</v>
      </c>
      <c r="R389" s="2">
        <f t="shared" si="83"/>
        <v>0.9084367208571491</v>
      </c>
      <c r="V389">
        <v>387</v>
      </c>
      <c r="W389">
        <f t="shared" si="87"/>
        <v>0.40425921503431855</v>
      </c>
      <c r="X389">
        <f>SUM($W$3:W389)</f>
        <v>184.02672420765742</v>
      </c>
      <c r="Y389" s="4">
        <f t="shared" si="86"/>
        <v>0.47552125118257732</v>
      </c>
      <c r="AA389">
        <v>387</v>
      </c>
      <c r="AB389">
        <f t="shared" si="88"/>
        <v>0.40425921503431855</v>
      </c>
      <c r="AC389">
        <f>SUM($AB$3:AB389)</f>
        <v>180.83047477916048</v>
      </c>
      <c r="AD389" s="4">
        <f t="shared" si="79"/>
        <v>0.46726220873168084</v>
      </c>
    </row>
    <row r="390" spans="6:30" x14ac:dyDescent="0.25">
      <c r="F390">
        <v>628000</v>
      </c>
      <c r="G390" s="12">
        <v>2106.1566080332377</v>
      </c>
      <c r="H390" s="12">
        <f t="shared" si="84"/>
        <v>2031.7341803509273</v>
      </c>
      <c r="I390" s="12">
        <f t="shared" si="85"/>
        <v>5538.6977421287211</v>
      </c>
      <c r="K390">
        <f t="shared" si="81"/>
        <v>628000</v>
      </c>
      <c r="L390" s="12">
        <v>1102.8037282804885</v>
      </c>
      <c r="M390" s="12">
        <f t="shared" si="80"/>
        <v>1103.5224808808032</v>
      </c>
      <c r="N390" s="12">
        <f t="shared" si="82"/>
        <v>0.51660530045914477</v>
      </c>
      <c r="R390" s="2">
        <f t="shared" si="83"/>
        <v>0.90981999246338718</v>
      </c>
      <c r="V390">
        <v>388</v>
      </c>
      <c r="W390">
        <f t="shared" si="87"/>
        <v>0.40410066888001117</v>
      </c>
      <c r="X390">
        <f>SUM($W$3:W390)</f>
        <v>184.43082487653743</v>
      </c>
      <c r="Y390" s="4">
        <f t="shared" si="86"/>
        <v>0.47533717751684906</v>
      </c>
      <c r="AA390">
        <v>388</v>
      </c>
      <c r="AB390">
        <f t="shared" si="88"/>
        <v>0.40410066888001117</v>
      </c>
      <c r="AC390">
        <f>SUM($AB$3:AB390)</f>
        <v>181.23457544804049</v>
      </c>
      <c r="AD390" s="4">
        <f t="shared" ref="AD390:AD453" si="89">AC390/AA390</f>
        <v>0.46709942125783632</v>
      </c>
    </row>
    <row r="391" spans="6:30" x14ac:dyDescent="0.25">
      <c r="F391">
        <v>630000</v>
      </c>
      <c r="G391" s="12">
        <v>2105.7291394721424</v>
      </c>
      <c r="H391" s="12">
        <f t="shared" si="84"/>
        <v>2030.675387571029</v>
      </c>
      <c r="I391" s="12">
        <f t="shared" si="85"/>
        <v>5633.065674433883</v>
      </c>
      <c r="K391">
        <f t="shared" si="81"/>
        <v>630000</v>
      </c>
      <c r="L391" s="12">
        <v>1101.7836277568556</v>
      </c>
      <c r="M391" s="12">
        <f t="shared" si="80"/>
        <v>1102.4993682200616</v>
      </c>
      <c r="N391" s="12">
        <f t="shared" si="82"/>
        <v>0.51228441067030395</v>
      </c>
      <c r="R391" s="2">
        <f t="shared" si="83"/>
        <v>0.91120024515089271</v>
      </c>
      <c r="V391">
        <v>389</v>
      </c>
      <c r="W391">
        <f t="shared" si="87"/>
        <v>0.40394259276462469</v>
      </c>
      <c r="X391">
        <f>SUM($W$3:W391)</f>
        <v>184.83476746930205</v>
      </c>
      <c r="Y391" s="4">
        <f t="shared" si="86"/>
        <v>0.47515364387995385</v>
      </c>
      <c r="AA391">
        <v>389</v>
      </c>
      <c r="AB391">
        <f t="shared" si="88"/>
        <v>0.40394259276462469</v>
      </c>
      <c r="AC391">
        <f>SUM($AB$3:AB391)</f>
        <v>181.63851804080511</v>
      </c>
      <c r="AD391" s="4">
        <f t="shared" si="89"/>
        <v>0.46693706437224963</v>
      </c>
    </row>
    <row r="392" spans="6:30" x14ac:dyDescent="0.25">
      <c r="F392">
        <v>632000</v>
      </c>
      <c r="G392" s="12">
        <v>2105.3036064620546</v>
      </c>
      <c r="H392" s="12">
        <f t="shared" si="84"/>
        <v>2029.6204998627491</v>
      </c>
      <c r="I392" s="12">
        <f t="shared" si="85"/>
        <v>5727.9326245218508</v>
      </c>
      <c r="K392">
        <f t="shared" si="81"/>
        <v>632000</v>
      </c>
      <c r="L392" s="12">
        <v>1100.7677399700867</v>
      </c>
      <c r="M392" s="12">
        <f t="shared" si="80"/>
        <v>1101.4804424520125</v>
      </c>
      <c r="N392" s="12">
        <f t="shared" si="82"/>
        <v>0.50794482774321914</v>
      </c>
      <c r="R392" s="2">
        <f t="shared" si="83"/>
        <v>0.91257749479401173</v>
      </c>
      <c r="V392">
        <v>390</v>
      </c>
      <c r="W392">
        <f t="shared" si="87"/>
        <v>0.40378498409167807</v>
      </c>
      <c r="X392">
        <f>SUM($W$3:W392)</f>
        <v>185.23855245339374</v>
      </c>
      <c r="Y392" s="4">
        <f t="shared" si="86"/>
        <v>0.47497064731639421</v>
      </c>
      <c r="AA392">
        <v>390</v>
      </c>
      <c r="AB392">
        <f t="shared" si="88"/>
        <v>0.40378498409167807</v>
      </c>
      <c r="AC392">
        <f>SUM($AB$3:AB392)</f>
        <v>182.0423030248968</v>
      </c>
      <c r="AD392" s="4">
        <f t="shared" si="89"/>
        <v>0.46677513596127385</v>
      </c>
    </row>
    <row r="393" spans="6:30" x14ac:dyDescent="0.25">
      <c r="F393">
        <v>634000</v>
      </c>
      <c r="G393" s="12">
        <v>2104.879994128873</v>
      </c>
      <c r="H393" s="12">
        <f t="shared" si="84"/>
        <v>2028.5694905336375</v>
      </c>
      <c r="I393" s="12">
        <f t="shared" si="85"/>
        <v>5823.2929589584592</v>
      </c>
      <c r="K393">
        <f t="shared" si="81"/>
        <v>634000</v>
      </c>
      <c r="L393" s="12">
        <v>1099.7560342273375</v>
      </c>
      <c r="M393" s="12">
        <f t="shared" si="80"/>
        <v>1100.4656732740386</v>
      </c>
      <c r="N393" s="12">
        <f t="shared" si="82"/>
        <v>0.50358757660286491</v>
      </c>
      <c r="R393" s="2">
        <f t="shared" si="83"/>
        <v>0.9139517571346738</v>
      </c>
      <c r="V393">
        <v>391</v>
      </c>
      <c r="W393">
        <f t="shared" si="87"/>
        <v>0.40362784028564419</v>
      </c>
      <c r="X393">
        <f>SUM($W$3:W393)</f>
        <v>185.64218029367939</v>
      </c>
      <c r="Y393" s="4">
        <f t="shared" si="86"/>
        <v>0.47478818489432068</v>
      </c>
      <c r="AA393">
        <v>391</v>
      </c>
      <c r="AB393">
        <f t="shared" si="88"/>
        <v>0.40362784028564419</v>
      </c>
      <c r="AC393">
        <f>SUM($AB$3:AB393)</f>
        <v>182.44593086518245</v>
      </c>
      <c r="AD393" s="4">
        <f t="shared" si="89"/>
        <v>0.46661363392629784</v>
      </c>
    </row>
    <row r="394" spans="6:30" x14ac:dyDescent="0.25">
      <c r="F394">
        <v>636000</v>
      </c>
      <c r="G394" s="12">
        <v>2104.4582877593798</v>
      </c>
      <c r="H394" s="12">
        <f t="shared" si="84"/>
        <v>2027.5223331571713</v>
      </c>
      <c r="I394" s="12">
        <f t="shared" si="85"/>
        <v>5919.1411105530933</v>
      </c>
      <c r="K394">
        <f t="shared" si="81"/>
        <v>636000</v>
      </c>
      <c r="L394" s="12">
        <v>1098.7484801555077</v>
      </c>
      <c r="M394" s="12">
        <f t="shared" si="80"/>
        <v>1099.4550306975464</v>
      </c>
      <c r="N394" s="12">
        <f t="shared" si="82"/>
        <v>0.49921366845519854</v>
      </c>
      <c r="R394" s="2">
        <f t="shared" si="83"/>
        <v>0.9153230477839045</v>
      </c>
      <c r="V394">
        <v>392</v>
      </c>
      <c r="W394">
        <f t="shared" si="87"/>
        <v>0.40347115879172796</v>
      </c>
      <c r="X394">
        <f>SUM($W$3:W394)</f>
        <v>186.04565145247111</v>
      </c>
      <c r="Y394" s="4">
        <f t="shared" si="86"/>
        <v>0.47460625370528342</v>
      </c>
      <c r="AA394">
        <v>392</v>
      </c>
      <c r="AB394">
        <f t="shared" si="88"/>
        <v>0.40347115879172796</v>
      </c>
      <c r="AC394">
        <f>SUM($AB$3:AB394)</f>
        <v>182.84940202397416</v>
      </c>
      <c r="AD394" s="4">
        <f t="shared" si="89"/>
        <v>0.46645255618360754</v>
      </c>
    </row>
    <row r="395" spans="6:30" x14ac:dyDescent="0.25">
      <c r="F395">
        <v>638000</v>
      </c>
      <c r="G395" s="12">
        <v>2104.038472798999</v>
      </c>
      <c r="H395" s="12">
        <f t="shared" si="84"/>
        <v>2026.479001569277</v>
      </c>
      <c r="I395" s="12">
        <f t="shared" si="85"/>
        <v>6015.4715774340775</v>
      </c>
      <c r="K395">
        <f t="shared" si="81"/>
        <v>638000</v>
      </c>
      <c r="L395" s="12">
        <v>1097.7450476969166</v>
      </c>
      <c r="M395" s="12">
        <f t="shared" si="80"/>
        <v>1098.4484850437345</v>
      </c>
      <c r="N395" s="12">
        <f t="shared" si="82"/>
        <v>0.49482410089829626</v>
      </c>
      <c r="R395" s="2">
        <f t="shared" si="83"/>
        <v>0.91669138222331248</v>
      </c>
      <c r="V395">
        <v>393</v>
      </c>
      <c r="W395">
        <f t="shared" si="87"/>
        <v>0.40331493707564664</v>
      </c>
      <c r="X395">
        <f>SUM($W$3:W395)</f>
        <v>186.44896638954674</v>
      </c>
      <c r="Y395" s="4">
        <f t="shared" si="86"/>
        <v>0.47442485086398661</v>
      </c>
      <c r="AA395">
        <v>393</v>
      </c>
      <c r="AB395">
        <f t="shared" si="88"/>
        <v>0.40331493707564664</v>
      </c>
      <c r="AC395">
        <f>SUM($AB$3:AB395)</f>
        <v>183.2527169610498</v>
      </c>
      <c r="AD395" s="4">
        <f t="shared" si="89"/>
        <v>0.46629190066424886</v>
      </c>
    </row>
    <row r="396" spans="6:30" x14ac:dyDescent="0.25">
      <c r="F396">
        <v>640000</v>
      </c>
      <c r="G396" s="12">
        <v>2103.6205348495964</v>
      </c>
      <c r="H396" s="12">
        <f t="shared" si="84"/>
        <v>2025.4394698649128</v>
      </c>
      <c r="I396" s="12">
        <f t="shared" si="85"/>
        <v>6112.2789221393268</v>
      </c>
      <c r="K396">
        <f t="shared" si="81"/>
        <v>640000</v>
      </c>
      <c r="L396" s="12">
        <v>1096.745707105048</v>
      </c>
      <c r="M396" s="12">
        <f t="shared" si="80"/>
        <v>1097.4460069394354</v>
      </c>
      <c r="N396" s="12">
        <f t="shared" si="82"/>
        <v>0.49041985804295185</v>
      </c>
      <c r="R396" s="2">
        <f t="shared" si="83"/>
        <v>0.91805677580656209</v>
      </c>
      <c r="V396">
        <v>394</v>
      </c>
      <c r="W396">
        <f t="shared" si="87"/>
        <v>0.40315917262341378</v>
      </c>
      <c r="X396">
        <f>SUM($W$3:W396)</f>
        <v>186.85212556217016</v>
      </c>
      <c r="Y396" s="4">
        <f t="shared" si="86"/>
        <v>0.47424397350804609</v>
      </c>
      <c r="AA396">
        <v>394</v>
      </c>
      <c r="AB396">
        <f t="shared" si="88"/>
        <v>0.40315917262341378</v>
      </c>
      <c r="AC396">
        <f>SUM($AB$3:AB396)</f>
        <v>183.65587613367322</v>
      </c>
      <c r="AD396" s="4">
        <f t="shared" si="89"/>
        <v>0.46613166531389144</v>
      </c>
    </row>
    <row r="397" spans="6:30" x14ac:dyDescent="0.25">
      <c r="F397">
        <v>642000</v>
      </c>
      <c r="G397" s="12">
        <v>2103.2044596673118</v>
      </c>
      <c r="H397" s="12">
        <f t="shared" si="84"/>
        <v>2024.4037123947039</v>
      </c>
      <c r="I397" s="12">
        <f t="shared" si="85"/>
        <v>6209.5577707214134</v>
      </c>
      <c r="K397">
        <f t="shared" si="81"/>
        <v>642000</v>
      </c>
      <c r="L397" s="12">
        <v>1095.7504289403705</v>
      </c>
      <c r="M397" s="12">
        <f t="shared" ref="M397:M460" si="90">IF(F397&lt;$L$72,$D$28*(F397/$D$6)^-(1-$L$71), $D$28*($L$72/$D$6)^-(1-$L$71))</f>
        <v>1096.4475673130239</v>
      </c>
      <c r="N397" s="12">
        <f t="shared" si="82"/>
        <v>0.48600191062582887</v>
      </c>
      <c r="R397" s="2">
        <f t="shared" si="83"/>
        <v>0.91941924376081241</v>
      </c>
      <c r="V397">
        <v>395</v>
      </c>
      <c r="W397">
        <f t="shared" si="87"/>
        <v>0.4030038629411255</v>
      </c>
      <c r="X397">
        <f>SUM($W$3:W397)</f>
        <v>187.25512942511128</v>
      </c>
      <c r="Y397" s="4">
        <f t="shared" si="86"/>
        <v>0.47406361879775005</v>
      </c>
      <c r="AA397">
        <v>395</v>
      </c>
      <c r="AB397">
        <f t="shared" si="88"/>
        <v>0.4030038629411255</v>
      </c>
      <c r="AC397">
        <f>SUM($AB$3:AB397)</f>
        <v>184.05887999661434</v>
      </c>
      <c r="AD397" s="4">
        <f t="shared" si="89"/>
        <v>0.46597184809269454</v>
      </c>
    </row>
    <row r="398" spans="6:30" x14ac:dyDescent="0.25">
      <c r="F398">
        <v>644000</v>
      </c>
      <c r="G398" s="12">
        <v>2102.7902331604337</v>
      </c>
      <c r="H398" s="12">
        <f t="shared" si="84"/>
        <v>2023.3717037616318</v>
      </c>
      <c r="I398" s="12">
        <f t="shared" si="85"/>
        <v>6307.302811868356</v>
      </c>
      <c r="K398">
        <f t="shared" ref="K398:K461" si="91">F398</f>
        <v>644000</v>
      </c>
      <c r="L398" s="12">
        <v>1094.7591840662187</v>
      </c>
      <c r="M398" s="12">
        <f t="shared" si="90"/>
        <v>1095.4531373903949</v>
      </c>
      <c r="N398" s="12">
        <f t="shared" ref="N398:N461" si="92">(M398-L398)^2</f>
        <v>0.48157121613514781</v>
      </c>
      <c r="R398" s="2">
        <f t="shared" ref="R398:R461" si="93">G398/L398-1</f>
        <v>0.92077880118815436</v>
      </c>
      <c r="V398">
        <v>396</v>
      </c>
      <c r="W398">
        <f t="shared" si="87"/>
        <v>0.40284900555474973</v>
      </c>
      <c r="X398">
        <f>SUM($W$3:W398)</f>
        <v>187.65797843066602</v>
      </c>
      <c r="Y398" s="4">
        <f t="shared" si="86"/>
        <v>0.47388378391582331</v>
      </c>
      <c r="AA398">
        <v>396</v>
      </c>
      <c r="AB398">
        <f t="shared" si="88"/>
        <v>0.40284900555474973</v>
      </c>
      <c r="AC398">
        <f>SUM($AB$3:AB398)</f>
        <v>184.46172900216908</v>
      </c>
      <c r="AD398" s="4">
        <f t="shared" si="89"/>
        <v>0.46581244697517443</v>
      </c>
    </row>
    <row r="399" spans="6:30" x14ac:dyDescent="0.25">
      <c r="F399">
        <v>646000</v>
      </c>
      <c r="G399" s="12">
        <v>2102.3778413873056</v>
      </c>
      <c r="H399" s="12">
        <f t="shared" si="84"/>
        <v>2022.3434188177775</v>
      </c>
      <c r="I399" s="12">
        <f t="shared" si="85"/>
        <v>6405.5087960377778</v>
      </c>
      <c r="K399">
        <f t="shared" si="91"/>
        <v>646000</v>
      </c>
      <c r="L399" s="12">
        <v>1093.7719436447512</v>
      </c>
      <c r="M399" s="12">
        <f t="shared" si="90"/>
        <v>1094.4626886910046</v>
      </c>
      <c r="N399" s="12">
        <f t="shared" si="92"/>
        <v>0.47712871892356867</v>
      </c>
      <c r="R399" s="2">
        <f t="shared" si="93"/>
        <v>0.92213546306700822</v>
      </c>
      <c r="V399">
        <v>397</v>
      </c>
      <c r="W399">
        <f t="shared" si="87"/>
        <v>0.40269459800991803</v>
      </c>
      <c r="X399">
        <f>SUM($W$3:W399)</f>
        <v>188.06067302867595</v>
      </c>
      <c r="Y399" s="4">
        <f t="shared" si="86"/>
        <v>0.47370446606719385</v>
      </c>
      <c r="AA399">
        <v>397</v>
      </c>
      <c r="AB399">
        <f t="shared" si="88"/>
        <v>0.40269459800991803</v>
      </c>
      <c r="AC399">
        <f>SUM($AB$3:AB399)</f>
        <v>184.86442360017901</v>
      </c>
      <c r="AD399" s="4">
        <f t="shared" si="89"/>
        <v>0.46565345995007307</v>
      </c>
    </row>
    <row r="400" spans="6:30" x14ac:dyDescent="0.25">
      <c r="F400">
        <v>648000</v>
      </c>
      <c r="G400" s="12">
        <v>2101.9672705542653</v>
      </c>
      <c r="H400" s="12">
        <f t="shared" si="84"/>
        <v>2021.3188326611144</v>
      </c>
      <c r="I400" s="12">
        <f t="shared" si="85"/>
        <v>6504.1705346054205</v>
      </c>
      <c r="K400">
        <f t="shared" si="91"/>
        <v>648000</v>
      </c>
      <c r="L400" s="12">
        <v>1092.788679132967</v>
      </c>
      <c r="M400" s="12">
        <f t="shared" si="90"/>
        <v>1093.4761930239781</v>
      </c>
      <c r="N400" s="12">
        <f t="shared" si="92"/>
        <v>0.4726753503332527</v>
      </c>
      <c r="R400" s="2">
        <f t="shared" si="93"/>
        <v>0.92348924425351298</v>
      </c>
      <c r="V400">
        <v>398</v>
      </c>
      <c r="W400">
        <f t="shared" si="87"/>
        <v>0.40254063787172062</v>
      </c>
      <c r="X400">
        <f>SUM($W$3:W400)</f>
        <v>188.46321366654766</v>
      </c>
      <c r="Y400" s="4">
        <f t="shared" si="86"/>
        <v>0.47352566247876299</v>
      </c>
      <c r="AA400">
        <v>398</v>
      </c>
      <c r="AB400">
        <f t="shared" si="88"/>
        <v>0.40254063787172062</v>
      </c>
      <c r="AC400">
        <f>SUM($AB$3:AB400)</f>
        <v>185.26696423805072</v>
      </c>
      <c r="AD400" s="4">
        <f t="shared" si="89"/>
        <v>0.46549488502022796</v>
      </c>
    </row>
    <row r="401" spans="6:30" x14ac:dyDescent="0.25">
      <c r="F401">
        <v>650000</v>
      </c>
      <c r="G401" s="12">
        <v>2101.5585070136303</v>
      </c>
      <c r="H401" s="12">
        <f t="shared" si="84"/>
        <v>2020.2979206323539</v>
      </c>
      <c r="I401" s="12">
        <f t="shared" si="85"/>
        <v>6603.2828990288881</v>
      </c>
      <c r="K401">
        <f t="shared" si="91"/>
        <v>650000</v>
      </c>
      <c r="L401" s="12">
        <v>1091.8093622787942</v>
      </c>
      <c r="M401" s="12">
        <f t="shared" si="90"/>
        <v>1092.4936224842802</v>
      </c>
      <c r="N401" s="12">
        <f t="shared" si="92"/>
        <v>0.46821202881174034</v>
      </c>
      <c r="R401" s="2">
        <f t="shared" si="93"/>
        <v>0.92484015948289344</v>
      </c>
      <c r="V401">
        <v>399</v>
      </c>
      <c r="W401">
        <f t="shared" si="87"/>
        <v>0.40238712272450305</v>
      </c>
      <c r="X401">
        <f>SUM($W$3:W401)</f>
        <v>188.86560078927215</v>
      </c>
      <c r="Y401" s="4">
        <f t="shared" si="86"/>
        <v>0.47334737039917835</v>
      </c>
      <c r="AA401">
        <v>399</v>
      </c>
      <c r="AB401">
        <f t="shared" si="88"/>
        <v>0.40238712272450305</v>
      </c>
      <c r="AC401">
        <f>SUM($AB$3:AB401)</f>
        <v>185.66935136077521</v>
      </c>
      <c r="AD401" s="4">
        <f t="shared" si="89"/>
        <v>0.46533672020244415</v>
      </c>
    </row>
    <row r="402" spans="6:30" x14ac:dyDescent="0.25">
      <c r="F402">
        <v>652000</v>
      </c>
      <c r="G402" s="12">
        <v>2101.1515372616986</v>
      </c>
      <c r="H402" s="12">
        <f t="shared" si="84"/>
        <v>2019.280658311844</v>
      </c>
      <c r="I402" s="12">
        <f t="shared" si="85"/>
        <v>6702.8408200217473</v>
      </c>
      <c r="K402">
        <f t="shared" si="91"/>
        <v>652000</v>
      </c>
      <c r="L402" s="12">
        <v>1090.8339651172359</v>
      </c>
      <c r="M402" s="12">
        <f t="shared" si="90"/>
        <v>1091.5149494489485</v>
      </c>
      <c r="N402" s="12">
        <f t="shared" si="92"/>
        <v>0.46373966003802874</v>
      </c>
      <c r="R402" s="2">
        <f t="shared" si="93"/>
        <v>0.92618822337080431</v>
      </c>
      <c r="V402">
        <v>400</v>
      </c>
      <c r="W402">
        <f t="shared" si="87"/>
        <v>0.4022340501716668</v>
      </c>
      <c r="X402">
        <f>SUM($W$3:W402)</f>
        <v>189.26783483944382</v>
      </c>
      <c r="Y402" s="4">
        <f t="shared" si="86"/>
        <v>0.47316958709860957</v>
      </c>
      <c r="AA402">
        <v>400</v>
      </c>
      <c r="AB402">
        <f t="shared" si="88"/>
        <v>0.4022340501716668</v>
      </c>
      <c r="AC402">
        <f>SUM($AB$3:AB402)</f>
        <v>186.07158541094688</v>
      </c>
      <c r="AD402" s="4">
        <f t="shared" si="89"/>
        <v>0.46517896352736721</v>
      </c>
    </row>
    <row r="403" spans="6:30" x14ac:dyDescent="0.25">
      <c r="F403">
        <v>654000</v>
      </c>
      <c r="G403" s="12">
        <v>2100.7463479368007</v>
      </c>
      <c r="H403" s="12">
        <f t="shared" si="84"/>
        <v>2018.2670215165112</v>
      </c>
      <c r="I403" s="12">
        <f t="shared" si="85"/>
        <v>6802.8392867446582</v>
      </c>
      <c r="K403">
        <f t="shared" si="91"/>
        <v>654000</v>
      </c>
      <c r="L403" s="12">
        <v>1089.8624599665845</v>
      </c>
      <c r="M403" s="12">
        <f t="shared" si="90"/>
        <v>1090.5401465733862</v>
      </c>
      <c r="N403" s="12">
        <f t="shared" si="92"/>
        <v>0.45925913703836341</v>
      </c>
      <c r="R403" s="2">
        <f t="shared" si="93"/>
        <v>0.92753345041466062</v>
      </c>
      <c r="V403">
        <v>401</v>
      </c>
      <c r="W403">
        <f t="shared" si="87"/>
        <v>0.40208141783547113</v>
      </c>
      <c r="X403">
        <f>SUM($W$3:W403)</f>
        <v>189.66991625727928</v>
      </c>
      <c r="Y403" s="4">
        <f t="shared" si="86"/>
        <v>0.47299230986852692</v>
      </c>
      <c r="AA403">
        <v>401</v>
      </c>
      <c r="AB403">
        <f t="shared" si="88"/>
        <v>0.40208141783547113</v>
      </c>
      <c r="AC403">
        <f>SUM($AB$3:AB403)</f>
        <v>186.47366682878234</v>
      </c>
      <c r="AD403" s="4">
        <f t="shared" si="89"/>
        <v>0.46502161303935746</v>
      </c>
    </row>
    <row r="404" spans="6:30" x14ac:dyDescent="0.25">
      <c r="F404">
        <v>656000</v>
      </c>
      <c r="G404" s="12">
        <v>2100.3429258173705</v>
      </c>
      <c r="H404" s="12">
        <f t="shared" si="84"/>
        <v>2017.2569862968526</v>
      </c>
      <c r="I404" s="12">
        <f t="shared" si="85"/>
        <v>6903.2733460071695</v>
      </c>
      <c r="K404">
        <f t="shared" si="91"/>
        <v>656000</v>
      </c>
      <c r="L404" s="12">
        <v>1088.8948194246932</v>
      </c>
      <c r="M404" s="12">
        <f t="shared" si="90"/>
        <v>1089.5691867877172</v>
      </c>
      <c r="N404" s="12">
        <f t="shared" si="92"/>
        <v>0.45477134031191035</v>
      </c>
      <c r="R404" s="2">
        <f t="shared" si="93"/>
        <v>0.92887585499494429</v>
      </c>
      <c r="V404">
        <v>402</v>
      </c>
      <c r="W404">
        <f t="shared" si="87"/>
        <v>0.40192922335683889</v>
      </c>
      <c r="X404">
        <f>SUM($W$3:W404)</f>
        <v>190.07184548063611</v>
      </c>
      <c r="Y404" s="4">
        <f t="shared" si="86"/>
        <v>0.47281553602148285</v>
      </c>
      <c r="AA404">
        <v>402</v>
      </c>
      <c r="AB404">
        <f t="shared" si="88"/>
        <v>0.40192922335683889</v>
      </c>
      <c r="AC404">
        <f>SUM($AB$3:AB404)</f>
        <v>186.87559605213917</v>
      </c>
      <c r="AD404" s="4">
        <f t="shared" si="89"/>
        <v>0.46486466679636612</v>
      </c>
    </row>
    <row r="405" spans="6:30" x14ac:dyDescent="0.25">
      <c r="F405">
        <v>658000</v>
      </c>
      <c r="G405" s="12">
        <v>2099.9412578200577</v>
      </c>
      <c r="H405" s="12">
        <f t="shared" si="84"/>
        <v>2016.2505289339788</v>
      </c>
      <c r="I405" s="12">
        <f t="shared" si="85"/>
        <v>7004.1381014831586</v>
      </c>
      <c r="K405">
        <f t="shared" si="91"/>
        <v>658000</v>
      </c>
      <c r="L405" s="12">
        <v>1087.9310163653083</v>
      </c>
      <c r="M405" s="12">
        <f t="shared" si="90"/>
        <v>1088.6020432931984</v>
      </c>
      <c r="N405" s="12">
        <f t="shared" si="92"/>
        <v>0.45027713795365915</v>
      </c>
      <c r="R405" s="2">
        <f t="shared" si="93"/>
        <v>0.93021545137649975</v>
      </c>
      <c r="V405">
        <v>403</v>
      </c>
      <c r="W405">
        <f t="shared" si="87"/>
        <v>0.4017774643951631</v>
      </c>
      <c r="X405">
        <f>SUM($W$3:W405)</f>
        <v>190.47362294503128</v>
      </c>
      <c r="Y405" s="4">
        <f t="shared" si="86"/>
        <v>0.47263926289089647</v>
      </c>
      <c r="AA405">
        <v>403</v>
      </c>
      <c r="AB405">
        <f t="shared" si="88"/>
        <v>0.4017774643951631</v>
      </c>
      <c r="AC405">
        <f>SUM($AB$3:AB405)</f>
        <v>187.27737351653434</v>
      </c>
      <c r="AD405" s="4">
        <f t="shared" si="89"/>
        <v>0.46470812286981228</v>
      </c>
    </row>
    <row r="406" spans="6:30" x14ac:dyDescent="0.25">
      <c r="F406">
        <v>660000</v>
      </c>
      <c r="G406" s="12">
        <v>2099.5413309978671</v>
      </c>
      <c r="H406" s="12">
        <f t="shared" si="84"/>
        <v>2015.2476259366977</v>
      </c>
      <c r="I406" s="12">
        <f t="shared" si="85"/>
        <v>7105.4287129394288</v>
      </c>
      <c r="K406">
        <f t="shared" si="91"/>
        <v>660000</v>
      </c>
      <c r="L406" s="12">
        <v>1086.9710239344656</v>
      </c>
      <c r="M406" s="12">
        <f t="shared" si="90"/>
        <v>1087.6386895586891</v>
      </c>
      <c r="N406" s="12">
        <f t="shared" si="92"/>
        <v>0.44577738576968351</v>
      </c>
      <c r="R406" s="2">
        <f t="shared" si="93"/>
        <v>0.9315522537098011</v>
      </c>
      <c r="V406">
        <v>404</v>
      </c>
      <c r="W406">
        <f t="shared" si="87"/>
        <v>0.40162613862811747</v>
      </c>
      <c r="X406">
        <f>SUM($W$3:W406)</f>
        <v>190.87524908365941</v>
      </c>
      <c r="Y406" s="4">
        <f t="shared" si="86"/>
        <v>0.47246348783084013</v>
      </c>
      <c r="AA406">
        <v>404</v>
      </c>
      <c r="AB406">
        <f t="shared" si="88"/>
        <v>0.40162613862811747</v>
      </c>
      <c r="AC406">
        <f>SUM($AB$3:AB406)</f>
        <v>187.67899965516247</v>
      </c>
      <c r="AD406" s="4">
        <f t="shared" si="89"/>
        <v>0.46455197934446157</v>
      </c>
    </row>
    <row r="407" spans="6:30" x14ac:dyDescent="0.25">
      <c r="F407">
        <v>662000</v>
      </c>
      <c r="G407" s="12">
        <v>2099.1431325383242</v>
      </c>
      <c r="H407" s="12">
        <f t="shared" si="84"/>
        <v>2014.2482540386475</v>
      </c>
      <c r="I407" s="12">
        <f t="shared" si="85"/>
        <v>7207.1403954748657</v>
      </c>
      <c r="K407">
        <f t="shared" si="91"/>
        <v>662000</v>
      </c>
      <c r="L407" s="12">
        <v>1086.0148155469362</v>
      </c>
      <c r="M407" s="12">
        <f t="shared" si="90"/>
        <v>1086.6790993171774</v>
      </c>
      <c r="N407" s="12">
        <f t="shared" si="92"/>
        <v>0.44127292740576646</v>
      </c>
      <c r="R407" s="2">
        <f t="shared" si="93"/>
        <v>0.93288627603220919</v>
      </c>
      <c r="V407">
        <v>405</v>
      </c>
      <c r="W407">
        <f t="shared" si="87"/>
        <v>0.40147524375146909</v>
      </c>
      <c r="X407">
        <f>SUM($W$3:W407)</f>
        <v>191.27672432741088</v>
      </c>
      <c r="Y407" s="4">
        <f t="shared" si="86"/>
        <v>0.47228820821582934</v>
      </c>
      <c r="AA407">
        <v>405</v>
      </c>
      <c r="AB407">
        <f t="shared" si="88"/>
        <v>0.40147524375146909</v>
      </c>
      <c r="AC407">
        <f>SUM($AB$3:AB407)</f>
        <v>188.08047489891393</v>
      </c>
      <c r="AD407" s="4">
        <f t="shared" si="89"/>
        <v>0.46439623431830601</v>
      </c>
    </row>
    <row r="408" spans="6:30" x14ac:dyDescent="0.25">
      <c r="F408">
        <v>664000</v>
      </c>
      <c r="G408" s="12">
        <v>2098.746649761682</v>
      </c>
      <c r="H408" s="12">
        <f t="shared" si="84"/>
        <v>2013.2523901954746</v>
      </c>
      <c r="I408" s="12">
        <f t="shared" si="85"/>
        <v>7309.2684187740369</v>
      </c>
      <c r="K408">
        <f t="shared" si="91"/>
        <v>664000</v>
      </c>
      <c r="L408" s="12">
        <v>1085.0623648827366</v>
      </c>
      <c r="M408" s="12">
        <f t="shared" si="90"/>
        <v>1085.7232465623633</v>
      </c>
      <c r="N408" s="12">
        <f t="shared" si="92"/>
        <v>0.43676459446628046</v>
      </c>
      <c r="R408" s="2">
        <f t="shared" si="93"/>
        <v>0.93421753226921189</v>
      </c>
      <c r="V408">
        <v>406</v>
      </c>
      <c r="W408">
        <f t="shared" si="87"/>
        <v>0.40132477747889223</v>
      </c>
      <c r="X408">
        <f>SUM($W$3:W408)</f>
        <v>191.67804910488977</v>
      </c>
      <c r="Y408" s="4">
        <f t="shared" si="86"/>
        <v>0.47211342144061519</v>
      </c>
      <c r="AA408">
        <v>406</v>
      </c>
      <c r="AB408">
        <f t="shared" si="88"/>
        <v>0.40132477747889223</v>
      </c>
      <c r="AC408">
        <f>SUM($AB$3:AB408)</f>
        <v>188.48179967639282</v>
      </c>
      <c r="AD408" s="4">
        <f t="shared" si="89"/>
        <v>0.46424088590244539</v>
      </c>
    </row>
    <row r="409" spans="6:30" x14ac:dyDescent="0.25">
      <c r="F409">
        <v>666000</v>
      </c>
      <c r="G409" s="12">
        <v>2098.3518701191433</v>
      </c>
      <c r="H409" s="12">
        <f t="shared" si="84"/>
        <v>2012.2600115820517</v>
      </c>
      <c r="I409" s="12">
        <f t="shared" si="85"/>
        <v>7411.8081063705986</v>
      </c>
      <c r="K409">
        <f t="shared" si="91"/>
        <v>666000</v>
      </c>
      <c r="L409" s="12">
        <v>1084.11364588369</v>
      </c>
      <c r="M409" s="12">
        <f t="shared" si="90"/>
        <v>1084.7711055452942</v>
      </c>
      <c r="N409" s="12">
        <f t="shared" si="92"/>
        <v>0.43225320663671868</v>
      </c>
      <c r="R409" s="2">
        <f t="shared" si="93"/>
        <v>0.93554603623563892</v>
      </c>
      <c r="V409">
        <v>407</v>
      </c>
      <c r="W409">
        <f t="shared" si="87"/>
        <v>0.40117473754178645</v>
      </c>
      <c r="X409">
        <f>SUM($W$3:W409)</f>
        <v>192.07922384243156</v>
      </c>
      <c r="Y409" s="4">
        <f t="shared" si="86"/>
        <v>0.47193912491997925</v>
      </c>
      <c r="AA409">
        <v>407</v>
      </c>
      <c r="AB409">
        <f t="shared" si="88"/>
        <v>0.40117473754178645</v>
      </c>
      <c r="AC409">
        <f>SUM($AB$3:AB409)</f>
        <v>188.88297441393462</v>
      </c>
      <c r="AD409" s="4">
        <f t="shared" si="89"/>
        <v>0.46408593222096955</v>
      </c>
    </row>
    <row r="410" spans="6:30" x14ac:dyDescent="0.25">
      <c r="F410">
        <v>668000</v>
      </c>
      <c r="G410" s="12">
        <v>2097.9587811911247</v>
      </c>
      <c r="H410" s="12">
        <f t="shared" si="84"/>
        <v>2011.2710955897421</v>
      </c>
      <c r="I410" s="12">
        <f t="shared" si="85"/>
        <v>7514.7548349241479</v>
      </c>
      <c r="K410">
        <f t="shared" si="91"/>
        <v>668000</v>
      </c>
      <c r="L410" s="12">
        <v>1083.1686327500458</v>
      </c>
      <c r="M410" s="12">
        <f t="shared" si="90"/>
        <v>1083.8226507710547</v>
      </c>
      <c r="N410" s="12">
        <f t="shared" si="92"/>
        <v>0.42773957180429828</v>
      </c>
      <c r="R410" s="2">
        <f t="shared" si="93"/>
        <v>0.93687180163686823</v>
      </c>
      <c r="V410">
        <v>408</v>
      </c>
      <c r="W410">
        <f t="shared" si="87"/>
        <v>0.40102512168909565</v>
      </c>
      <c r="X410">
        <f>SUM($W$3:W410)</f>
        <v>192.48024896412065</v>
      </c>
      <c r="Y410" s="4">
        <f t="shared" si="86"/>
        <v>0.47176531608853101</v>
      </c>
      <c r="AA410">
        <v>408</v>
      </c>
      <c r="AB410">
        <f t="shared" si="88"/>
        <v>0.40102512168909565</v>
      </c>
      <c r="AC410">
        <f>SUM($AB$3:AB410)</f>
        <v>189.28399953562371</v>
      </c>
      <c r="AD410" s="4">
        <f t="shared" si="89"/>
        <v>0.4639313714108424</v>
      </c>
    </row>
    <row r="411" spans="6:30" x14ac:dyDescent="0.25">
      <c r="F411">
        <v>670000</v>
      </c>
      <c r="G411" s="12">
        <v>2097.5673706855455</v>
      </c>
      <c r="H411" s="12">
        <f t="shared" si="84"/>
        <v>2010.2856198237077</v>
      </c>
      <c r="I411" s="12">
        <f t="shared" si="85"/>
        <v>7618.1040335079124</v>
      </c>
      <c r="K411">
        <f t="shared" si="91"/>
        <v>670000</v>
      </c>
      <c r="L411" s="12">
        <v>1082.2272999371494</v>
      </c>
      <c r="M411" s="12">
        <f t="shared" si="90"/>
        <v>1082.8778569955089</v>
      </c>
      <c r="N411" s="12">
        <f t="shared" si="92"/>
        <v>0.42322448618134212</v>
      </c>
      <c r="R411" s="2">
        <f t="shared" si="93"/>
        <v>0.93819484207001813</v>
      </c>
      <c r="V411">
        <v>409</v>
      </c>
      <c r="W411">
        <f t="shared" si="87"/>
        <v>0.40087592768712954</v>
      </c>
      <c r="X411">
        <f>SUM($W$3:W411)</f>
        <v>192.88112489180779</v>
      </c>
      <c r="Y411" s="4">
        <f t="shared" si="86"/>
        <v>0.47159199240050803</v>
      </c>
      <c r="AA411">
        <v>409</v>
      </c>
      <c r="AB411">
        <f t="shared" si="88"/>
        <v>0.40087592768712954</v>
      </c>
      <c r="AC411">
        <f>SUM($AB$3:AB411)</f>
        <v>189.68487546331085</v>
      </c>
      <c r="AD411" s="4">
        <f t="shared" si="89"/>
        <v>0.46377720162178693</v>
      </c>
    </row>
    <row r="412" spans="6:30" x14ac:dyDescent="0.25">
      <c r="F412">
        <v>672000</v>
      </c>
      <c r="G412" s="12">
        <v>2097.1776264361301</v>
      </c>
      <c r="H412" s="12">
        <f t="shared" si="84"/>
        <v>2009.3035621002509</v>
      </c>
      <c r="I412" s="12">
        <f t="shared" si="85"/>
        <v>7721.851182906239</v>
      </c>
      <c r="K412">
        <f t="shared" si="91"/>
        <v>672000</v>
      </c>
      <c r="L412" s="12">
        <v>1081.2896221521669</v>
      </c>
      <c r="M412" s="12">
        <f t="shared" si="90"/>
        <v>1081.9366992220935</v>
      </c>
      <c r="N412" s="12">
        <f t="shared" si="92"/>
        <v>0.4187087344247698</v>
      </c>
      <c r="R412" s="2">
        <f t="shared" si="93"/>
        <v>0.93951517102510418</v>
      </c>
      <c r="V412">
        <v>410</v>
      </c>
      <c r="W412">
        <f t="shared" si="87"/>
        <v>0.40072715331938802</v>
      </c>
      <c r="X412">
        <f>SUM($W$3:W412)</f>
        <v>193.28185204512718</v>
      </c>
      <c r="Y412" s="4">
        <f t="shared" si="86"/>
        <v>0.47141915132957851</v>
      </c>
      <c r="AA412">
        <v>410</v>
      </c>
      <c r="AB412">
        <f t="shared" si="88"/>
        <v>0.40072715331938802</v>
      </c>
      <c r="AC412">
        <f>SUM($AB$3:AB412)</f>
        <v>190.08560261663024</v>
      </c>
      <c r="AD412" s="4">
        <f t="shared" si="89"/>
        <v>0.46362342101617132</v>
      </c>
    </row>
    <row r="413" spans="6:30" x14ac:dyDescent="0.25">
      <c r="F413">
        <v>674000</v>
      </c>
      <c r="G413" s="12">
        <v>2096.7895364007645</v>
      </c>
      <c r="H413" s="12">
        <f t="shared" si="84"/>
        <v>2008.3249004442089</v>
      </c>
      <c r="I413" s="12">
        <f t="shared" si="85"/>
        <v>7825.9918149259165</v>
      </c>
      <c r="K413">
        <f t="shared" si="91"/>
        <v>674000</v>
      </c>
      <c r="L413" s="12">
        <v>1080.3555743508605</v>
      </c>
      <c r="M413" s="12">
        <f t="shared" si="90"/>
        <v>1080.9991526986621</v>
      </c>
      <c r="N413" s="12">
        <f t="shared" si="92"/>
        <v>0.41419308975906544</v>
      </c>
      <c r="R413" s="2">
        <f t="shared" si="93"/>
        <v>0.94083280188620844</v>
      </c>
      <c r="V413">
        <v>411</v>
      </c>
      <c r="W413">
        <f t="shared" si="87"/>
        <v>0.4005787963863871</v>
      </c>
      <c r="X413">
        <f>SUM($W$3:W413)</f>
        <v>193.68243084151356</v>
      </c>
      <c r="Y413" s="4">
        <f t="shared" si="86"/>
        <v>0.47124679036864614</v>
      </c>
      <c r="AA413">
        <v>411</v>
      </c>
      <c r="AB413">
        <f t="shared" si="88"/>
        <v>0.4005787963863871</v>
      </c>
      <c r="AC413">
        <f>SUM($AB$3:AB413)</f>
        <v>190.48618141301662</v>
      </c>
      <c r="AD413" s="4">
        <f t="shared" si="89"/>
        <v>0.4634700277688969</v>
      </c>
    </row>
    <row r="414" spans="6:30" x14ac:dyDescent="0.25">
      <c r="F414">
        <v>676000</v>
      </c>
      <c r="G414" s="12">
        <v>2096.4030886598562</v>
      </c>
      <c r="H414" s="12">
        <f t="shared" si="84"/>
        <v>2007.3496130863766</v>
      </c>
      <c r="I414" s="12">
        <f t="shared" si="85"/>
        <v>7930.5215117163179</v>
      </c>
      <c r="K414">
        <f t="shared" si="91"/>
        <v>676000</v>
      </c>
      <c r="L414" s="12">
        <v>1079.4251317344158</v>
      </c>
      <c r="M414" s="12">
        <f t="shared" si="90"/>
        <v>1080.0651929143778</v>
      </c>
      <c r="N414" s="12">
        <f t="shared" si="92"/>
        <v>0.40967831409435251</v>
      </c>
      <c r="R414" s="2">
        <f t="shared" si="93"/>
        <v>0.94214774793260969</v>
      </c>
      <c r="V414">
        <v>412</v>
      </c>
      <c r="W414">
        <f t="shared" si="87"/>
        <v>0.40043085470548723</v>
      </c>
      <c r="X414">
        <f>SUM($W$3:W414)</f>
        <v>194.08286169621906</v>
      </c>
      <c r="Y414" s="4">
        <f t="shared" si="86"/>
        <v>0.47107490702965787</v>
      </c>
      <c r="AA414">
        <v>412</v>
      </c>
      <c r="AB414">
        <f t="shared" si="88"/>
        <v>0.40043085470548723</v>
      </c>
      <c r="AC414">
        <f>SUM($AB$3:AB414)</f>
        <v>190.88661226772211</v>
      </c>
      <c r="AD414" s="4">
        <f t="shared" si="89"/>
        <v>0.4633170200672867</v>
      </c>
    </row>
    <row r="415" spans="6:30" x14ac:dyDescent="0.25">
      <c r="F415">
        <v>678000</v>
      </c>
      <c r="G415" s="12">
        <v>2096.0182714147286</v>
      </c>
      <c r="H415" s="12">
        <f t="shared" si="84"/>
        <v>2006.377678460977</v>
      </c>
      <c r="I415" s="12">
        <f t="shared" si="85"/>
        <v>8035.4359051001802</v>
      </c>
      <c r="K415">
        <f t="shared" si="91"/>
        <v>678000</v>
      </c>
      <c r="L415" s="12">
        <v>1078.4982697463163</v>
      </c>
      <c r="M415" s="12">
        <f t="shared" si="90"/>
        <v>1079.134795596656</v>
      </c>
      <c r="N415" s="12">
        <f t="shared" si="92"/>
        <v>0.40516515815067111</v>
      </c>
      <c r="R415" s="2">
        <f t="shared" si="93"/>
        <v>0.94346002233990856</v>
      </c>
      <c r="V415">
        <v>413</v>
      </c>
      <c r="W415">
        <f t="shared" si="87"/>
        <v>0.40028332611072398</v>
      </c>
      <c r="X415">
        <f>SUM($W$3:W415)</f>
        <v>194.48314502232978</v>
      </c>
      <c r="Y415" s="4">
        <f t="shared" si="86"/>
        <v>0.47090349884341348</v>
      </c>
      <c r="AA415">
        <v>413</v>
      </c>
      <c r="AB415">
        <f t="shared" si="88"/>
        <v>0.40028332611072398</v>
      </c>
      <c r="AC415">
        <f>SUM($AB$3:AB415)</f>
        <v>191.28689559383284</v>
      </c>
      <c r="AD415" s="4">
        <f t="shared" si="89"/>
        <v>0.46316439611097537</v>
      </c>
    </row>
    <row r="416" spans="6:30" x14ac:dyDescent="0.25">
      <c r="F416">
        <v>680000</v>
      </c>
      <c r="G416" s="12">
        <v>2095.6350729860478</v>
      </c>
      <c r="H416" s="12">
        <f t="shared" si="84"/>
        <v>2005.4090752031627</v>
      </c>
      <c r="I416" s="12">
        <f t="shared" si="85"/>
        <v>8140.7306759171852</v>
      </c>
      <c r="K416">
        <f t="shared" si="91"/>
        <v>680000</v>
      </c>
      <c r="L416" s="12">
        <v>1077.5749640692716</v>
      </c>
      <c r="M416" s="12">
        <f t="shared" si="90"/>
        <v>1078.2079367081524</v>
      </c>
      <c r="N416" s="12">
        <f t="shared" si="92"/>
        <v>0.40065436157172524</v>
      </c>
      <c r="R416" s="2">
        <f t="shared" si="93"/>
        <v>0.94476963818113591</v>
      </c>
      <c r="V416">
        <v>414</v>
      </c>
      <c r="W416">
        <f t="shared" si="87"/>
        <v>0.40013620845264042</v>
      </c>
      <c r="X416">
        <f>SUM($W$3:W416)</f>
        <v>194.88328123078242</v>
      </c>
      <c r="Y416" s="4">
        <f t="shared" si="86"/>
        <v>0.4707325633593778</v>
      </c>
      <c r="AA416">
        <v>414</v>
      </c>
      <c r="AB416">
        <f t="shared" si="88"/>
        <v>0.40013620845264042</v>
      </c>
      <c r="AC416">
        <f>SUM($AB$3:AB416)</f>
        <v>191.68703180228547</v>
      </c>
      <c r="AD416" s="4">
        <f t="shared" si="89"/>
        <v>0.46301215411180069</v>
      </c>
    </row>
    <row r="417" spans="6:30" x14ac:dyDescent="0.25">
      <c r="F417">
        <v>682000</v>
      </c>
      <c r="G417" s="12">
        <v>2095.2534818122595</v>
      </c>
      <c r="H417" s="12">
        <f t="shared" si="84"/>
        <v>2004.4437821465644</v>
      </c>
      <c r="I417" s="12">
        <f t="shared" si="85"/>
        <v>8246.4015533737274</v>
      </c>
      <c r="K417">
        <f t="shared" si="91"/>
        <v>682000</v>
      </c>
      <c r="L417" s="12">
        <v>1076.6551906221871</v>
      </c>
      <c r="M417" s="12">
        <f t="shared" si="90"/>
        <v>1077.2845924438009</v>
      </c>
      <c r="N417" s="12">
        <f t="shared" si="92"/>
        <v>0.3961466530507482</v>
      </c>
      <c r="R417" s="2">
        <f t="shared" si="93"/>
        <v>0.9460766084278438</v>
      </c>
      <c r="V417">
        <v>415</v>
      </c>
      <c r="W417">
        <f t="shared" si="87"/>
        <v>0.39998949959812169</v>
      </c>
      <c r="X417">
        <f>SUM($W$3:W417)</f>
        <v>195.28327073038054</v>
      </c>
      <c r="Y417" s="4">
        <f t="shared" si="86"/>
        <v>0.47056209814549527</v>
      </c>
      <c r="AA417">
        <v>415</v>
      </c>
      <c r="AB417">
        <f t="shared" si="88"/>
        <v>0.39998949959812169</v>
      </c>
      <c r="AC417">
        <f>SUM($AB$3:AB417)</f>
        <v>192.0870213018836</v>
      </c>
      <c r="AD417" s="4">
        <f t="shared" si="89"/>
        <v>0.46286029229369541</v>
      </c>
    </row>
    <row r="418" spans="6:30" x14ac:dyDescent="0.25">
      <c r="F418">
        <v>684000</v>
      </c>
      <c r="G418" s="12">
        <v>2094.8734864480657</v>
      </c>
      <c r="H418" s="12">
        <f t="shared" si="84"/>
        <v>2003.4817783208682</v>
      </c>
      <c r="I418" s="12">
        <f t="shared" si="85"/>
        <v>8352.4443144068555</v>
      </c>
      <c r="K418">
        <f t="shared" si="91"/>
        <v>684000</v>
      </c>
      <c r="L418" s="12">
        <v>1075.7389255571859</v>
      </c>
      <c r="M418" s="12">
        <f t="shared" si="90"/>
        <v>1076.3647392278945</v>
      </c>
      <c r="N418" s="12">
        <f t="shared" si="92"/>
        <v>0.39164275044573055</v>
      </c>
      <c r="R418" s="2">
        <f t="shared" si="93"/>
        <v>0.9473809459511866</v>
      </c>
      <c r="V418">
        <v>416</v>
      </c>
      <c r="W418">
        <f t="shared" si="87"/>
        <v>0.39984319743023233</v>
      </c>
      <c r="X418">
        <f>SUM($W$3:W418)</f>
        <v>195.68311392781078</v>
      </c>
      <c r="Y418" s="4">
        <f t="shared" si="86"/>
        <v>0.4703921007880067</v>
      </c>
      <c r="AA418">
        <v>416</v>
      </c>
      <c r="AB418">
        <f t="shared" si="88"/>
        <v>0.39984319743023233</v>
      </c>
      <c r="AC418">
        <f>SUM($AB$3:AB418)</f>
        <v>192.48686449931384</v>
      </c>
      <c r="AD418" s="4">
        <f t="shared" si="89"/>
        <v>0.46270880889258137</v>
      </c>
    </row>
    <row r="419" spans="6:30" x14ac:dyDescent="0.25">
      <c r="F419">
        <v>686000</v>
      </c>
      <c r="G419" s="12">
        <v>2094.4950755629166</v>
      </c>
      <c r="H419" s="12">
        <f t="shared" ref="H419:H482" si="94">IF(F419&lt;$G$72,$D$64*(F419/$D$41)^-(1-$G$71), $D$64*($G$72/$D$41)^-(1-$G$71))</f>
        <v>2002.5230429494325</v>
      </c>
      <c r="I419" s="12">
        <f t="shared" ref="I419:I482" si="95">(H419-G419)^2</f>
        <v>8458.85478305578</v>
      </c>
      <c r="K419">
        <f t="shared" si="91"/>
        <v>686000</v>
      </c>
      <c r="L419" s="12">
        <v>1074.8261452566744</v>
      </c>
      <c r="M419" s="12">
        <f t="shared" si="90"/>
        <v>1075.4483537112133</v>
      </c>
      <c r="N419" s="12">
        <f t="shared" si="92"/>
        <v>0.38714336089962387</v>
      </c>
      <c r="R419" s="2">
        <f t="shared" si="93"/>
        <v>0.94868266352298258</v>
      </c>
      <c r="V419">
        <v>417</v>
      </c>
      <c r="W419">
        <f t="shared" si="87"/>
        <v>0.39969729984805419</v>
      </c>
      <c r="X419">
        <f>SUM($W$3:W419)</f>
        <v>196.08281122765882</v>
      </c>
      <c r="Y419" s="4">
        <f t="shared" si="86"/>
        <v>0.47022256889126818</v>
      </c>
      <c r="AA419">
        <v>417</v>
      </c>
      <c r="AB419">
        <f t="shared" si="88"/>
        <v>0.39969729984805419</v>
      </c>
      <c r="AC419">
        <f>SUM($AB$3:AB419)</f>
        <v>192.88656179916188</v>
      </c>
      <c r="AD419" s="4">
        <f t="shared" si="89"/>
        <v>0.46255770215626352</v>
      </c>
    </row>
    <row r="420" spans="6:30" x14ac:dyDescent="0.25">
      <c r="F420">
        <v>688000</v>
      </c>
      <c r="G420" s="12">
        <v>2094.1182379395309</v>
      </c>
      <c r="H420" s="12">
        <f t="shared" si="94"/>
        <v>2001.5675554469431</v>
      </c>
      <c r="I420" s="12">
        <f t="shared" si="95"/>
        <v>8565.6288298438049</v>
      </c>
      <c r="K420">
        <f t="shared" si="91"/>
        <v>688000</v>
      </c>
      <c r="L420" s="12">
        <v>1073.9168263304548</v>
      </c>
      <c r="M420" s="12">
        <f t="shared" si="90"/>
        <v>1074.5354127681953</v>
      </c>
      <c r="N420" s="12">
        <f t="shared" si="92"/>
        <v>0.38264918095652151</v>
      </c>
      <c r="R420" s="2">
        <f t="shared" si="93"/>
        <v>0.94998177381676485</v>
      </c>
      <c r="V420">
        <v>418</v>
      </c>
      <c r="W420">
        <f t="shared" si="87"/>
        <v>0.3995518047665278</v>
      </c>
      <c r="X420">
        <f>SUM($W$3:W420)</f>
        <v>196.48236303242535</v>
      </c>
      <c r="Y420" s="4">
        <f t="shared" si="86"/>
        <v>0.47005350007757263</v>
      </c>
      <c r="AA420">
        <v>418</v>
      </c>
      <c r="AB420">
        <f t="shared" si="88"/>
        <v>0.3995518047665278</v>
      </c>
      <c r="AC420">
        <f>SUM($AB$3:AB420)</f>
        <v>193.28611360392841</v>
      </c>
      <c r="AD420" s="4">
        <f t="shared" si="89"/>
        <v>0.46240697034432637</v>
      </c>
    </row>
    <row r="421" spans="6:30" x14ac:dyDescent="0.25">
      <c r="F421">
        <v>690000</v>
      </c>
      <c r="G421" s="12">
        <v>2093.7429624724359</v>
      </c>
      <c r="H421" s="12">
        <f t="shared" si="94"/>
        <v>2000.6152954170982</v>
      </c>
      <c r="I421" s="12">
        <f t="shared" si="95"/>
        <v>8672.7623711698361</v>
      </c>
      <c r="K421">
        <f t="shared" si="91"/>
        <v>690000</v>
      </c>
      <c r="L421" s="12">
        <v>1073.0109456128814</v>
      </c>
      <c r="M421" s="12">
        <f t="shared" si="90"/>
        <v>1073.625893494152</v>
      </c>
      <c r="N421" s="12">
        <f t="shared" si="92"/>
        <v>0.37816089667921138</v>
      </c>
      <c r="R421" s="2">
        <f t="shared" si="93"/>
        <v>0.95127828940881276</v>
      </c>
      <c r="V421">
        <v>419</v>
      </c>
      <c r="W421">
        <f t="shared" si="87"/>
        <v>0.39940671011629486</v>
      </c>
      <c r="X421">
        <f>SUM($W$3:W421)</f>
        <v>196.88176974254165</v>
      </c>
      <c r="Y421" s="4">
        <f t="shared" si="86"/>
        <v>0.46988489198697292</v>
      </c>
      <c r="AA421">
        <v>419</v>
      </c>
      <c r="AB421">
        <f t="shared" si="88"/>
        <v>0.39940671011629486</v>
      </c>
      <c r="AC421">
        <f>SUM($AB$3:AB421)</f>
        <v>193.68552031404471</v>
      </c>
      <c r="AD421" s="4">
        <f t="shared" si="89"/>
        <v>0.46225661172803034</v>
      </c>
    </row>
    <row r="422" spans="6:30" x14ac:dyDescent="0.25">
      <c r="F422">
        <v>692000</v>
      </c>
      <c r="G422" s="12">
        <v>2093.3692381665296</v>
      </c>
      <c r="H422" s="12">
        <f t="shared" si="94"/>
        <v>1999.6662426503333</v>
      </c>
      <c r="I422" s="12">
        <f t="shared" si="95"/>
        <v>8780.2513687083083</v>
      </c>
      <c r="K422">
        <f t="shared" si="91"/>
        <v>692000</v>
      </c>
      <c r="L422" s="12">
        <v>1072.1084801600566</v>
      </c>
      <c r="M422" s="12">
        <f t="shared" si="90"/>
        <v>1072.7197732025254</v>
      </c>
      <c r="N422" s="12">
        <f t="shared" si="92"/>
        <v>0.37367918377074677</v>
      </c>
      <c r="R422" s="2">
        <f t="shared" si="93"/>
        <v>0.95257222277917952</v>
      </c>
      <c r="V422">
        <v>420</v>
      </c>
      <c r="W422">
        <f t="shared" si="87"/>
        <v>0.39926201384354271</v>
      </c>
      <c r="X422">
        <f>SUM($W$3:W422)</f>
        <v>197.2810317563852</v>
      </c>
      <c r="Y422" s="4">
        <f t="shared" si="86"/>
        <v>0.46971674227710764</v>
      </c>
      <c r="AA422">
        <v>420</v>
      </c>
      <c r="AB422">
        <f t="shared" si="88"/>
        <v>0.39926201384354271</v>
      </c>
      <c r="AC422">
        <f>SUM($AB$3:AB422)</f>
        <v>194.08478232788826</v>
      </c>
      <c r="AD422" s="4">
        <f t="shared" si="89"/>
        <v>0.46210662459021012</v>
      </c>
    </row>
    <row r="423" spans="6:30" x14ac:dyDescent="0.25">
      <c r="F423">
        <v>694000</v>
      </c>
      <c r="G423" s="12">
        <v>2092.9970541356765</v>
      </c>
      <c r="H423" s="12">
        <f t="shared" si="94"/>
        <v>1998.7203771215773</v>
      </c>
      <c r="I423" s="12">
        <f t="shared" si="95"/>
        <v>8888.0918288207959</v>
      </c>
      <c r="K423">
        <f t="shared" si="91"/>
        <v>694000</v>
      </c>
      <c r="L423" s="12">
        <v>1071.2094072470807</v>
      </c>
      <c r="M423" s="12">
        <f t="shared" si="90"/>
        <v>1071.8170294221873</v>
      </c>
      <c r="N423" s="12">
        <f t="shared" si="92"/>
        <v>0.36920470768127406</v>
      </c>
      <c r="R423" s="2">
        <f t="shared" si="93"/>
        <v>0.9538635863126943</v>
      </c>
      <c r="V423">
        <v>421</v>
      </c>
      <c r="W423">
        <f t="shared" si="87"/>
        <v>0.39911771390985101</v>
      </c>
      <c r="X423">
        <f>SUM($W$3:W423)</f>
        <v>197.68014947029505</v>
      </c>
      <c r="Y423" s="4">
        <f t="shared" si="86"/>
        <v>0.4695490486230286</v>
      </c>
      <c r="AA423">
        <v>421</v>
      </c>
      <c r="AB423">
        <f t="shared" si="88"/>
        <v>0.39911771390985101</v>
      </c>
      <c r="AC423">
        <f>SUM($AB$3:AB423)</f>
        <v>194.48390004179811</v>
      </c>
      <c r="AD423" s="4">
        <f t="shared" si="89"/>
        <v>0.46195700722517363</v>
      </c>
    </row>
    <row r="424" spans="6:30" x14ac:dyDescent="0.25">
      <c r="F424">
        <v>696000</v>
      </c>
      <c r="G424" s="12">
        <v>2092.6263996013058</v>
      </c>
      <c r="H424" s="12">
        <f t="shared" si="94"/>
        <v>1997.7776789880411</v>
      </c>
      <c r="I424" s="12">
        <f t="shared" si="95"/>
        <v>8996.2798019731508</v>
      </c>
      <c r="K424">
        <f t="shared" si="91"/>
        <v>696000</v>
      </c>
      <c r="L424" s="12">
        <v>1070.3137043653305</v>
      </c>
      <c r="M424" s="12">
        <f t="shared" si="90"/>
        <v>1070.91763989478</v>
      </c>
      <c r="N424" s="12">
        <f t="shared" si="92"/>
        <v>0.36473812373141479</v>
      </c>
      <c r="R424" s="2">
        <f t="shared" si="93"/>
        <v>0.95515239229995785</v>
      </c>
      <c r="V424">
        <v>422</v>
      </c>
      <c r="W424">
        <f t="shared" si="87"/>
        <v>0.39897380829204032</v>
      </c>
      <c r="X424">
        <f>SUM($W$3:W424)</f>
        <v>198.07912327858708</v>
      </c>
      <c r="Y424" s="4">
        <f t="shared" si="86"/>
        <v>0.469381808717031</v>
      </c>
      <c r="AA424">
        <v>422</v>
      </c>
      <c r="AB424">
        <f t="shared" si="88"/>
        <v>0.39897380829204032</v>
      </c>
      <c r="AC424">
        <f>SUM($AB$3:AB424)</f>
        <v>194.88287385009014</v>
      </c>
      <c r="AD424" s="4">
        <f t="shared" si="89"/>
        <v>0.46180775793860224</v>
      </c>
    </row>
    <row r="425" spans="6:30" x14ac:dyDescent="0.25">
      <c r="F425">
        <v>698000</v>
      </c>
      <c r="G425" s="12">
        <v>2092.257263891051</v>
      </c>
      <c r="H425" s="12">
        <f t="shared" si="94"/>
        <v>1996.8381285870416</v>
      </c>
      <c r="I425" s="12">
        <f t="shared" si="95"/>
        <v>9104.8113821648512</v>
      </c>
      <c r="K425">
        <f t="shared" si="91"/>
        <v>698000</v>
      </c>
      <c r="L425" s="12">
        <v>1069.4213492197889</v>
      </c>
      <c r="M425" s="12">
        <f t="shared" si="90"/>
        <v>1070.0215825720973</v>
      </c>
      <c r="N425" s="12">
        <f t="shared" si="92"/>
        <v>0.36028007722332067</v>
      </c>
      <c r="R425" s="2">
        <f t="shared" si="93"/>
        <v>0.95643865293832619</v>
      </c>
      <c r="V425">
        <v>423</v>
      </c>
      <c r="W425">
        <f t="shared" si="87"/>
        <v>0.39883029498202194</v>
      </c>
      <c r="X425">
        <f>SUM($W$3:W425)</f>
        <v>198.4779535735691</v>
      </c>
      <c r="Y425" s="4">
        <f t="shared" si="86"/>
        <v>0.46921502026848488</v>
      </c>
      <c r="AA425">
        <v>423</v>
      </c>
      <c r="AB425">
        <f t="shared" si="88"/>
        <v>0.39883029498202194</v>
      </c>
      <c r="AC425">
        <f>SUM($AB$3:AB425)</f>
        <v>195.28170414507215</v>
      </c>
      <c r="AD425" s="4">
        <f t="shared" si="89"/>
        <v>0.4616588750474519</v>
      </c>
    </row>
    <row r="426" spans="6:30" x14ac:dyDescent="0.25">
      <c r="F426">
        <v>700000</v>
      </c>
      <c r="G426" s="12">
        <v>2091.8896364373995</v>
      </c>
      <c r="H426" s="12">
        <f t="shared" si="94"/>
        <v>1995.9017064338552</v>
      </c>
      <c r="I426" s="12">
        <f t="shared" si="95"/>
        <v>9213.6827063653218</v>
      </c>
      <c r="K426">
        <f t="shared" si="91"/>
        <v>700000</v>
      </c>
      <c r="L426" s="12">
        <v>1068.5323197264099</v>
      </c>
      <c r="M426" s="12">
        <f t="shared" si="90"/>
        <v>1069.1288356135051</v>
      </c>
      <c r="N426" s="12">
        <f t="shared" si="92"/>
        <v>0.35583120355693215</v>
      </c>
      <c r="R426" s="2">
        <f t="shared" si="93"/>
        <v>0.95772238033287849</v>
      </c>
      <c r="V426">
        <v>424</v>
      </c>
      <c r="W426">
        <f t="shared" si="87"/>
        <v>0.39868717198665021</v>
      </c>
      <c r="X426">
        <f>SUM($W$3:W426)</f>
        <v>198.87664074555573</v>
      </c>
      <c r="Y426" s="4">
        <f t="shared" si="86"/>
        <v>0.4690486810036692</v>
      </c>
      <c r="AA426">
        <v>424</v>
      </c>
      <c r="AB426">
        <f t="shared" si="88"/>
        <v>0.39868717198665021</v>
      </c>
      <c r="AC426">
        <f>SUM($AB$3:AB426)</f>
        <v>195.68039131705879</v>
      </c>
      <c r="AD426" s="4">
        <f t="shared" si="89"/>
        <v>0.46151035687985564</v>
      </c>
    </row>
    <row r="427" spans="6:30" x14ac:dyDescent="0.25">
      <c r="F427">
        <v>702000</v>
      </c>
      <c r="G427" s="12">
        <v>2091.5235067763656</v>
      </c>
      <c r="H427" s="12">
        <f t="shared" si="94"/>
        <v>1994.9683932196056</v>
      </c>
      <c r="I427" s="12">
        <f t="shared" si="95"/>
        <v>9322.8899539588256</v>
      </c>
      <c r="K427">
        <f t="shared" si="91"/>
        <v>702000</v>
      </c>
      <c r="L427" s="12">
        <v>1067.6465940095272</v>
      </c>
      <c r="M427" s="12">
        <f t="shared" si="90"/>
        <v>1068.2393773834006</v>
      </c>
      <c r="N427" s="12">
        <f t="shared" si="92"/>
        <v>0.35139212834063277</v>
      </c>
      <c r="R427" s="2">
        <f t="shared" si="93"/>
        <v>0.95900358649737028</v>
      </c>
      <c r="V427">
        <v>425</v>
      </c>
      <c r="W427">
        <f t="shared" si="87"/>
        <v>0.39854443732757666</v>
      </c>
      <c r="X427">
        <f>SUM($W$3:W427)</f>
        <v>199.27518518288332</v>
      </c>
      <c r="Y427" s="4">
        <f t="shared" si="86"/>
        <v>0.46888278866560779</v>
      </c>
      <c r="AA427">
        <v>425</v>
      </c>
      <c r="AB427">
        <f t="shared" si="88"/>
        <v>0.39854443732757666</v>
      </c>
      <c r="AC427">
        <f>SUM($AB$3:AB427)</f>
        <v>196.07893575438638</v>
      </c>
      <c r="AD427" s="4">
        <f t="shared" si="89"/>
        <v>0.46136220177502679</v>
      </c>
    </row>
    <row r="428" spans="6:30" x14ac:dyDescent="0.25">
      <c r="F428">
        <v>704000</v>
      </c>
      <c r="G428" s="12">
        <v>2091.1588645461811</v>
      </c>
      <c r="H428" s="12">
        <f t="shared" si="94"/>
        <v>1994.0381698091801</v>
      </c>
      <c r="I428" s="12">
        <f t="shared" si="95"/>
        <v>9432.4293461977395</v>
      </c>
      <c r="K428">
        <f t="shared" si="91"/>
        <v>704000</v>
      </c>
      <c r="L428" s="12">
        <v>1066.7641503992984</v>
      </c>
      <c r="M428" s="12">
        <f t="shared" si="90"/>
        <v>1067.353186448709</v>
      </c>
      <c r="N428" s="12">
        <f t="shared" si="92"/>
        <v>0.34696346750530771</v>
      </c>
      <c r="R428" s="2">
        <f t="shared" si="93"/>
        <v>0.96028228335517607</v>
      </c>
      <c r="V428">
        <v>426</v>
      </c>
      <c r="W428">
        <f t="shared" si="87"/>
        <v>0.39840208904110502</v>
      </c>
      <c r="X428">
        <f>SUM($W$3:W428)</f>
        <v>199.67358727192442</v>
      </c>
      <c r="Y428" s="4">
        <f t="shared" si="86"/>
        <v>0.46871734101390711</v>
      </c>
      <c r="AA428">
        <v>426</v>
      </c>
      <c r="AB428">
        <f t="shared" si="88"/>
        <v>0.39840208904110502</v>
      </c>
      <c r="AC428">
        <f>SUM($AB$3:AB428)</f>
        <v>196.47733784342748</v>
      </c>
      <c r="AD428" s="4">
        <f t="shared" si="89"/>
        <v>0.46121440808316311</v>
      </c>
    </row>
    <row r="429" spans="6:30" x14ac:dyDescent="0.25">
      <c r="F429">
        <v>706000</v>
      </c>
      <c r="G429" s="12">
        <v>2090.7956994860165</v>
      </c>
      <c r="H429" s="12">
        <f t="shared" si="94"/>
        <v>1993.1110172391759</v>
      </c>
      <c r="I429" s="12">
        <f t="shared" si="95"/>
        <v>9542.297145666209</v>
      </c>
      <c r="K429">
        <f t="shared" si="91"/>
        <v>706000</v>
      </c>
      <c r="L429" s="12">
        <v>1065.8849674291912</v>
      </c>
      <c r="M429" s="12">
        <f t="shared" si="90"/>
        <v>1066.4702415764204</v>
      </c>
      <c r="N429" s="12">
        <f t="shared" si="92"/>
        <v>0.34254582741493333</v>
      </c>
      <c r="R429" s="2">
        <f t="shared" si="93"/>
        <v>0.96155848274022326</v>
      </c>
      <c r="V429">
        <v>427</v>
      </c>
      <c r="W429">
        <f t="shared" si="87"/>
        <v>0.39826012517804926</v>
      </c>
      <c r="X429">
        <f>SUM($W$3:W429)</f>
        <v>200.07184739710246</v>
      </c>
      <c r="Y429" s="4">
        <f t="shared" si="86"/>
        <v>0.46855233582459593</v>
      </c>
      <c r="AA429">
        <v>427</v>
      </c>
      <c r="AB429">
        <f t="shared" si="88"/>
        <v>0.39826012517804926</v>
      </c>
      <c r="AC429">
        <f>SUM($AB$3:AB429)</f>
        <v>196.87559796860552</v>
      </c>
      <c r="AD429" s="4">
        <f t="shared" si="89"/>
        <v>0.46106697416535253</v>
      </c>
    </row>
    <row r="430" spans="6:30" x14ac:dyDescent="0.25">
      <c r="F430">
        <v>708000</v>
      </c>
      <c r="G430" s="12">
        <v>2090.4340014347081</v>
      </c>
      <c r="H430" s="12">
        <f t="shared" si="94"/>
        <v>1992.1869167158825</v>
      </c>
      <c r="I430" s="12">
        <f t="shared" si="95"/>
        <v>9652.4896557480934</v>
      </c>
      <c r="K430">
        <f t="shared" si="91"/>
        <v>708000</v>
      </c>
      <c r="L430" s="12">
        <v>1065.0090238335022</v>
      </c>
      <c r="M430" s="12">
        <f t="shared" si="90"/>
        <v>1065.5905217311615</v>
      </c>
      <c r="N430" s="12">
        <f t="shared" si="92"/>
        <v>0.33813980498223989</v>
      </c>
      <c r="R430" s="2">
        <f t="shared" si="93"/>
        <v>0.96283219639791096</v>
      </c>
      <c r="V430">
        <v>428</v>
      </c>
      <c r="W430">
        <f t="shared" si="87"/>
        <v>0.39811854380359196</v>
      </c>
      <c r="X430">
        <f>SUM($W$3:W430)</f>
        <v>200.46996594090606</v>
      </c>
      <c r="Y430" s="4">
        <f t="shared" si="86"/>
        <v>0.46838777088996741</v>
      </c>
      <c r="AA430">
        <v>428</v>
      </c>
      <c r="AB430">
        <f t="shared" si="88"/>
        <v>0.39811854380359196</v>
      </c>
      <c r="AC430">
        <f>SUM($AB$3:AB430)</f>
        <v>197.27371651240912</v>
      </c>
      <c r="AD430" s="4">
        <f t="shared" si="89"/>
        <v>0.46091989839347924</v>
      </c>
    </row>
    <row r="431" spans="6:30" x14ac:dyDescent="0.25">
      <c r="F431">
        <v>710000</v>
      </c>
      <c r="G431" s="12">
        <v>2090.0737603295142</v>
      </c>
      <c r="H431" s="12">
        <f t="shared" si="94"/>
        <v>1991.2658496132844</v>
      </c>
      <c r="I431" s="12">
        <f t="shared" si="95"/>
        <v>9763.0032201064387</v>
      </c>
      <c r="K431">
        <f t="shared" si="91"/>
        <v>710000</v>
      </c>
      <c r="L431" s="12">
        <v>1064.1362985449214</v>
      </c>
      <c r="M431" s="12">
        <f t="shared" si="90"/>
        <v>1064.7140060728027</v>
      </c>
      <c r="N431" s="12">
        <f t="shared" si="92"/>
        <v>0.33374598777075765</v>
      </c>
      <c r="R431" s="2">
        <f t="shared" si="93"/>
        <v>0.96410343598600967</v>
      </c>
      <c r="V431">
        <v>429</v>
      </c>
      <c r="W431">
        <f t="shared" si="87"/>
        <v>0.39797734299714593</v>
      </c>
      <c r="X431">
        <f>SUM($W$3:W431)</f>
        <v>200.8679432839032</v>
      </c>
      <c r="Y431" s="4">
        <f t="shared" si="86"/>
        <v>0.46822364401842237</v>
      </c>
      <c r="AA431">
        <v>429</v>
      </c>
      <c r="AB431">
        <f t="shared" si="88"/>
        <v>0.39797734299714593</v>
      </c>
      <c r="AC431">
        <f>SUM($AB$3:AB431)</f>
        <v>197.67169385540626</v>
      </c>
      <c r="AD431" s="4">
        <f t="shared" si="89"/>
        <v>0.46077317915013116</v>
      </c>
    </row>
    <row r="432" spans="6:30" x14ac:dyDescent="0.25">
      <c r="F432">
        <v>712000</v>
      </c>
      <c r="G432" s="12">
        <v>2089.714966204886</v>
      </c>
      <c r="H432" s="12">
        <f t="shared" si="94"/>
        <v>1990.3477974710997</v>
      </c>
      <c r="I432" s="12">
        <f t="shared" si="95"/>
        <v>9873.8342221687435</v>
      </c>
      <c r="K432">
        <f t="shared" si="91"/>
        <v>712000</v>
      </c>
      <c r="L432" s="12">
        <v>1063.2667706921225</v>
      </c>
      <c r="M432" s="12">
        <f t="shared" si="90"/>
        <v>1063.8406739541033</v>
      </c>
      <c r="N432" s="12">
        <f t="shared" si="92"/>
        <v>0.32936495411223871</v>
      </c>
      <c r="R432" s="2">
        <f t="shared" si="93"/>
        <v>0.96537221307556487</v>
      </c>
      <c r="V432">
        <v>430</v>
      </c>
      <c r="W432">
        <f t="shared" si="87"/>
        <v>0.39783652085221605</v>
      </c>
      <c r="X432">
        <f>SUM($W$3:W432)</f>
        <v>201.26577980475543</v>
      </c>
      <c r="Y432" s="4">
        <f t="shared" si="86"/>
        <v>0.46805995303431497</v>
      </c>
      <c r="AA432">
        <v>430</v>
      </c>
      <c r="AB432">
        <f t="shared" si="88"/>
        <v>0.39783652085221605</v>
      </c>
      <c r="AC432">
        <f>SUM($AB$3:AB432)</f>
        <v>198.06953037625848</v>
      </c>
      <c r="AD432" s="4">
        <f t="shared" si="89"/>
        <v>0.46062681482850809</v>
      </c>
    </row>
    <row r="433" spans="6:30" x14ac:dyDescent="0.25">
      <c r="F433">
        <v>714000</v>
      </c>
      <c r="G433" s="12">
        <v>2089.3576091912614</v>
      </c>
      <c r="H433" s="12">
        <f t="shared" si="94"/>
        <v>1989.4327419928441</v>
      </c>
      <c r="I433" s="12">
        <f t="shared" si="95"/>
        <v>9984.9790846213455</v>
      </c>
      <c r="K433">
        <f t="shared" si="91"/>
        <v>714000</v>
      </c>
      <c r="L433" s="12">
        <v>1062.4004195973982</v>
      </c>
      <c r="M433" s="12">
        <f t="shared" si="90"/>
        <v>1062.9705049183899</v>
      </c>
      <c r="N433" s="12">
        <f t="shared" si="92"/>
        <v>0.32499727321017069</v>
      </c>
      <c r="R433" s="2">
        <f t="shared" si="93"/>
        <v>0.96663853915177622</v>
      </c>
      <c r="V433">
        <v>431</v>
      </c>
      <c r="W433">
        <f t="shared" si="87"/>
        <v>0.39769607547626373</v>
      </c>
      <c r="X433">
        <f>SUM($W$3:W433)</f>
        <v>201.66347588023169</v>
      </c>
      <c r="Y433" s="4">
        <f t="shared" si="86"/>
        <v>0.46789669577779974</v>
      </c>
      <c r="AA433">
        <v>431</v>
      </c>
      <c r="AB433">
        <f t="shared" si="88"/>
        <v>0.39769607547626373</v>
      </c>
      <c r="AC433">
        <f>SUM($AB$3:AB433)</f>
        <v>198.46722645173475</v>
      </c>
      <c r="AD433" s="4">
        <f t="shared" si="89"/>
        <v>0.4604808038323312</v>
      </c>
    </row>
    <row r="434" spans="6:30" x14ac:dyDescent="0.25">
      <c r="F434">
        <v>716000</v>
      </c>
      <c r="G434" s="12">
        <v>2089.0016795138667</v>
      </c>
      <c r="H434" s="12">
        <f t="shared" si="94"/>
        <v>1988.5206650439231</v>
      </c>
      <c r="I434" s="12">
        <f t="shared" si="95"/>
        <v>10096.434268909015</v>
      </c>
      <c r="K434">
        <f t="shared" si="91"/>
        <v>716000</v>
      </c>
      <c r="L434" s="12">
        <v>1061.5372247743253</v>
      </c>
      <c r="M434" s="12">
        <f t="shared" si="90"/>
        <v>1062.1034786972693</v>
      </c>
      <c r="N434" s="12">
        <f t="shared" si="92"/>
        <v>0.32064350524951779</v>
      </c>
      <c r="R434" s="2">
        <f t="shared" si="93"/>
        <v>0.96790242561486495</v>
      </c>
      <c r="V434">
        <v>432</v>
      </c>
      <c r="W434">
        <f t="shared" si="87"/>
        <v>0.3975560049905722</v>
      </c>
      <c r="X434">
        <f>SUM($W$3:W434)</f>
        <v>202.06103188522226</v>
      </c>
      <c r="Y434" s="4">
        <f t="shared" si="86"/>
        <v>0.46773387010468115</v>
      </c>
      <c r="AA434">
        <v>432</v>
      </c>
      <c r="AB434">
        <f t="shared" si="88"/>
        <v>0.3975560049905722</v>
      </c>
      <c r="AC434">
        <f>SUM($AB$3:AB434)</f>
        <v>198.86478245672532</v>
      </c>
      <c r="AD434" s="4">
        <f t="shared" si="89"/>
        <v>0.46033514457575309</v>
      </c>
    </row>
    <row r="435" spans="6:30" x14ac:dyDescent="0.25">
      <c r="F435">
        <v>718000</v>
      </c>
      <c r="G435" s="12">
        <v>2088.6471674915533</v>
      </c>
      <c r="H435" s="12">
        <f t="shared" si="94"/>
        <v>1987.6115486497547</v>
      </c>
      <c r="I435" s="12">
        <f t="shared" si="95"/>
        <v>10208.196274745213</v>
      </c>
      <c r="K435">
        <f t="shared" si="91"/>
        <v>718000</v>
      </c>
      <c r="L435" s="12">
        <v>1060.6771659254662</v>
      </c>
      <c r="M435" s="12">
        <f t="shared" si="90"/>
        <v>1061.2395752083762</v>
      </c>
      <c r="N435" s="12">
        <f t="shared" si="92"/>
        <v>0.3163042015033844</v>
      </c>
      <c r="R435" s="2">
        <f t="shared" si="93"/>
        <v>0.96916388378094176</v>
      </c>
      <c r="V435">
        <v>433</v>
      </c>
      <c r="W435">
        <f t="shared" si="87"/>
        <v>0.39741630753011464</v>
      </c>
      <c r="X435">
        <f>SUM($W$3:W435)</f>
        <v>202.45844819275237</v>
      </c>
      <c r="Y435" s="4">
        <f t="shared" si="86"/>
        <v>0.46757147388626413</v>
      </c>
      <c r="AA435">
        <v>433</v>
      </c>
      <c r="AB435">
        <f t="shared" si="88"/>
        <v>0.39741630753011464</v>
      </c>
      <c r="AC435">
        <f>SUM($AB$3:AB435)</f>
        <v>199.26219876425543</v>
      </c>
      <c r="AD435" s="4">
        <f t="shared" si="89"/>
        <v>0.46018983548326892</v>
      </c>
    </row>
    <row r="436" spans="6:30" x14ac:dyDescent="0.25">
      <c r="F436">
        <v>720000</v>
      </c>
      <c r="G436" s="12">
        <v>2088.2940635356385</v>
      </c>
      <c r="H436" s="12">
        <f t="shared" si="94"/>
        <v>1986.7053749939109</v>
      </c>
      <c r="I436" s="12">
        <f t="shared" si="95"/>
        <v>10320.261639628137</v>
      </c>
      <c r="K436">
        <f t="shared" si="91"/>
        <v>720000</v>
      </c>
      <c r="L436" s="12">
        <v>1059.8202229401036</v>
      </c>
      <c r="M436" s="12">
        <f t="shared" si="90"/>
        <v>1060.3787745531531</v>
      </c>
      <c r="N436" s="12">
        <f t="shared" si="92"/>
        <v>0.31197990444023271</v>
      </c>
      <c r="R436" s="2">
        <f t="shared" si="93"/>
        <v>0.97042292488285509</v>
      </c>
      <c r="V436">
        <v>434</v>
      </c>
      <c r="W436">
        <f t="shared" si="87"/>
        <v>0.39727698124342209</v>
      </c>
      <c r="X436">
        <f>SUM($W$3:W436)</f>
        <v>202.85572517399578</v>
      </c>
      <c r="Y436" s="4">
        <f t="shared" si="86"/>
        <v>0.46740950500920686</v>
      </c>
      <c r="AA436">
        <v>434</v>
      </c>
      <c r="AB436">
        <f t="shared" si="88"/>
        <v>0.39727698124342209</v>
      </c>
      <c r="AC436">
        <f>SUM($AB$3:AB436)</f>
        <v>199.65947574549884</v>
      </c>
      <c r="AD436" s="4">
        <f t="shared" si="89"/>
        <v>0.46004487498962865</v>
      </c>
    </row>
    <row r="437" spans="6:30" x14ac:dyDescent="0.25">
      <c r="F437">
        <v>722000</v>
      </c>
      <c r="G437" s="12">
        <v>2087.9423581487672</v>
      </c>
      <c r="H437" s="12">
        <f t="shared" si="94"/>
        <v>1985.8021264162976</v>
      </c>
      <c r="I437" s="12">
        <f t="shared" si="95"/>
        <v>10432.626938362589</v>
      </c>
      <c r="K437">
        <f t="shared" si="91"/>
        <v>722000</v>
      </c>
      <c r="L437" s="12">
        <v>1058.9663758920108</v>
      </c>
      <c r="M437" s="12">
        <f t="shared" si="90"/>
        <v>1059.5210570146612</v>
      </c>
      <c r="N437" s="12">
        <f t="shared" si="92"/>
        <v>0.30767114782474803</v>
      </c>
      <c r="R437" s="2">
        <f t="shared" si="93"/>
        <v>0.97167956007102463</v>
      </c>
      <c r="V437">
        <v>435</v>
      </c>
      <c r="W437">
        <f t="shared" si="87"/>
        <v>0.39713802429245482</v>
      </c>
      <c r="X437">
        <f>SUM($W$3:W437)</f>
        <v>203.25286319828822</v>
      </c>
      <c r="Y437" s="4">
        <f t="shared" si="86"/>
        <v>0.46724796137537522</v>
      </c>
      <c r="AA437">
        <v>435</v>
      </c>
      <c r="AB437">
        <f t="shared" si="88"/>
        <v>0.39713802429245482</v>
      </c>
      <c r="AC437">
        <f>SUM($AB$3:AB437)</f>
        <v>200.05661376979128</v>
      </c>
      <c r="AD437" s="4">
        <f t="shared" si="89"/>
        <v>0.45990026153975005</v>
      </c>
    </row>
    <row r="438" spans="6:30" x14ac:dyDescent="0.25">
      <c r="F438">
        <v>724000</v>
      </c>
      <c r="G438" s="12">
        <v>2087.5920419237905</v>
      </c>
      <c r="H438" s="12">
        <f t="shared" si="94"/>
        <v>1984.9017854113513</v>
      </c>
      <c r="I438" s="12">
        <f t="shared" si="95"/>
        <v>10545.28878259056</v>
      </c>
      <c r="K438">
        <f t="shared" si="91"/>
        <v>724000</v>
      </c>
      <c r="L438" s="12">
        <v>1058.1156050372508</v>
      </c>
      <c r="M438" s="12">
        <f t="shared" si="90"/>
        <v>1058.6664030554286</v>
      </c>
      <c r="N438" s="12">
        <f t="shared" si="92"/>
        <v>0.30337845682862447</v>
      </c>
      <c r="R438" s="2">
        <f t="shared" si="93"/>
        <v>0.97293380041427246</v>
      </c>
      <c r="V438">
        <v>436</v>
      </c>
      <c r="W438">
        <f t="shared" si="87"/>
        <v>0.39699943485247363</v>
      </c>
      <c r="X438">
        <f>SUM($W$3:W438)</f>
        <v>203.64986263314069</v>
      </c>
      <c r="Y438" s="4">
        <f t="shared" ref="Y438:Y501" si="96">X438/V438</f>
        <v>0.46708684090169883</v>
      </c>
      <c r="AA438">
        <v>436</v>
      </c>
      <c r="AB438">
        <f t="shared" si="88"/>
        <v>0.39699943485247363</v>
      </c>
      <c r="AC438">
        <f>SUM($AB$3:AB438)</f>
        <v>200.45361320464374</v>
      </c>
      <c r="AD438" s="4">
        <f t="shared" si="89"/>
        <v>0.45975599358863245</v>
      </c>
    </row>
    <row r="439" spans="6:30" x14ac:dyDescent="0.25">
      <c r="F439">
        <v>726000</v>
      </c>
      <c r="G439" s="12">
        <v>2087.2431055426655</v>
      </c>
      <c r="H439" s="12">
        <f t="shared" si="94"/>
        <v>1984.0043346262632</v>
      </c>
      <c r="I439" s="12">
        <f t="shared" si="95"/>
        <v>10658.243820329382</v>
      </c>
      <c r="K439">
        <f t="shared" si="91"/>
        <v>726000</v>
      </c>
      <c r="L439" s="12">
        <v>1057.267890812011</v>
      </c>
      <c r="M439" s="12">
        <f t="shared" si="90"/>
        <v>1057.8147933153227</v>
      </c>
      <c r="N439" s="12">
        <f t="shared" si="92"/>
        <v>0.2991023481285876</v>
      </c>
      <c r="R439" s="2">
        <f t="shared" si="93"/>
        <v>0.97418565690064129</v>
      </c>
      <c r="V439">
        <v>437</v>
      </c>
      <c r="W439">
        <f t="shared" si="87"/>
        <v>0.39686121111191375</v>
      </c>
      <c r="X439">
        <f>SUM($W$3:W439)</f>
        <v>204.0467238442526</v>
      </c>
      <c r="Y439" s="4">
        <f t="shared" si="96"/>
        <v>0.46692614152002881</v>
      </c>
      <c r="AA439">
        <v>437</v>
      </c>
      <c r="AB439">
        <f t="shared" si="88"/>
        <v>0.39686121111191375</v>
      </c>
      <c r="AC439">
        <f>SUM($AB$3:AB439)</f>
        <v>200.85047441575566</v>
      </c>
      <c r="AD439" s="4">
        <f t="shared" si="89"/>
        <v>0.45961206960127154</v>
      </c>
    </row>
    <row r="440" spans="6:30" x14ac:dyDescent="0.25">
      <c r="F440">
        <v>728000</v>
      </c>
      <c r="G440" s="12">
        <v>2086.8955397753671</v>
      </c>
      <c r="H440" s="12">
        <f t="shared" si="94"/>
        <v>1983.109756859232</v>
      </c>
      <c r="I440" s="12">
        <f t="shared" si="95"/>
        <v>10771.488735515115</v>
      </c>
      <c r="K440">
        <f t="shared" si="91"/>
        <v>728000</v>
      </c>
      <c r="L440" s="12">
        <v>1056.4232138304687</v>
      </c>
      <c r="M440" s="12">
        <f t="shared" si="90"/>
        <v>1056.9662086094602</v>
      </c>
      <c r="N440" s="12">
        <f t="shared" si="92"/>
        <v>0.29484333001196517</v>
      </c>
      <c r="R440" s="2">
        <f t="shared" si="93"/>
        <v>0.97543514043820045</v>
      </c>
      <c r="V440">
        <v>438</v>
      </c>
      <c r="W440">
        <f t="shared" si="87"/>
        <v>0.39672335127225972</v>
      </c>
      <c r="X440">
        <f>SUM($W$3:W440)</f>
        <v>204.44344719552487</v>
      </c>
      <c r="Y440" s="4">
        <f t="shared" si="96"/>
        <v>0.46676586117699742</v>
      </c>
      <c r="AA440">
        <v>438</v>
      </c>
      <c r="AB440">
        <f t="shared" si="88"/>
        <v>0.39672335127225972</v>
      </c>
      <c r="AC440">
        <f>SUM($AB$3:AB440)</f>
        <v>201.24719776702793</v>
      </c>
      <c r="AD440" s="4">
        <f t="shared" si="89"/>
        <v>0.45946848805257517</v>
      </c>
    </row>
    <row r="441" spans="6:30" x14ac:dyDescent="0.25">
      <c r="F441">
        <v>730000</v>
      </c>
      <c r="G441" s="12">
        <v>2086.5493354788155</v>
      </c>
      <c r="H441" s="12">
        <f t="shared" si="94"/>
        <v>1982.2180350577387</v>
      </c>
      <c r="I441" s="12">
        <f t="shared" si="95"/>
        <v>10885.020247552975</v>
      </c>
      <c r="K441">
        <f t="shared" si="91"/>
        <v>730000</v>
      </c>
      <c r="L441" s="12">
        <v>1055.5815548826863</v>
      </c>
      <c r="M441" s="12">
        <f t="shared" si="90"/>
        <v>1056.1206299261428</v>
      </c>
      <c r="N441" s="12">
        <f t="shared" si="92"/>
        <v>0.29060190247760359</v>
      </c>
      <c r="R441" s="2">
        <f t="shared" si="93"/>
        <v>0.97668226185584239</v>
      </c>
      <c r="V441">
        <v>439</v>
      </c>
      <c r="W441">
        <f t="shared" si="87"/>
        <v>0.39658585354792192</v>
      </c>
      <c r="X441">
        <f>SUM($W$3:W441)</f>
        <v>204.84003304907279</v>
      </c>
      <c r="Y441" s="4">
        <f t="shared" si="96"/>
        <v>0.46660599783387879</v>
      </c>
      <c r="AA441">
        <v>439</v>
      </c>
      <c r="AB441">
        <f t="shared" si="88"/>
        <v>0.39658585354792192</v>
      </c>
      <c r="AC441">
        <f>SUM($AB$3:AB441)</f>
        <v>201.64378362057585</v>
      </c>
      <c r="AD441" s="4">
        <f t="shared" si="89"/>
        <v>0.45932524742727981</v>
      </c>
    </row>
    <row r="442" spans="6:30" x14ac:dyDescent="0.25">
      <c r="F442">
        <v>732000</v>
      </c>
      <c r="G442" s="12">
        <v>2086.2044835958222</v>
      </c>
      <c r="H442" s="12">
        <f t="shared" si="94"/>
        <v>1981.3291523168457</v>
      </c>
      <c r="I442" s="12">
        <f t="shared" si="95"/>
        <v>10998.835110875076</v>
      </c>
      <c r="K442">
        <f t="shared" si="91"/>
        <v>732000</v>
      </c>
      <c r="L442" s="12">
        <v>1054.742894932539</v>
      </c>
      <c r="M442" s="12">
        <f t="shared" si="90"/>
        <v>1055.2780384248247</v>
      </c>
      <c r="N442" s="12">
        <f t="shared" si="92"/>
        <v>0.28637855733570261</v>
      </c>
      <c r="R442" s="2">
        <f t="shared" si="93"/>
        <v>0.97792703190406916</v>
      </c>
      <c r="V442">
        <v>440</v>
      </c>
      <c r="W442">
        <f t="shared" si="87"/>
        <v>0.39644871616611427</v>
      </c>
      <c r="X442">
        <f>SUM($W$3:W442)</f>
        <v>205.23648176523889</v>
      </c>
      <c r="Y442" s="4">
        <f t="shared" si="96"/>
        <v>0.46644654946645203</v>
      </c>
      <c r="AA442">
        <v>440</v>
      </c>
      <c r="AB442">
        <f t="shared" si="88"/>
        <v>0.39644871616611427</v>
      </c>
      <c r="AC442">
        <f>SUM($AB$3:AB442)</f>
        <v>202.04023233674195</v>
      </c>
      <c r="AD442" s="4">
        <f t="shared" si="89"/>
        <v>0.45918234621986809</v>
      </c>
    </row>
    <row r="443" spans="6:30" x14ac:dyDescent="0.25">
      <c r="F443">
        <v>734000</v>
      </c>
      <c r="G443" s="12">
        <v>2085.8609751540516</v>
      </c>
      <c r="H443" s="12">
        <f t="shared" si="94"/>
        <v>1980.4430918775213</v>
      </c>
      <c r="I443" s="12">
        <f t="shared" si="95"/>
        <v>11112.930114504177</v>
      </c>
      <c r="K443">
        <f t="shared" si="91"/>
        <v>734000</v>
      </c>
      <c r="L443" s="12">
        <v>1053.9072151156715</v>
      </c>
      <c r="M443" s="12">
        <f t="shared" si="90"/>
        <v>1054.4384154341094</v>
      </c>
      <c r="N443" s="12">
        <f t="shared" si="92"/>
        <v>0.28217377830849255</v>
      </c>
      <c r="R443" s="2">
        <f t="shared" si="93"/>
        <v>0.97916946125576909</v>
      </c>
      <c r="V443">
        <v>441</v>
      </c>
      <c r="W443">
        <f t="shared" si="87"/>
        <v>0.39631193736673381</v>
      </c>
      <c r="X443">
        <f>SUM($W$3:W443)</f>
        <v>205.63279370260562</v>
      </c>
      <c r="Y443" s="4">
        <f t="shared" si="96"/>
        <v>0.46628751406486535</v>
      </c>
      <c r="AA443">
        <v>441</v>
      </c>
      <c r="AB443">
        <f t="shared" si="88"/>
        <v>0.39631193736673381</v>
      </c>
      <c r="AC443">
        <f>SUM($AB$3:AB443)</f>
        <v>202.43654427410868</v>
      </c>
      <c r="AD443" s="4">
        <f t="shared" si="89"/>
        <v>0.45903978293448683</v>
      </c>
    </row>
    <row r="444" spans="6:30" x14ac:dyDescent="0.25">
      <c r="F444">
        <v>736000</v>
      </c>
      <c r="G444" s="12">
        <v>2085.5188012649937</v>
      </c>
      <c r="H444" s="12">
        <f t="shared" si="94"/>
        <v>1979.5598371249848</v>
      </c>
      <c r="I444" s="12">
        <f t="shared" si="95"/>
        <v>11227.302081623693</v>
      </c>
      <c r="K444">
        <f t="shared" si="91"/>
        <v>736000</v>
      </c>
      <c r="L444" s="12">
        <v>1053.0744967374835</v>
      </c>
      <c r="M444" s="12">
        <f t="shared" si="90"/>
        <v>1053.6017424497757</v>
      </c>
      <c r="N444" s="12">
        <f t="shared" si="92"/>
        <v>0.27798804113044856</v>
      </c>
      <c r="R444" s="2">
        <f t="shared" si="93"/>
        <v>0.98040956050698469</v>
      </c>
      <c r="V444">
        <v>442</v>
      </c>
      <c r="W444">
        <f t="shared" si="87"/>
        <v>0.39617551540224144</v>
      </c>
      <c r="X444">
        <f>SUM($W$3:W444)</f>
        <v>206.02896921800786</v>
      </c>
      <c r="Y444" s="4">
        <f t="shared" si="96"/>
        <v>0.46612888963350196</v>
      </c>
      <c r="AA444">
        <v>442</v>
      </c>
      <c r="AB444">
        <f t="shared" si="88"/>
        <v>0.39617551540224144</v>
      </c>
      <c r="AC444">
        <f>SUM($AB$3:AB444)</f>
        <v>202.83271978951092</v>
      </c>
      <c r="AD444" s="4">
        <f t="shared" si="89"/>
        <v>0.45889755608486632</v>
      </c>
    </row>
    <row r="445" spans="6:30" x14ac:dyDescent="0.25">
      <c r="F445">
        <v>738000</v>
      </c>
      <c r="G445" s="12">
        <v>2085.1779531229604</v>
      </c>
      <c r="H445" s="12">
        <f t="shared" si="94"/>
        <v>1978.6793715870808</v>
      </c>
      <c r="I445" s="12">
        <f t="shared" si="95"/>
        <v>11341.947869154388</v>
      </c>
      <c r="K445">
        <f t="shared" si="91"/>
        <v>738000</v>
      </c>
      <c r="L445" s="12">
        <v>1052.2447212711463</v>
      </c>
      <c r="M445" s="12">
        <f t="shared" si="90"/>
        <v>1052.76800113283</v>
      </c>
      <c r="N445" s="12">
        <f t="shared" si="92"/>
        <v>0.27382181364371683</v>
      </c>
      <c r="R445" s="2">
        <f t="shared" si="93"/>
        <v>0.98164734017766953</v>
      </c>
      <c r="V445">
        <v>443</v>
      </c>
      <c r="W445">
        <f t="shared" si="87"/>
        <v>0.39603944853754364</v>
      </c>
      <c r="X445">
        <f>SUM($W$3:W445)</f>
        <v>206.42500866654541</v>
      </c>
      <c r="Y445" s="4">
        <f t="shared" si="96"/>
        <v>0.46597067419084742</v>
      </c>
      <c r="AA445">
        <v>443</v>
      </c>
      <c r="AB445">
        <f t="shared" si="88"/>
        <v>0.39603944853754364</v>
      </c>
      <c r="AC445">
        <f>SUM($AB$3:AB445)</f>
        <v>203.22875923804847</v>
      </c>
      <c r="AD445" s="4">
        <f t="shared" si="89"/>
        <v>0.45875566419424035</v>
      </c>
    </row>
    <row r="446" spans="6:30" x14ac:dyDescent="0.25">
      <c r="F446">
        <v>740000</v>
      </c>
      <c r="G446" s="12">
        <v>2084.8384220040871</v>
      </c>
      <c r="H446" s="12">
        <f t="shared" si="94"/>
        <v>1977.8016789326682</v>
      </c>
      <c r="I446" s="12">
        <f t="shared" si="95"/>
        <v>11456.864367336935</v>
      </c>
      <c r="K446">
        <f t="shared" si="91"/>
        <v>740000</v>
      </c>
      <c r="L446" s="12">
        <v>1051.4178703556463</v>
      </c>
      <c r="M446" s="12">
        <f t="shared" si="90"/>
        <v>1051.9371733075898</v>
      </c>
      <c r="N446" s="12">
        <f t="shared" si="92"/>
        <v>0.2696755558972051</v>
      </c>
      <c r="R446" s="2">
        <f t="shared" si="93"/>
        <v>0.98288281071243544</v>
      </c>
      <c r="V446">
        <v>444</v>
      </c>
      <c r="W446">
        <f t="shared" si="87"/>
        <v>0.39590373504987669</v>
      </c>
      <c r="X446">
        <f>SUM($W$3:W446)</f>
        <v>206.82091240159528</v>
      </c>
      <c r="Y446" s="4">
        <f t="shared" si="96"/>
        <v>0.46581286576935876</v>
      </c>
      <c r="AA446">
        <v>444</v>
      </c>
      <c r="AB446">
        <f t="shared" si="88"/>
        <v>0.39590373504987669</v>
      </c>
      <c r="AC446">
        <f>SUM($AB$3:AB446)</f>
        <v>203.62466297309834</v>
      </c>
      <c r="AD446" s="4">
        <f t="shared" si="89"/>
        <v>0.45861410579526651</v>
      </c>
    </row>
    <row r="447" spans="6:30" x14ac:dyDescent="0.25">
      <c r="F447">
        <v>742000</v>
      </c>
      <c r="G447" s="12">
        <v>2084.500199265357</v>
      </c>
      <c r="H447" s="12">
        <f t="shared" si="94"/>
        <v>1976.9267429700371</v>
      </c>
      <c r="I447" s="12">
        <f t="shared" si="95"/>
        <v>11572.048499321085</v>
      </c>
      <c r="K447">
        <f t="shared" si="91"/>
        <v>742000</v>
      </c>
      <c r="L447" s="12">
        <v>1050.5939257938567</v>
      </c>
      <c r="M447" s="12">
        <f t="shared" si="90"/>
        <v>1051.1092409597909</v>
      </c>
      <c r="N447" s="12">
        <f t="shared" si="92"/>
        <v>0.26554972024181855</v>
      </c>
      <c r="R447" s="2">
        <f t="shared" si="93"/>
        <v>0.98411598248129328</v>
      </c>
      <c r="V447">
        <v>445</v>
      </c>
      <c r="W447">
        <f t="shared" si="87"/>
        <v>0.39576837322869091</v>
      </c>
      <c r="X447">
        <f>SUM($W$3:W447)</f>
        <v>207.21668077482397</v>
      </c>
      <c r="Y447" s="4">
        <f t="shared" si="96"/>
        <v>0.46565546241533479</v>
      </c>
      <c r="AA447">
        <v>445</v>
      </c>
      <c r="AB447">
        <f t="shared" si="88"/>
        <v>0.39576837322869091</v>
      </c>
      <c r="AC447">
        <f>SUM($AB$3:AB447)</f>
        <v>204.02043134632703</v>
      </c>
      <c r="AD447" s="4">
        <f t="shared" si="89"/>
        <v>0.45847287942994835</v>
      </c>
    </row>
    <row r="448" spans="6:30" x14ac:dyDescent="0.25">
      <c r="F448">
        <v>744000</v>
      </c>
      <c r="G448" s="12">
        <v>2084.1632763436291</v>
      </c>
      <c r="H448" s="12">
        <f t="shared" si="94"/>
        <v>1976.0545476453485</v>
      </c>
      <c r="I448" s="12">
        <f t="shared" si="95"/>
        <v>11687.497220758445</v>
      </c>
      <c r="K448">
        <f t="shared" si="91"/>
        <v>744000</v>
      </c>
      <c r="L448" s="12">
        <v>1049.7728695506362</v>
      </c>
      <c r="M448" s="12">
        <f t="shared" si="90"/>
        <v>1050.284186234725</v>
      </c>
      <c r="N448" s="12">
        <f t="shared" si="92"/>
        <v>0.26144475142756268</v>
      </c>
      <c r="R448" s="2">
        <f t="shared" si="93"/>
        <v>0.98534686578037789</v>
      </c>
      <c r="V448">
        <v>446</v>
      </c>
      <c r="W448">
        <f t="shared" si="87"/>
        <v>0.39563336137553701</v>
      </c>
      <c r="X448">
        <f>SUM($W$3:W448)</f>
        <v>207.6123141361995</v>
      </c>
      <c r="Y448" s="4">
        <f t="shared" si="96"/>
        <v>0.4654984621887881</v>
      </c>
      <c r="AA448">
        <v>446</v>
      </c>
      <c r="AB448">
        <f t="shared" si="88"/>
        <v>0.39563336137553701</v>
      </c>
      <c r="AC448">
        <f>SUM($AB$3:AB448)</f>
        <v>204.41606470770256</v>
      </c>
      <c r="AD448" s="4">
        <f t="shared" si="89"/>
        <v>0.4583319836495573</v>
      </c>
    </row>
    <row r="449" spans="6:30" x14ac:dyDescent="0.25">
      <c r="F449">
        <v>746000</v>
      </c>
      <c r="G449" s="12">
        <v>2083.8276447546978</v>
      </c>
      <c r="H449" s="12">
        <f t="shared" si="94"/>
        <v>1975.1850770410904</v>
      </c>
      <c r="I449" s="12">
        <f t="shared" si="95"/>
        <v>11803.207519405763</v>
      </c>
      <c r="K449">
        <f t="shared" si="91"/>
        <v>746000</v>
      </c>
      <c r="L449" s="12">
        <v>1048.9546837509583</v>
      </c>
      <c r="M449" s="12">
        <f t="shared" si="90"/>
        <v>1049.4619914354005</v>
      </c>
      <c r="N449" s="12">
        <f t="shared" si="92"/>
        <v>0.25736108669404523</v>
      </c>
      <c r="R449" s="2">
        <f t="shared" si="93"/>
        <v>0.98657547083267305</v>
      </c>
      <c r="V449">
        <v>447</v>
      </c>
      <c r="W449">
        <f t="shared" si="87"/>
        <v>0.3954986978039538</v>
      </c>
      <c r="X449">
        <f>SUM($W$3:W449)</f>
        <v>208.00781283400346</v>
      </c>
      <c r="Y449" s="4">
        <f t="shared" si="96"/>
        <v>0.46534186316331871</v>
      </c>
      <c r="AA449">
        <v>447</v>
      </c>
      <c r="AB449">
        <f t="shared" si="88"/>
        <v>0.3954986978039538</v>
      </c>
      <c r="AC449">
        <f>SUM($AB$3:AB449)</f>
        <v>204.81156340550652</v>
      </c>
      <c r="AD449" s="4">
        <f t="shared" si="89"/>
        <v>0.45819141701455596</v>
      </c>
    </row>
    <row r="450" spans="6:30" x14ac:dyDescent="0.25">
      <c r="F450">
        <v>748000</v>
      </c>
      <c r="G450" s="12">
        <v>2083.4932960923447</v>
      </c>
      <c r="H450" s="12">
        <f t="shared" si="94"/>
        <v>1974.318315374559</v>
      </c>
      <c r="I450" s="12">
        <f t="shared" si="95"/>
        <v>11919.176414728885</v>
      </c>
      <c r="K450">
        <f t="shared" si="91"/>
        <v>748000</v>
      </c>
      <c r="L450" s="12">
        <v>1048.1393506780605</v>
      </c>
      <c r="M450" s="12">
        <f t="shared" si="90"/>
        <v>1048.6426390207323</v>
      </c>
      <c r="N450" s="12">
        <f t="shared" si="92"/>
        <v>0.25329915586932161</v>
      </c>
      <c r="R450" s="2">
        <f t="shared" si="93"/>
        <v>0.98780180778872095</v>
      </c>
      <c r="V450">
        <v>448</v>
      </c>
      <c r="W450">
        <f t="shared" si="87"/>
        <v>0.39536438083935671</v>
      </c>
      <c r="X450">
        <f>SUM($W$3:W450)</f>
        <v>208.40317721484283</v>
      </c>
      <c r="Y450" s="4">
        <f t="shared" si="96"/>
        <v>0.46518566342598844</v>
      </c>
      <c r="AA450">
        <v>448</v>
      </c>
      <c r="AB450">
        <f t="shared" si="88"/>
        <v>0.39536438083935671</v>
      </c>
      <c r="AC450">
        <f>SUM($AB$3:AB450)</f>
        <v>205.20692778634589</v>
      </c>
      <c r="AD450" s="4">
        <f t="shared" si="89"/>
        <v>0.45805117809452206</v>
      </c>
    </row>
    <row r="451" spans="6:30" x14ac:dyDescent="0.25">
      <c r="F451">
        <v>750000</v>
      </c>
      <c r="G451" s="12">
        <v>2083.1602220274244</v>
      </c>
      <c r="H451" s="12">
        <f t="shared" si="94"/>
        <v>1973.4542469963624</v>
      </c>
      <c r="I451" s="12">
        <f t="shared" si="95"/>
        <v>12035.400957516011</v>
      </c>
      <c r="K451">
        <f t="shared" si="91"/>
        <v>750000</v>
      </c>
      <c r="L451" s="12">
        <v>1047.3268527716275</v>
      </c>
      <c r="M451" s="12">
        <f t="shared" si="90"/>
        <v>1047.8261116037554</v>
      </c>
      <c r="N451" s="12">
        <f t="shared" si="92"/>
        <v>0.24925938145772186</v>
      </c>
      <c r="R451" s="2">
        <f t="shared" si="93"/>
        <v>0.9890258867273245</v>
      </c>
      <c r="V451">
        <v>449</v>
      </c>
      <c r="W451">
        <f t="shared" si="87"/>
        <v>0.39523040881892796</v>
      </c>
      <c r="X451">
        <f>SUM($W$3:W451)</f>
        <v>208.79840762366175</v>
      </c>
      <c r="Y451" s="4">
        <f t="shared" si="96"/>
        <v>0.46502986107719763</v>
      </c>
      <c r="AA451">
        <v>449</v>
      </c>
      <c r="AB451">
        <f t="shared" si="88"/>
        <v>0.39523040881892796</v>
      </c>
      <c r="AC451">
        <f>SUM($AB$3:AB451)</f>
        <v>205.6021581951648</v>
      </c>
      <c r="AD451" s="4">
        <f t="shared" si="89"/>
        <v>0.45791126546807304</v>
      </c>
    </row>
    <row r="452" spans="6:30" x14ac:dyDescent="0.25">
      <c r="F452">
        <v>752000</v>
      </c>
      <c r="G452" s="12">
        <v>2082.8284143069477</v>
      </c>
      <c r="H452" s="12">
        <f t="shared" si="94"/>
        <v>1972.592856388939</v>
      </c>
      <c r="I452" s="12">
        <f t="shared" si="95"/>
        <v>12151.878229494647</v>
      </c>
      <c r="K452">
        <f t="shared" si="91"/>
        <v>752000</v>
      </c>
      <c r="L452" s="12">
        <v>1046.5171726259932</v>
      </c>
      <c r="M452" s="12">
        <f t="shared" si="90"/>
        <v>1047.0123919498635</v>
      </c>
      <c r="N452" s="12">
        <f t="shared" si="92"/>
        <v>0.24524217873454476</v>
      </c>
      <c r="R452" s="2">
        <f t="shared" si="93"/>
        <v>0.9902477176562432</v>
      </c>
      <c r="V452">
        <v>450</v>
      </c>
      <c r="W452">
        <f t="shared" ref="W452:W515" si="97">V452^(-$D$5)</f>
        <v>0.39509678009150812</v>
      </c>
      <c r="X452">
        <f>SUM($W$3:W452)</f>
        <v>209.19350440375325</v>
      </c>
      <c r="Y452" s="4">
        <f t="shared" si="96"/>
        <v>0.46487445423056278</v>
      </c>
      <c r="AA452">
        <v>450</v>
      </c>
      <c r="AB452">
        <f t="shared" ref="AB452:AB515" si="98">AA452^(-$D$5)</f>
        <v>0.39509678009150812</v>
      </c>
      <c r="AC452">
        <f>SUM($AB$3:AB452)</f>
        <v>205.99725497525631</v>
      </c>
      <c r="AD452" s="4">
        <f t="shared" si="89"/>
        <v>0.45777167772279181</v>
      </c>
    </row>
    <row r="453" spans="6:30" x14ac:dyDescent="0.25">
      <c r="F453">
        <v>754000</v>
      </c>
      <c r="G453" s="12">
        <v>2082.4978647531871</v>
      </c>
      <c r="H453" s="12">
        <f t="shared" si="94"/>
        <v>1971.7341281651034</v>
      </c>
      <c r="I453" s="12">
        <f t="shared" si="95"/>
        <v>12268.605342954392</v>
      </c>
      <c r="K453">
        <f t="shared" si="91"/>
        <v>754000</v>
      </c>
      <c r="L453" s="12">
        <v>1045.710292988374</v>
      </c>
      <c r="M453" s="12">
        <f t="shared" si="90"/>
        <v>1046.201462975074</v>
      </c>
      <c r="N453" s="12">
        <f t="shared" si="92"/>
        <v>0.24124795583489311</v>
      </c>
      <c r="R453" s="2">
        <f t="shared" si="93"/>
        <v>0.9914673105128744</v>
      </c>
      <c r="V453">
        <v>451</v>
      </c>
      <c r="W453">
        <f t="shared" si="97"/>
        <v>0.39496349301748795</v>
      </c>
      <c r="X453">
        <f>SUM($W$3:W453)</f>
        <v>209.58846789677074</v>
      </c>
      <c r="Y453" s="4">
        <f t="shared" si="96"/>
        <v>0.46471944101279544</v>
      </c>
      <c r="AA453">
        <v>451</v>
      </c>
      <c r="AB453">
        <f t="shared" si="98"/>
        <v>0.39496349301748795</v>
      </c>
      <c r="AC453">
        <f>SUM($AB$3:AB453)</f>
        <v>206.3922184682738</v>
      </c>
      <c r="AD453" s="4">
        <f t="shared" si="89"/>
        <v>0.45763241345515254</v>
      </c>
    </row>
    <row r="454" spans="6:30" x14ac:dyDescent="0.25">
      <c r="F454">
        <v>756000</v>
      </c>
      <c r="G454" s="12">
        <v>2082.1685652627921</v>
      </c>
      <c r="H454" s="12">
        <f t="shared" si="94"/>
        <v>1970.8780470666056</v>
      </c>
      <c r="I454" s="12">
        <f t="shared" si="95"/>
        <v>12385.579440375705</v>
      </c>
      <c r="K454">
        <f t="shared" si="91"/>
        <v>756000</v>
      </c>
      <c r="L454" s="12">
        <v>1044.9061967571211</v>
      </c>
      <c r="M454" s="12">
        <f t="shared" si="90"/>
        <v>1045.3933077443151</v>
      </c>
      <c r="N454" s="12">
        <f t="shared" si="92"/>
        <v>0.23727711384511391</v>
      </c>
      <c r="R454" s="2">
        <f t="shared" si="93"/>
        <v>0.99268467516493564</v>
      </c>
      <c r="V454">
        <v>452</v>
      </c>
      <c r="W454">
        <f t="shared" si="97"/>
        <v>0.39483054596870332</v>
      </c>
      <c r="X454">
        <f>SUM($W$3:W454)</f>
        <v>209.98329844273945</v>
      </c>
      <c r="Y454" s="4">
        <f t="shared" si="96"/>
        <v>0.46456481956358286</v>
      </c>
      <c r="AA454">
        <v>452</v>
      </c>
      <c r="AB454">
        <f t="shared" si="98"/>
        <v>0.39483054596870332</v>
      </c>
      <c r="AC454">
        <f>SUM($AB$3:AB454)</f>
        <v>206.78704901424251</v>
      </c>
      <c r="AD454" s="4">
        <f t="shared" ref="AD454:AD517" si="99">AC454/AA454</f>
        <v>0.45749347127044804</v>
      </c>
    </row>
    <row r="455" spans="6:30" x14ac:dyDescent="0.25">
      <c r="F455">
        <v>758000</v>
      </c>
      <c r="G455" s="12">
        <v>2081.84050780592</v>
      </c>
      <c r="H455" s="12">
        <f t="shared" si="94"/>
        <v>1970.024597962715</v>
      </c>
      <c r="I455" s="12">
        <f t="shared" si="95"/>
        <v>12502.79769406374</v>
      </c>
      <c r="K455">
        <f t="shared" si="91"/>
        <v>758000</v>
      </c>
      <c r="L455" s="12">
        <v>1044.104866980003</v>
      </c>
      <c r="M455" s="12">
        <f t="shared" si="90"/>
        <v>1044.5879094697389</v>
      </c>
      <c r="N455" s="12">
        <f t="shared" si="92"/>
        <v>0.23333004689026479</v>
      </c>
      <c r="R455" s="2">
        <f t="shared" si="93"/>
        <v>0.99389982141113031</v>
      </c>
      <c r="V455">
        <v>453</v>
      </c>
      <c r="W455">
        <f t="shared" si="97"/>
        <v>0.3946979373283292</v>
      </c>
      <c r="X455">
        <f>SUM($W$3:W455)</f>
        <v>210.37799638006777</v>
      </c>
      <c r="Y455" s="4">
        <f t="shared" si="96"/>
        <v>0.4644105880354697</v>
      </c>
      <c r="AA455">
        <v>453</v>
      </c>
      <c r="AB455">
        <f t="shared" si="98"/>
        <v>0.3946979373283292</v>
      </c>
      <c r="AC455">
        <f>SUM($AB$3:AB455)</f>
        <v>207.18174695157083</v>
      </c>
      <c r="AD455" s="4">
        <f t="shared" si="99"/>
        <v>0.45735484978271707</v>
      </c>
    </row>
    <row r="456" spans="6:30" x14ac:dyDescent="0.25">
      <c r="F456">
        <v>760000</v>
      </c>
      <c r="G456" s="12">
        <v>2081.513684425372</v>
      </c>
      <c r="H456" s="12">
        <f t="shared" si="94"/>
        <v>1969.1737658488207</v>
      </c>
      <c r="I456" s="12">
        <f t="shared" si="95"/>
        <v>12620.257305786181</v>
      </c>
      <c r="K456">
        <f t="shared" si="91"/>
        <v>760000</v>
      </c>
      <c r="L456" s="12">
        <v>1043.3062868525067</v>
      </c>
      <c r="M456" s="12">
        <f t="shared" si="90"/>
        <v>1043.7852515090565</v>
      </c>
      <c r="N456" s="12">
        <f t="shared" si="92"/>
        <v>0.22940714222387365</v>
      </c>
      <c r="R456" s="2">
        <f t="shared" si="93"/>
        <v>0.99511275898180984</v>
      </c>
      <c r="V456">
        <v>454</v>
      </c>
      <c r="W456">
        <f t="shared" si="97"/>
        <v>0.39456566549077637</v>
      </c>
      <c r="X456">
        <f>SUM($W$3:W456)</f>
        <v>210.77256204555854</v>
      </c>
      <c r="Y456" s="4">
        <f t="shared" si="96"/>
        <v>0.46425674459374128</v>
      </c>
      <c r="AA456">
        <v>454</v>
      </c>
      <c r="AB456">
        <f t="shared" si="98"/>
        <v>0.39456566549077637</v>
      </c>
      <c r="AC456">
        <f>SUM($AB$3:AB456)</f>
        <v>207.5763126170616</v>
      </c>
      <c r="AD456" s="4">
        <f t="shared" si="99"/>
        <v>0.45721654761467312</v>
      </c>
    </row>
    <row r="457" spans="6:30" x14ac:dyDescent="0.25">
      <c r="F457">
        <v>762000</v>
      </c>
      <c r="G457" s="12">
        <v>2081.1880872357538</v>
      </c>
      <c r="H457" s="12">
        <f t="shared" si="94"/>
        <v>1968.3255358450513</v>
      </c>
      <c r="I457" s="12">
        <f t="shared" si="95"/>
        <v>12737.955506418961</v>
      </c>
      <c r="K457">
        <f t="shared" si="91"/>
        <v>762000</v>
      </c>
      <c r="L457" s="12">
        <v>1042.5104397161681</v>
      </c>
      <c r="M457" s="12">
        <f t="shared" si="90"/>
        <v>1042.9853173638976</v>
      </c>
      <c r="N457" s="12">
        <f t="shared" si="92"/>
        <v>0.2255087803131027</v>
      </c>
      <c r="R457" s="2">
        <f t="shared" si="93"/>
        <v>0.99632349753962557</v>
      </c>
      <c r="V457">
        <v>455</v>
      </c>
      <c r="W457">
        <f t="shared" si="97"/>
        <v>0.39443372886158873</v>
      </c>
      <c r="X457">
        <f>SUM($W$3:W457)</f>
        <v>211.16699577442014</v>
      </c>
      <c r="Y457" s="4">
        <f t="shared" si="96"/>
        <v>0.46410328741630802</v>
      </c>
      <c r="AA457">
        <v>455</v>
      </c>
      <c r="AB457">
        <f t="shared" si="98"/>
        <v>0.39443372886158873</v>
      </c>
      <c r="AC457">
        <f>SUM($AB$3:AB457)</f>
        <v>207.9707463459232</v>
      </c>
      <c r="AD457" s="4">
        <f t="shared" si="99"/>
        <v>0.45707856339763342</v>
      </c>
    </row>
    <row r="458" spans="6:30" x14ac:dyDescent="0.25">
      <c r="F458">
        <v>764000</v>
      </c>
      <c r="G458" s="12">
        <v>2080.8637084226325</v>
      </c>
      <c r="H458" s="12">
        <f t="shared" si="94"/>
        <v>1967.4798931949138</v>
      </c>
      <c r="I458" s="12">
        <f t="shared" si="95"/>
        <v>12855.889555593465</v>
      </c>
      <c r="K458">
        <f t="shared" si="91"/>
        <v>764000</v>
      </c>
      <c r="L458" s="12">
        <v>1041.7173090569213</v>
      </c>
      <c r="M458" s="12">
        <f t="shared" si="90"/>
        <v>1042.1880906781907</v>
      </c>
      <c r="N458" s="12">
        <f t="shared" si="92"/>
        <v>0.22163533492509416</v>
      </c>
      <c r="R458" s="2">
        <f t="shared" si="93"/>
        <v>0.99753204668017137</v>
      </c>
      <c r="V458">
        <v>456</v>
      </c>
      <c r="W458">
        <f t="shared" si="97"/>
        <v>0.39430212585734165</v>
      </c>
      <c r="X458">
        <f>SUM($W$3:W458)</f>
        <v>211.56129790027748</v>
      </c>
      <c r="Y458" s="4">
        <f t="shared" si="96"/>
        <v>0.46395021469359099</v>
      </c>
      <c r="AA458">
        <v>456</v>
      </c>
      <c r="AB458">
        <f t="shared" si="98"/>
        <v>0.39430212585734165</v>
      </c>
      <c r="AC458">
        <f>SUM($AB$3:AB458)</f>
        <v>208.36504847178054</v>
      </c>
      <c r="AD458" s="4">
        <f t="shared" si="99"/>
        <v>0.45694089577144853</v>
      </c>
    </row>
    <row r="459" spans="6:30" x14ac:dyDescent="0.25">
      <c r="F459">
        <v>766000</v>
      </c>
      <c r="G459" s="12">
        <v>2080.54054024172</v>
      </c>
      <c r="H459" s="12">
        <f t="shared" si="94"/>
        <v>1966.6368232639525</v>
      </c>
      <c r="I459" s="12">
        <f t="shared" si="95"/>
        <v>12974.056741351371</v>
      </c>
      <c r="K459">
        <f t="shared" si="91"/>
        <v>766000</v>
      </c>
      <c r="L459" s="12">
        <v>1040.9268785034712</v>
      </c>
      <c r="M459" s="12">
        <f t="shared" si="90"/>
        <v>1041.393555236569</v>
      </c>
      <c r="N459" s="12">
        <f t="shared" si="92"/>
        <v>0.21778717321479454</v>
      </c>
      <c r="R459" s="2">
        <f t="shared" si="93"/>
        <v>0.99873841593262491</v>
      </c>
      <c r="V459">
        <v>457</v>
      </c>
      <c r="W459">
        <f t="shared" si="97"/>
        <v>0.39417085490554199</v>
      </c>
      <c r="X459">
        <f>SUM($W$3:W459)</f>
        <v>211.95546875518303</v>
      </c>
      <c r="Y459" s="4">
        <f t="shared" si="96"/>
        <v>0.46379752462840929</v>
      </c>
      <c r="AA459">
        <v>457</v>
      </c>
      <c r="AB459">
        <f t="shared" si="98"/>
        <v>0.39417085490554199</v>
      </c>
      <c r="AC459">
        <f>SUM($AB$3:AB459)</f>
        <v>208.75921932668609</v>
      </c>
      <c r="AD459" s="4">
        <f t="shared" si="99"/>
        <v>0.45680354338443346</v>
      </c>
    </row>
    <row r="460" spans="6:30" x14ac:dyDescent="0.25">
      <c r="F460">
        <v>768000</v>
      </c>
      <c r="G460" s="12">
        <v>2080.2185750180588</v>
      </c>
      <c r="H460" s="12">
        <f t="shared" si="94"/>
        <v>1965.7963115384202</v>
      </c>
      <c r="I460" s="12">
        <f t="shared" si="95"/>
        <v>13092.454379803828</v>
      </c>
      <c r="K460">
        <f t="shared" si="91"/>
        <v>768000</v>
      </c>
      <c r="L460" s="12">
        <v>1040.1391318256915</v>
      </c>
      <c r="M460" s="12">
        <f t="shared" si="90"/>
        <v>1040.6016949627949</v>
      </c>
      <c r="N460" s="12">
        <f t="shared" si="92"/>
        <v>0.21396465580695365</v>
      </c>
      <c r="R460" s="2">
        <f t="shared" si="93"/>
        <v>0.99994261476037405</v>
      </c>
      <c r="V460">
        <v>458</v>
      </c>
      <c r="W460">
        <f t="shared" si="97"/>
        <v>0.39403991444452863</v>
      </c>
      <c r="X460">
        <f>SUM($W$3:W460)</f>
        <v>212.34950866962757</v>
      </c>
      <c r="Y460" s="4">
        <f t="shared" si="96"/>
        <v>0.46364521543586806</v>
      </c>
      <c r="AA460">
        <v>458</v>
      </c>
      <c r="AB460">
        <f t="shared" si="98"/>
        <v>0.39403991444452863</v>
      </c>
      <c r="AC460">
        <f>SUM($AB$3:AB460)</f>
        <v>209.15325924113063</v>
      </c>
      <c r="AD460" s="4">
        <f t="shared" si="99"/>
        <v>0.4566665048932983</v>
      </c>
    </row>
    <row r="461" spans="6:30" x14ac:dyDescent="0.25">
      <c r="F461">
        <v>770000</v>
      </c>
      <c r="G461" s="12">
        <v>2079.8978051452245</v>
      </c>
      <c r="H461" s="12">
        <f t="shared" si="94"/>
        <v>1964.9583436239764</v>
      </c>
      <c r="I461" s="12">
        <f t="shared" si="95"/>
        <v>13211.07981479449</v>
      </c>
      <c r="K461">
        <f t="shared" si="91"/>
        <v>770000</v>
      </c>
      <c r="L461" s="12">
        <v>1039.3540529330421</v>
      </c>
      <c r="M461" s="12">
        <f t="shared" ref="M461:M524" si="100">IF(F461&lt;$L$72,$D$28*(F461/$D$6)^-(1-$L$71), $D$28*($L$72/$D$6)^-(1-$L$71))</f>
        <v>1039.8124939182076</v>
      </c>
      <c r="N461" s="12">
        <f t="shared" si="92"/>
        <v>0.21016813687947086</v>
      </c>
      <c r="R461" s="2">
        <f t="shared" si="93"/>
        <v>1.0011446525616394</v>
      </c>
      <c r="V461">
        <v>459</v>
      </c>
      <c r="W461">
        <f t="shared" si="97"/>
        <v>0.39390930292337445</v>
      </c>
      <c r="X461">
        <f>SUM($W$3:W461)</f>
        <v>212.74341797255093</v>
      </c>
      <c r="Y461" s="4">
        <f t="shared" si="96"/>
        <v>0.46349328534324824</v>
      </c>
      <c r="AA461">
        <v>459</v>
      </c>
      <c r="AB461">
        <f t="shared" si="98"/>
        <v>0.39390930292337445</v>
      </c>
      <c r="AC461">
        <f>SUM($AB$3:AB461)</f>
        <v>209.54716854405399</v>
      </c>
      <c r="AD461" s="4">
        <f t="shared" si="99"/>
        <v>0.45652977896308061</v>
      </c>
    </row>
    <row r="462" spans="6:30" x14ac:dyDescent="0.25">
      <c r="F462">
        <v>772000</v>
      </c>
      <c r="G462" s="12">
        <v>2079.578223084538</v>
      </c>
      <c r="H462" s="12">
        <f t="shared" si="94"/>
        <v>1964.1229052443944</v>
      </c>
      <c r="I462" s="12">
        <f t="shared" si="95"/>
        <v>13329.930417568583</v>
      </c>
      <c r="K462">
        <f t="shared" ref="K462:K525" si="101">F462</f>
        <v>772000</v>
      </c>
      <c r="L462" s="12">
        <v>1038.5716258730097</v>
      </c>
      <c r="M462" s="12">
        <f t="shared" si="100"/>
        <v>1039.0259363001935</v>
      </c>
      <c r="N462" s="12">
        <f t="shared" ref="N462:N525" si="102">(M462-L462)^2</f>
        <v>0.20639796424795176</v>
      </c>
      <c r="R462" s="2">
        <f t="shared" ref="R462:R525" si="103">G462/L462-1</f>
        <v>1.0023445386700911</v>
      </c>
      <c r="V462">
        <v>460</v>
      </c>
      <c r="W462">
        <f t="shared" si="97"/>
        <v>0.39377901880178934</v>
      </c>
      <c r="X462">
        <f>SUM($W$3:W462)</f>
        <v>213.13719699135271</v>
      </c>
      <c r="Y462" s="4">
        <f t="shared" si="96"/>
        <v>0.46334173258989719</v>
      </c>
      <c r="AA462">
        <v>460</v>
      </c>
      <c r="AB462">
        <f t="shared" si="98"/>
        <v>0.39377901880178934</v>
      </c>
      <c r="AC462">
        <f>SUM($AB$3:AB462)</f>
        <v>209.94094756285577</v>
      </c>
      <c r="AD462" s="4">
        <f t="shared" si="99"/>
        <v>0.45639336426707777</v>
      </c>
    </row>
    <row r="463" spans="6:30" x14ac:dyDescent="0.25">
      <c r="F463">
        <v>774000</v>
      </c>
      <c r="G463" s="12">
        <v>2079.2598213642818</v>
      </c>
      <c r="H463" s="12">
        <f t="shared" si="94"/>
        <v>1963.289982240289</v>
      </c>
      <c r="I463" s="12">
        <f t="shared" si="95"/>
        <v>13449.003586444787</v>
      </c>
      <c r="K463">
        <f t="shared" si="101"/>
        <v>774000</v>
      </c>
      <c r="L463" s="12">
        <v>1037.7918348295684</v>
      </c>
      <c r="M463" s="12">
        <f t="shared" si="100"/>
        <v>1038.2420064406742</v>
      </c>
      <c r="N463" s="12">
        <f t="shared" si="102"/>
        <v>0.20265447944560588</v>
      </c>
      <c r="R463" s="2">
        <f t="shared" si="103"/>
        <v>1.0035422823554483</v>
      </c>
      <c r="V463">
        <v>461</v>
      </c>
      <c r="W463">
        <f t="shared" si="97"/>
        <v>0.39364906055002447</v>
      </c>
      <c r="X463">
        <f>SUM($W$3:W463)</f>
        <v>213.53084605190273</v>
      </c>
      <c r="Y463" s="4">
        <f t="shared" si="96"/>
        <v>0.4631905554271209</v>
      </c>
      <c r="AA463">
        <v>461</v>
      </c>
      <c r="AB463">
        <f t="shared" si="98"/>
        <v>0.39364906055002447</v>
      </c>
      <c r="AC463">
        <f>SUM($AB$3:AB463)</f>
        <v>210.33459662340579</v>
      </c>
      <c r="AD463" s="4">
        <f t="shared" si="99"/>
        <v>0.45625725948678048</v>
      </c>
    </row>
    <row r="464" spans="6:30" x14ac:dyDescent="0.25">
      <c r="F464">
        <v>776000</v>
      </c>
      <c r="G464" s="12">
        <v>2078.9425925789428</v>
      </c>
      <c r="H464" s="12">
        <f t="shared" si="94"/>
        <v>1962.4595605678637</v>
      </c>
      <c r="I464" s="12">
        <f t="shared" si="95"/>
        <v>13568.296746494079</v>
      </c>
      <c r="K464">
        <f t="shared" si="101"/>
        <v>776000</v>
      </c>
      <c r="L464" s="12">
        <v>1037.0146641216634</v>
      </c>
      <c r="M464" s="12">
        <f t="shared" si="100"/>
        <v>1037.4606888046189</v>
      </c>
      <c r="N464" s="12">
        <f t="shared" si="102"/>
        <v>0.19893801780561424</v>
      </c>
      <c r="R464" s="2">
        <f t="shared" si="103"/>
        <v>1.004737892824088</v>
      </c>
      <c r="V464">
        <v>462</v>
      </c>
      <c r="W464">
        <f t="shared" si="97"/>
        <v>0.39351942664877737</v>
      </c>
      <c r="X464">
        <f>SUM($W$3:W464)</f>
        <v>213.92436547855149</v>
      </c>
      <c r="Y464" s="4">
        <f t="shared" si="96"/>
        <v>0.46303975211807685</v>
      </c>
      <c r="AA464">
        <v>462</v>
      </c>
      <c r="AB464">
        <f t="shared" si="98"/>
        <v>0.39351942664877737</v>
      </c>
      <c r="AC464">
        <f>SUM($AB$3:AB464)</f>
        <v>210.72811605005455</v>
      </c>
      <c r="AD464" s="4">
        <f t="shared" si="99"/>
        <v>0.45612146331180636</v>
      </c>
    </row>
    <row r="465" spans="6:30" x14ac:dyDescent="0.25">
      <c r="F465">
        <v>778000</v>
      </c>
      <c r="G465" s="12">
        <v>2078.6265293884503</v>
      </c>
      <c r="H465" s="12">
        <f t="shared" si="94"/>
        <v>1961.6316262976688</v>
      </c>
      <c r="I465" s="12">
        <f t="shared" si="95"/>
        <v>13687.807349221346</v>
      </c>
      <c r="K465">
        <f t="shared" si="101"/>
        <v>778000</v>
      </c>
      <c r="L465" s="12">
        <v>1036.2400982017141</v>
      </c>
      <c r="M465" s="12">
        <f t="shared" si="100"/>
        <v>1036.6819679885734</v>
      </c>
      <c r="N465" s="12">
        <f t="shared" si="102"/>
        <v>0.19524890853912089</v>
      </c>
      <c r="R465" s="2">
        <f t="shared" si="103"/>
        <v>1.0059313792196312</v>
      </c>
      <c r="V465">
        <v>463</v>
      </c>
      <c r="W465">
        <f t="shared" si="97"/>
        <v>0.39339011558909781</v>
      </c>
      <c r="X465">
        <f>SUM($W$3:W465)</f>
        <v>214.31775559414058</v>
      </c>
      <c r="Y465" s="4">
        <f t="shared" si="96"/>
        <v>0.46288932093766866</v>
      </c>
      <c r="AA465">
        <v>463</v>
      </c>
      <c r="AB465">
        <f t="shared" si="98"/>
        <v>0.39339011558909781</v>
      </c>
      <c r="AC465">
        <f>SUM($AB$3:AB465)</f>
        <v>211.12150616564364</v>
      </c>
      <c r="AD465" s="4">
        <f t="shared" si="99"/>
        <v>0.45598597443983507</v>
      </c>
    </row>
    <row r="466" spans="6:30" x14ac:dyDescent="0.25">
      <c r="F466">
        <v>780000</v>
      </c>
      <c r="G466" s="12">
        <v>2078.3116245174342</v>
      </c>
      <c r="H466" s="12">
        <f t="shared" si="94"/>
        <v>1960.8061656133825</v>
      </c>
      <c r="I466" s="12">
        <f t="shared" si="95"/>
        <v>13807.532872251781</v>
      </c>
      <c r="K466">
        <f t="shared" si="101"/>
        <v>780000</v>
      </c>
      <c r="L466" s="12">
        <v>1035.4681216541373</v>
      </c>
      <c r="M466" s="12">
        <f t="shared" si="100"/>
        <v>1035.905828719212</v>
      </c>
      <c r="N466" s="12">
        <f t="shared" si="102"/>
        <v>0.19158747481623684</v>
      </c>
      <c r="R466" s="2">
        <f t="shared" si="103"/>
        <v>1.0071227506235321</v>
      </c>
      <c r="V466">
        <v>464</v>
      </c>
      <c r="W466">
        <f t="shared" si="97"/>
        <v>0.39326112587229595</v>
      </c>
      <c r="X466">
        <f>SUM($W$3:W466)</f>
        <v>214.71101672001288</v>
      </c>
      <c r="Y466" s="4">
        <f t="shared" si="96"/>
        <v>0.46273926017244155</v>
      </c>
      <c r="AA466">
        <v>464</v>
      </c>
      <c r="AB466">
        <f t="shared" si="98"/>
        <v>0.39326112587229595</v>
      </c>
      <c r="AC466">
        <f>SUM($AB$3:AB466)</f>
        <v>211.51476729151594</v>
      </c>
      <c r="AD466" s="4">
        <f t="shared" si="99"/>
        <v>0.45585079157654296</v>
      </c>
    </row>
    <row r="467" spans="6:30" x14ac:dyDescent="0.25">
      <c r="F467">
        <v>782000</v>
      </c>
      <c r="G467" s="12">
        <v>2077.997870754486</v>
      </c>
      <c r="H467" s="12">
        <f t="shared" si="94"/>
        <v>1959.9831648106019</v>
      </c>
      <c r="I467" s="12">
        <f t="shared" si="95"/>
        <v>13927.470819021435</v>
      </c>
      <c r="K467">
        <f t="shared" si="101"/>
        <v>782000</v>
      </c>
      <c r="L467" s="12">
        <v>1034.6987191938917</v>
      </c>
      <c r="M467" s="12">
        <f t="shared" si="100"/>
        <v>1035.1322558519084</v>
      </c>
      <c r="N467" s="12">
        <f t="shared" si="102"/>
        <v>0.18795403384428211</v>
      </c>
      <c r="R467" s="2">
        <f t="shared" si="103"/>
        <v>1.0083120160556525</v>
      </c>
      <c r="V467">
        <v>465</v>
      </c>
      <c r="W467">
        <f t="shared" si="97"/>
        <v>0.3931324560098497</v>
      </c>
      <c r="X467">
        <f>SUM($W$3:W467)</f>
        <v>215.10414917602273</v>
      </c>
      <c r="Y467" s="4">
        <f t="shared" si="96"/>
        <v>0.46258956812047897</v>
      </c>
      <c r="AA467">
        <v>465</v>
      </c>
      <c r="AB467">
        <f t="shared" si="98"/>
        <v>0.3931324560098497</v>
      </c>
      <c r="AC467">
        <f>SUM($AB$3:AB467)</f>
        <v>211.90789974752579</v>
      </c>
      <c r="AD467" s="4">
        <f t="shared" si="99"/>
        <v>0.45571591343553935</v>
      </c>
    </row>
    <row r="468" spans="6:30" x14ac:dyDescent="0.25">
      <c r="F468">
        <v>784000</v>
      </c>
      <c r="G468" s="12">
        <v>2077.6852609514413</v>
      </c>
      <c r="H468" s="12">
        <f t="shared" si="94"/>
        <v>1959.1626102956566</v>
      </c>
      <c r="I468" s="12">
        <f t="shared" si="95"/>
        <v>14047.618718473175</v>
      </c>
      <c r="K468">
        <f t="shared" si="101"/>
        <v>784000</v>
      </c>
      <c r="L468" s="12">
        <v>1033.9318756650409</v>
      </c>
      <c r="M468" s="12">
        <f t="shared" si="100"/>
        <v>1034.361234369323</v>
      </c>
      <c r="N468" s="12">
        <f t="shared" si="102"/>
        <v>0.18434889694279913</v>
      </c>
      <c r="R468" s="2">
        <f t="shared" si="103"/>
        <v>1.0094991844748398</v>
      </c>
      <c r="V468">
        <v>466</v>
      </c>
      <c r="W468">
        <f t="shared" si="97"/>
        <v>0.39300410452331447</v>
      </c>
      <c r="X468">
        <f>SUM($W$3:W468)</f>
        <v>215.49715328054606</v>
      </c>
      <c r="Y468" s="4">
        <f t="shared" si="96"/>
        <v>0.46244024309130055</v>
      </c>
      <c r="AA468">
        <v>466</v>
      </c>
      <c r="AB468">
        <f t="shared" si="98"/>
        <v>0.39300410452331447</v>
      </c>
      <c r="AC468">
        <f>SUM($AB$3:AB468)</f>
        <v>212.30090385204912</v>
      </c>
      <c r="AD468" s="4">
        <f t="shared" si="99"/>
        <v>0.45558133873830281</v>
      </c>
    </row>
    <row r="469" spans="6:30" x14ac:dyDescent="0.25">
      <c r="F469">
        <v>786000</v>
      </c>
      <c r="G469" s="12">
        <v>2077.3737880226568</v>
      </c>
      <c r="H469" s="12">
        <f t="shared" si="94"/>
        <v>1958.3444885844292</v>
      </c>
      <c r="I469" s="12">
        <f t="shared" si="95"/>
        <v>14167.974124755237</v>
      </c>
      <c r="K469">
        <f t="shared" si="101"/>
        <v>786000</v>
      </c>
      <c r="L469" s="12">
        <v>1033.1675760393366</v>
      </c>
      <c r="M469" s="12">
        <f t="shared" si="100"/>
        <v>1033.592749380015</v>
      </c>
      <c r="N469" s="12">
        <f t="shared" si="102"/>
        <v>0.18077236962361734</v>
      </c>
      <c r="R469" s="2">
        <f t="shared" si="103"/>
        <v>1.0106842647794854</v>
      </c>
      <c r="V469">
        <v>467</v>
      </c>
      <c r="W469">
        <f t="shared" si="97"/>
        <v>0.39287606994423374</v>
      </c>
      <c r="X469">
        <f>SUM($W$3:W469)</f>
        <v>215.89002935049029</v>
      </c>
      <c r="Y469" s="4">
        <f t="shared" si="96"/>
        <v>0.46229128340576081</v>
      </c>
      <c r="AA469">
        <v>467</v>
      </c>
      <c r="AB469">
        <f t="shared" si="98"/>
        <v>0.39287606994423374</v>
      </c>
      <c r="AC469">
        <f>SUM($AB$3:AB469)</f>
        <v>212.69377992199335</v>
      </c>
      <c r="AD469" s="4">
        <f t="shared" si="99"/>
        <v>0.45544706621411851</v>
      </c>
    </row>
    <row r="470" spans="6:30" x14ac:dyDescent="0.25">
      <c r="F470">
        <v>788000</v>
      </c>
      <c r="G470" s="12">
        <v>2077.0634449443141</v>
      </c>
      <c r="H470" s="12">
        <f t="shared" si="94"/>
        <v>1957.5287863011999</v>
      </c>
      <c r="I470" s="12">
        <f t="shared" si="95"/>
        <v>14288.534616925836</v>
      </c>
      <c r="K470">
        <f t="shared" si="101"/>
        <v>788000</v>
      </c>
      <c r="L470" s="12">
        <v>1032.4058054148211</v>
      </c>
      <c r="M470" s="12">
        <f t="shared" si="100"/>
        <v>1032.8267861170664</v>
      </c>
      <c r="N470" s="12">
        <f t="shared" si="102"/>
        <v>0.17722475166293569</v>
      </c>
      <c r="R470" s="2">
        <f t="shared" si="103"/>
        <v>1.0118672658080889</v>
      </c>
      <c r="V470">
        <v>468</v>
      </c>
      <c r="W470">
        <f t="shared" si="97"/>
        <v>0.39274835081404991</v>
      </c>
      <c r="X470">
        <f>SUM($W$3:W470)</f>
        <v>216.28277770130435</v>
      </c>
      <c r="Y470" s="4">
        <f t="shared" si="96"/>
        <v>0.46214268739594949</v>
      </c>
      <c r="AA470">
        <v>468</v>
      </c>
      <c r="AB470">
        <f t="shared" si="98"/>
        <v>0.39274835081404991</v>
      </c>
      <c r="AC470">
        <f>SUM($AB$3:AB470)</f>
        <v>213.08652827280741</v>
      </c>
      <c r="AD470" s="4">
        <f t="shared" si="99"/>
        <v>0.45531309460001584</v>
      </c>
    </row>
    <row r="471" spans="6:30" x14ac:dyDescent="0.25">
      <c r="F471">
        <v>790000</v>
      </c>
      <c r="G471" s="12">
        <v>2076.7542247537172</v>
      </c>
      <c r="H471" s="12">
        <f t="shared" si="94"/>
        <v>1956.7154901775029</v>
      </c>
      <c r="I471" s="12">
        <f t="shared" si="95"/>
        <v>14409.297798658805</v>
      </c>
      <c r="K471">
        <f t="shared" si="101"/>
        <v>790000</v>
      </c>
      <c r="L471" s="12">
        <v>1031.6465490144469</v>
      </c>
      <c r="M471" s="12">
        <f t="shared" si="100"/>
        <v>1032.06332993673</v>
      </c>
      <c r="N471" s="12">
        <f t="shared" si="102"/>
        <v>0.17370633717917128</v>
      </c>
      <c r="R471" s="2">
        <f t="shared" si="103"/>
        <v>1.0130481963398057</v>
      </c>
      <c r="V471">
        <v>469</v>
      </c>
      <c r="W471">
        <f t="shared" si="97"/>
        <v>0.39262094568401679</v>
      </c>
      <c r="X471">
        <f>SUM($W$3:W471)</f>
        <v>216.67539864698838</v>
      </c>
      <c r="Y471" s="4">
        <f t="shared" si="96"/>
        <v>0.46199445340509249</v>
      </c>
      <c r="AA471">
        <v>469</v>
      </c>
      <c r="AB471">
        <f t="shared" si="98"/>
        <v>0.39262094568401679</v>
      </c>
      <c r="AC471">
        <f>SUM($AB$3:AB471)</f>
        <v>213.47914921849144</v>
      </c>
      <c r="AD471" s="4">
        <f t="shared" si="99"/>
        <v>0.45517942264070671</v>
      </c>
    </row>
    <row r="472" spans="6:30" x14ac:dyDescent="0.25">
      <c r="F472">
        <v>792000</v>
      </c>
      <c r="G472" s="12">
        <v>2076.4461205486132</v>
      </c>
      <c r="H472" s="12">
        <f t="shared" si="94"/>
        <v>1955.9045870509951</v>
      </c>
      <c r="I472" s="12">
        <f t="shared" si="95"/>
        <v>14530.261297957373</v>
      </c>
      <c r="K472">
        <f t="shared" si="101"/>
        <v>792000</v>
      </c>
      <c r="L472" s="12">
        <v>1030.8897921847179</v>
      </c>
      <c r="M472" s="12">
        <f t="shared" si="100"/>
        <v>1031.3023663170934</v>
      </c>
      <c r="N472" s="12">
        <f t="shared" si="102"/>
        <v>0.17021741470542895</v>
      </c>
      <c r="R472" s="2">
        <f t="shared" si="103"/>
        <v>1.0142270650949947</v>
      </c>
      <c r="V472">
        <v>470</v>
      </c>
      <c r="W472">
        <f t="shared" si="97"/>
        <v>0.39249385311511276</v>
      </c>
      <c r="X472">
        <f>SUM($W$3:W472)</f>
        <v>217.06789250010348</v>
      </c>
      <c r="Y472" s="4">
        <f t="shared" si="96"/>
        <v>0.46184657978745419</v>
      </c>
      <c r="AA472">
        <v>470</v>
      </c>
      <c r="AB472">
        <f t="shared" si="98"/>
        <v>0.39249385311511276</v>
      </c>
      <c r="AC472">
        <f>SUM($AB$3:AB472)</f>
        <v>213.87164307160657</v>
      </c>
      <c r="AD472" s="4">
        <f t="shared" si="99"/>
        <v>0.45504604908852464</v>
      </c>
    </row>
    <row r="473" spans="6:30" x14ac:dyDescent="0.25">
      <c r="F473">
        <v>794000</v>
      </c>
      <c r="G473" s="12">
        <v>2076.1391254865134</v>
      </c>
      <c r="H473" s="12">
        <f t="shared" si="94"/>
        <v>1955.0960638643423</v>
      </c>
      <c r="I473" s="12">
        <f t="shared" si="95"/>
        <v>14651.422766868705</v>
      </c>
      <c r="K473">
        <f t="shared" si="101"/>
        <v>794000</v>
      </c>
      <c r="L473" s="12">
        <v>1030.1355203943463</v>
      </c>
      <c r="M473" s="12">
        <f t="shared" si="100"/>
        <v>1030.5438808567592</v>
      </c>
      <c r="N473" s="12">
        <f t="shared" si="102"/>
        <v>0.16675826726210147</v>
      </c>
      <c r="R473" s="2">
        <f t="shared" si="103"/>
        <v>1.0154038807357564</v>
      </c>
      <c r="V473">
        <v>471</v>
      </c>
      <c r="W473">
        <f t="shared" si="97"/>
        <v>0.39236707167795531</v>
      </c>
      <c r="X473">
        <f>SUM($W$3:W473)</f>
        <v>217.46025957178145</v>
      </c>
      <c r="Y473" s="4">
        <f t="shared" si="96"/>
        <v>0.46169906490824086</v>
      </c>
      <c r="AA473">
        <v>471</v>
      </c>
      <c r="AB473">
        <f t="shared" si="98"/>
        <v>0.39236707167795531</v>
      </c>
      <c r="AC473">
        <f>SUM($AB$3:AB473)</f>
        <v>214.26401014328454</v>
      </c>
      <c r="AD473" s="4">
        <f t="shared" si="99"/>
        <v>0.45491297270336417</v>
      </c>
    </row>
    <row r="474" spans="6:30" x14ac:dyDescent="0.25">
      <c r="F474">
        <v>796000</v>
      </c>
      <c r="G474" s="12">
        <v>2075.8332327840239</v>
      </c>
      <c r="H474" s="12">
        <f t="shared" si="94"/>
        <v>1954.2899076641231</v>
      </c>
      <c r="I474" s="12">
        <f t="shared" si="95"/>
        <v>14772.779881201915</v>
      </c>
      <c r="K474">
        <f t="shared" si="101"/>
        <v>796000</v>
      </c>
      <c r="L474" s="12">
        <v>1029.3837192329279</v>
      </c>
      <c r="M474" s="12">
        <f t="shared" si="100"/>
        <v>1029.7878592735456</v>
      </c>
      <c r="N474" s="12">
        <f t="shared" si="102"/>
        <v>0.16332917243045703</v>
      </c>
      <c r="R474" s="2">
        <f t="shared" si="103"/>
        <v>1.0165786518664635</v>
      </c>
      <c r="V474">
        <v>472</v>
      </c>
      <c r="W474">
        <f t="shared" si="97"/>
        <v>0.39224059995271554</v>
      </c>
      <c r="X474">
        <f>SUM($W$3:W474)</f>
        <v>217.85250017173416</v>
      </c>
      <c r="Y474" s="4">
        <f t="shared" si="96"/>
        <v>0.46155190714350458</v>
      </c>
      <c r="AA474">
        <v>472</v>
      </c>
      <c r="AB474">
        <f t="shared" si="98"/>
        <v>0.39224059995271554</v>
      </c>
      <c r="AC474">
        <f>SUM($AB$3:AB474)</f>
        <v>214.65625074323725</v>
      </c>
      <c r="AD474" s="4">
        <f t="shared" si="99"/>
        <v>0.45478019225262128</v>
      </c>
    </row>
    <row r="475" spans="6:30" x14ac:dyDescent="0.25">
      <c r="F475">
        <v>798000</v>
      </c>
      <c r="G475" s="12">
        <v>2075.5284357161945</v>
      </c>
      <c r="H475" s="12">
        <f t="shared" si="94"/>
        <v>1953.4861055997355</v>
      </c>
      <c r="I475" s="12">
        <f t="shared" si="95"/>
        <v>14894.330340254748</v>
      </c>
      <c r="K475">
        <f t="shared" si="101"/>
        <v>798000</v>
      </c>
      <c r="L475" s="12">
        <v>1028.634374409635</v>
      </c>
      <c r="M475" s="12">
        <f t="shared" si="100"/>
        <v>1029.0342874032021</v>
      </c>
      <c r="N475" s="12">
        <f t="shared" si="102"/>
        <v>0.15993040242381018</v>
      </c>
      <c r="R475" s="2">
        <f t="shared" si="103"/>
        <v>1.017751387034294</v>
      </c>
      <c r="V475">
        <v>473</v>
      </c>
      <c r="W475">
        <f t="shared" si="97"/>
        <v>0.39211443652903477</v>
      </c>
      <c r="X475">
        <f>SUM($W$3:W475)</f>
        <v>218.24461460826319</v>
      </c>
      <c r="Y475" s="4">
        <f t="shared" si="96"/>
        <v>0.46140510488004904</v>
      </c>
      <c r="AA475">
        <v>473</v>
      </c>
      <c r="AB475">
        <f t="shared" si="98"/>
        <v>0.39211443652903477</v>
      </c>
      <c r="AC475">
        <f>SUM($AB$3:AB475)</f>
        <v>215.04836517976628</v>
      </c>
      <c r="AD475" s="4">
        <f t="shared" si="99"/>
        <v>0.45464770651113379</v>
      </c>
    </row>
    <row r="476" spans="6:30" x14ac:dyDescent="0.25">
      <c r="F476">
        <v>800000</v>
      </c>
      <c r="G476" s="12">
        <v>2075.224727615865</v>
      </c>
      <c r="H476" s="12">
        <f t="shared" si="94"/>
        <v>1952.6846449223351</v>
      </c>
      <c r="I476" s="12">
        <f t="shared" si="95"/>
        <v>15016.071866537155</v>
      </c>
      <c r="K476">
        <f t="shared" si="101"/>
        <v>800000</v>
      </c>
      <c r="L476" s="12">
        <v>1027.8874717519286</v>
      </c>
      <c r="M476" s="12">
        <f t="shared" si="100"/>
        <v>1028.2831511981442</v>
      </c>
      <c r="N476" s="12">
        <f t="shared" si="102"/>
        <v>0.15656222415746907</v>
      </c>
      <c r="R476" s="2">
        <f t="shared" si="103"/>
        <v>1.0189220947297448</v>
      </c>
      <c r="V476">
        <v>474</v>
      </c>
      <c r="W476">
        <f t="shared" si="97"/>
        <v>0.39198858000594133</v>
      </c>
      <c r="X476">
        <f>SUM($W$3:W476)</f>
        <v>218.63660318826913</v>
      </c>
      <c r="Y476" s="4">
        <f t="shared" si="96"/>
        <v>0.46125865651533571</v>
      </c>
      <c r="AA476">
        <v>474</v>
      </c>
      <c r="AB476">
        <f t="shared" si="98"/>
        <v>0.39198858000594133</v>
      </c>
      <c r="AC476">
        <f>SUM($AB$3:AB476)</f>
        <v>215.44035375977222</v>
      </c>
      <c r="AD476" s="4">
        <f t="shared" si="99"/>
        <v>0.45451551426112285</v>
      </c>
    </row>
    <row r="477" spans="6:30" x14ac:dyDescent="0.25">
      <c r="F477">
        <v>802000</v>
      </c>
      <c r="G477" s="12">
        <v>2074.9221018730273</v>
      </c>
      <c r="H477" s="12">
        <f t="shared" si="94"/>
        <v>1951.8855129837691</v>
      </c>
      <c r="I477" s="12">
        <f t="shared" si="95"/>
        <v>15138.002205504323</v>
      </c>
      <c r="K477">
        <f t="shared" si="101"/>
        <v>802000</v>
      </c>
      <c r="L477" s="12">
        <v>1027.1429972042836</v>
      </c>
      <c r="M477" s="12">
        <f t="shared" si="100"/>
        <v>1027.5344367262021</v>
      </c>
      <c r="N477" s="12">
        <f t="shared" si="102"/>
        <v>0.15322489931980579</v>
      </c>
      <c r="R477" s="2">
        <f t="shared" si="103"/>
        <v>1.0200907833871509</v>
      </c>
      <c r="V477">
        <v>475</v>
      </c>
      <c r="W477">
        <f t="shared" si="97"/>
        <v>0.3918630289917685</v>
      </c>
      <c r="X477">
        <f>SUM($W$3:W477)</f>
        <v>219.0284662172609</v>
      </c>
      <c r="Y477" s="4">
        <f t="shared" si="96"/>
        <v>0.46111256045739135</v>
      </c>
      <c r="AA477">
        <v>475</v>
      </c>
      <c r="AB477">
        <f t="shared" si="98"/>
        <v>0.3918630289917685</v>
      </c>
      <c r="AC477">
        <f>SUM($AB$3:AB477)</f>
        <v>215.83221678876399</v>
      </c>
      <c r="AD477" s="4">
        <f t="shared" si="99"/>
        <v>0.4543836142921347</v>
      </c>
    </row>
    <row r="478" spans="6:30" x14ac:dyDescent="0.25">
      <c r="F478">
        <v>804000</v>
      </c>
      <c r="G478" s="12">
        <v>2074.6205519341934</v>
      </c>
      <c r="H478" s="12">
        <f t="shared" si="94"/>
        <v>1951.0886972355381</v>
      </c>
      <c r="I478" s="12">
        <f t="shared" si="95"/>
        <v>15260.119125289673</v>
      </c>
      <c r="K478">
        <f t="shared" si="101"/>
        <v>804000</v>
      </c>
      <c r="L478" s="12">
        <v>1026.400936826936</v>
      </c>
      <c r="M478" s="12">
        <f t="shared" si="100"/>
        <v>1026.7881301693894</v>
      </c>
      <c r="N478" s="12">
        <f t="shared" si="102"/>
        <v>0.14991868444025841</v>
      </c>
      <c r="R478" s="2">
        <f t="shared" si="103"/>
        <v>1.0212574613851899</v>
      </c>
      <c r="V478">
        <v>476</v>
      </c>
      <c r="W478">
        <f t="shared" si="97"/>
        <v>0.39173778210407295</v>
      </c>
      <c r="X478">
        <f>SUM($W$3:W478)</f>
        <v>219.42020399936496</v>
      </c>
      <c r="Y478" s="4">
        <f t="shared" si="96"/>
        <v>0.46096681512471632</v>
      </c>
      <c r="AA478">
        <v>476</v>
      </c>
      <c r="AB478">
        <f t="shared" si="98"/>
        <v>0.39173778210407295</v>
      </c>
      <c r="AC478">
        <f>SUM($AB$3:AB478)</f>
        <v>216.22395457086805</v>
      </c>
      <c r="AD478" s="4">
        <f t="shared" si="99"/>
        <v>0.45425200540098326</v>
      </c>
    </row>
    <row r="479" spans="6:30" x14ac:dyDescent="0.25">
      <c r="F479">
        <v>806000</v>
      </c>
      <c r="G479" s="12">
        <v>2074.3200713017727</v>
      </c>
      <c r="H479" s="12">
        <f t="shared" si="94"/>
        <v>1950.2941852277606</v>
      </c>
      <c r="I479" s="12">
        <f t="shared" si="95"/>
        <v>15382.420416443823</v>
      </c>
      <c r="K479">
        <f t="shared" si="101"/>
        <v>806000</v>
      </c>
      <c r="L479" s="12">
        <v>1025.6612767946422</v>
      </c>
      <c r="M479" s="12">
        <f t="shared" si="100"/>
        <v>1026.0442178226842</v>
      </c>
      <c r="N479" s="12">
        <f t="shared" si="102"/>
        <v>0.14664383095791658</v>
      </c>
      <c r="R479" s="2">
        <f t="shared" si="103"/>
        <v>1.0224221370473878</v>
      </c>
      <c r="V479">
        <v>477</v>
      </c>
      <c r="W479">
        <f t="shared" si="97"/>
        <v>0.39161283796955504</v>
      </c>
      <c r="X479">
        <f>SUM($W$3:W479)</f>
        <v>219.8118168373345</v>
      </c>
      <c r="Y479" s="4">
        <f t="shared" si="96"/>
        <v>0.46082141894619394</v>
      </c>
      <c r="AA479">
        <v>477</v>
      </c>
      <c r="AB479">
        <f t="shared" si="98"/>
        <v>0.39161283796955504</v>
      </c>
      <c r="AC479">
        <f>SUM($AB$3:AB479)</f>
        <v>216.61556740883759</v>
      </c>
      <c r="AD479" s="4">
        <f t="shared" si="99"/>
        <v>0.45412068639169306</v>
      </c>
    </row>
    <row r="480" spans="6:30" x14ac:dyDescent="0.25">
      <c r="F480">
        <v>808000</v>
      </c>
      <c r="G480" s="12">
        <v>2074.020653533456</v>
      </c>
      <c r="H480" s="12">
        <f t="shared" si="94"/>
        <v>1949.5019646081603</v>
      </c>
      <c r="I480" s="12">
        <f t="shared" si="95"/>
        <v>15504.903891674556</v>
      </c>
      <c r="K480">
        <f t="shared" si="101"/>
        <v>808000</v>
      </c>
      <c r="L480" s="12">
        <v>1024.9240033954561</v>
      </c>
      <c r="M480" s="12">
        <f t="shared" si="100"/>
        <v>1025.3026860928285</v>
      </c>
      <c r="N480" s="12">
        <f t="shared" si="102"/>
        <v>0.14340058528921332</v>
      </c>
      <c r="R480" s="2">
        <f t="shared" si="103"/>
        <v>1.0235848186426142</v>
      </c>
      <c r="V480">
        <v>478</v>
      </c>
      <c r="W480">
        <f t="shared" si="97"/>
        <v>0.39148819522397854</v>
      </c>
      <c r="X480">
        <f>SUM($W$3:W480)</f>
        <v>220.20330503255849</v>
      </c>
      <c r="Y480" s="4">
        <f t="shared" si="96"/>
        <v>0.46067637036100101</v>
      </c>
      <c r="AA480">
        <v>478</v>
      </c>
      <c r="AB480">
        <f t="shared" si="98"/>
        <v>0.39148819522397854</v>
      </c>
      <c r="AC480">
        <f>SUM($AB$3:AB480)</f>
        <v>217.00705560406158</v>
      </c>
      <c r="AD480" s="4">
        <f t="shared" si="99"/>
        <v>0.45398965607544262</v>
      </c>
    </row>
    <row r="481" spans="6:30" x14ac:dyDescent="0.25">
      <c r="F481">
        <v>810000</v>
      </c>
      <c r="G481" s="12">
        <v>2073.7222922416158</v>
      </c>
      <c r="H481" s="12">
        <f t="shared" si="94"/>
        <v>1948.7120231210572</v>
      </c>
      <c r="I481" s="12">
        <f t="shared" si="95"/>
        <v>15627.567385594495</v>
      </c>
      <c r="K481">
        <f t="shared" si="101"/>
        <v>810000</v>
      </c>
      <c r="L481" s="12">
        <v>1024.1891030295239</v>
      </c>
      <c r="M481" s="12">
        <f t="shared" si="100"/>
        <v>1024.5635214971435</v>
      </c>
      <c r="N481" s="12">
        <f t="shared" si="102"/>
        <v>0.14018918889456045</v>
      </c>
      <c r="R481" s="2">
        <f t="shared" si="103"/>
        <v>1.0247455143855766</v>
      </c>
      <c r="V481">
        <v>479</v>
      </c>
      <c r="W481">
        <f t="shared" si="97"/>
        <v>0.39136385251209255</v>
      </c>
      <c r="X481">
        <f>SUM($W$3:W481)</f>
        <v>220.59466888507058</v>
      </c>
      <c r="Y481" s="4">
        <f t="shared" si="96"/>
        <v>0.46053166781851895</v>
      </c>
      <c r="AA481">
        <v>479</v>
      </c>
      <c r="AB481">
        <f t="shared" si="98"/>
        <v>0.39136385251209255</v>
      </c>
      <c r="AC481">
        <f>SUM($AB$3:AB481)</f>
        <v>217.39841945657366</v>
      </c>
      <c r="AD481" s="4">
        <f t="shared" si="99"/>
        <v>0.4538589132705087</v>
      </c>
    </row>
    <row r="482" spans="6:30" x14ac:dyDescent="0.25">
      <c r="F482">
        <v>812000</v>
      </c>
      <c r="G482" s="12">
        <v>2073.4249810927004</v>
      </c>
      <c r="H482" s="12">
        <f t="shared" si="94"/>
        <v>1947.924348606379</v>
      </c>
      <c r="I482" s="12">
        <f t="shared" si="95"/>
        <v>15750.408754466702</v>
      </c>
      <c r="K482">
        <f t="shared" si="101"/>
        <v>812000</v>
      </c>
      <c r="L482" s="12">
        <v>1023.4565622078921</v>
      </c>
      <c r="M482" s="12">
        <f t="shared" si="100"/>
        <v>1023.8267106623598</v>
      </c>
      <c r="N482" s="12">
        <f t="shared" si="102"/>
        <v>0.13700987834479234</v>
      </c>
      <c r="R482" s="2">
        <f t="shared" si="103"/>
        <v>1.0259042324373029</v>
      </c>
      <c r="V482">
        <v>480</v>
      </c>
      <c r="W482">
        <f t="shared" si="97"/>
        <v>0.39123980848755352</v>
      </c>
      <c r="X482">
        <f>SUM($W$3:W482)</f>
        <v>220.98590869355812</v>
      </c>
      <c r="Y482" s="4">
        <f t="shared" si="96"/>
        <v>0.4603873097782461</v>
      </c>
      <c r="AA482">
        <v>480</v>
      </c>
      <c r="AB482">
        <f t="shared" si="98"/>
        <v>0.39123980848755352</v>
      </c>
      <c r="AC482">
        <f>SUM($AB$3:AB482)</f>
        <v>217.7896592650612</v>
      </c>
      <c r="AD482" s="4">
        <f t="shared" si="99"/>
        <v>0.45372845680221086</v>
      </c>
    </row>
    <row r="483" spans="6:30" x14ac:dyDescent="0.25">
      <c r="F483">
        <v>814000</v>
      </c>
      <c r="G483" s="12">
        <v>2073.1287138066496</v>
      </c>
      <c r="H483" s="12">
        <f t="shared" ref="H483:H546" si="104">IF(F483&lt;$G$72,$D$64*(F483/$D$41)^-(1-$G$71), $D$64*($G$72/$D$41)^-(1-$G$71))</f>
        <v>1947.1389289986798</v>
      </c>
      <c r="I483" s="12">
        <f t="shared" ref="I483:I546" si="105">(H483-G483)^2</f>
        <v>15873.425875958519</v>
      </c>
      <c r="K483">
        <f t="shared" si="101"/>
        <v>814000</v>
      </c>
      <c r="L483" s="12">
        <v>1022.7263675513335</v>
      </c>
      <c r="M483" s="12">
        <f t="shared" si="100"/>
        <v>1023.0922403234613</v>
      </c>
      <c r="N483" s="12">
        <f t="shared" si="102"/>
        <v>0.13386288538446117</v>
      </c>
      <c r="R483" s="2">
        <f t="shared" si="103"/>
        <v>1.0270609809056217</v>
      </c>
      <c r="V483">
        <v>481</v>
      </c>
      <c r="W483">
        <f t="shared" si="97"/>
        <v>0.3911160618128483</v>
      </c>
      <c r="X483">
        <f>SUM($W$3:W483)</f>
        <v>221.37702475537097</v>
      </c>
      <c r="Y483" s="4">
        <f t="shared" si="96"/>
        <v>0.46024329470971093</v>
      </c>
      <c r="AA483">
        <v>481</v>
      </c>
      <c r="AB483">
        <f t="shared" si="98"/>
        <v>0.3911160618128483</v>
      </c>
      <c r="AC483">
        <f>SUM($AB$3:AB483)</f>
        <v>218.18077532687406</v>
      </c>
      <c r="AD483" s="4">
        <f t="shared" si="99"/>
        <v>0.45359828550285669</v>
      </c>
    </row>
    <row r="484" spans="6:30" x14ac:dyDescent="0.25">
      <c r="F484">
        <v>816000</v>
      </c>
      <c r="G484" s="12">
        <v>2072.8334841563069</v>
      </c>
      <c r="H484" s="12">
        <f t="shared" si="104"/>
        <v>1946.355752326175</v>
      </c>
      <c r="I484" s="12">
        <f t="shared" si="105"/>
        <v>15996.616648894764</v>
      </c>
      <c r="K484">
        <f t="shared" si="101"/>
        <v>816000</v>
      </c>
      <c r="L484" s="12">
        <v>1021.9985057891857</v>
      </c>
      <c r="M484" s="12">
        <f t="shared" si="100"/>
        <v>1022.3600973225467</v>
      </c>
      <c r="N484" s="12">
        <f t="shared" si="102"/>
        <v>0.1307484369983441</v>
      </c>
      <c r="R484" s="2">
        <f t="shared" si="103"/>
        <v>1.0282157678456367</v>
      </c>
      <c r="V484">
        <v>482</v>
      </c>
      <c r="W484">
        <f t="shared" si="97"/>
        <v>0.39099261115921802</v>
      </c>
      <c r="X484">
        <f>SUM($W$3:W484)</f>
        <v>221.76801736653019</v>
      </c>
      <c r="Y484" s="4">
        <f t="shared" si="96"/>
        <v>0.46009962109238628</v>
      </c>
      <c r="AA484">
        <v>482</v>
      </c>
      <c r="AB484">
        <f t="shared" si="98"/>
        <v>0.39099261115921802</v>
      </c>
      <c r="AC484">
        <f>SUM($AB$3:AB484)</f>
        <v>218.57176793803328</v>
      </c>
      <c r="AD484" s="4">
        <f t="shared" si="99"/>
        <v>0.45346839821168727</v>
      </c>
    </row>
    <row r="485" spans="6:30" x14ac:dyDescent="0.25">
      <c r="F485">
        <v>818000</v>
      </c>
      <c r="G485" s="12">
        <v>2072.5392859668527</v>
      </c>
      <c r="H485" s="12">
        <f t="shared" si="104"/>
        <v>1945.5748067097861</v>
      </c>
      <c r="I485" s="12">
        <f t="shared" si="105"/>
        <v>16119.978993018098</v>
      </c>
      <c r="K485">
        <f t="shared" si="101"/>
        <v>818000</v>
      </c>
      <c r="L485" s="12">
        <v>1021.2729637582074</v>
      </c>
      <c r="M485" s="12">
        <f t="shared" si="100"/>
        <v>1021.6302686077044</v>
      </c>
      <c r="N485" s="12">
        <f t="shared" si="102"/>
        <v>0.12766675547402173</v>
      </c>
      <c r="R485" s="2">
        <f t="shared" si="103"/>
        <v>1.0293686012602006</v>
      </c>
      <c r="V485">
        <v>483</v>
      </c>
      <c r="W485">
        <f t="shared" si="97"/>
        <v>0.39086945520658284</v>
      </c>
      <c r="X485">
        <f>SUM($W$3:W485)</f>
        <v>222.15888682173676</v>
      </c>
      <c r="Y485" s="4">
        <f t="shared" si="96"/>
        <v>0.45995628741560407</v>
      </c>
      <c r="AA485">
        <v>483</v>
      </c>
      <c r="AB485">
        <f t="shared" si="98"/>
        <v>0.39086945520658284</v>
      </c>
      <c r="AC485">
        <f>SUM($AB$3:AB485)</f>
        <v>218.96263739323985</v>
      </c>
      <c r="AD485" s="4">
        <f t="shared" si="99"/>
        <v>0.45333879377482372</v>
      </c>
    </row>
    <row r="486" spans="6:30" x14ac:dyDescent="0.25">
      <c r="F486">
        <v>820000</v>
      </c>
      <c r="G486" s="12">
        <v>2072.2461131152327</v>
      </c>
      <c r="H486" s="12">
        <f t="shared" si="104"/>
        <v>1944.7960803621975</v>
      </c>
      <c r="I486" s="12">
        <f t="shared" si="105"/>
        <v>16243.510848749745</v>
      </c>
      <c r="K486">
        <f t="shared" si="101"/>
        <v>820000</v>
      </c>
      <c r="L486" s="12">
        <v>1020.5497284014481</v>
      </c>
      <c r="M486" s="12">
        <f t="shared" si="100"/>
        <v>1020.9027412319009</v>
      </c>
      <c r="N486" s="12">
        <f t="shared" si="102"/>
        <v>0.1246180584643158</v>
      </c>
      <c r="R486" s="2">
        <f t="shared" si="103"/>
        <v>1.0305194891003731</v>
      </c>
      <c r="V486">
        <v>484</v>
      </c>
      <c r="W486">
        <f t="shared" si="97"/>
        <v>0.39074659264346723</v>
      </c>
      <c r="X486">
        <f>SUM($W$3:W486)</f>
        <v>222.54963341438022</v>
      </c>
      <c r="Y486" s="4">
        <f t="shared" si="96"/>
        <v>0.45981329217847156</v>
      </c>
      <c r="AA486">
        <v>484</v>
      </c>
      <c r="AB486">
        <f t="shared" si="98"/>
        <v>0.39074659264346723</v>
      </c>
      <c r="AC486">
        <f>SUM($AB$3:AB486)</f>
        <v>219.35338398588331</v>
      </c>
      <c r="AD486" s="4">
        <f t="shared" si="99"/>
        <v>0.45320947104521347</v>
      </c>
    </row>
    <row r="487" spans="6:30" x14ac:dyDescent="0.25">
      <c r="F487">
        <v>822000</v>
      </c>
      <c r="G487" s="12">
        <v>2071.9539595295992</v>
      </c>
      <c r="H487" s="12">
        <f t="shared" si="104"/>
        <v>1944.0195615869275</v>
      </c>
      <c r="I487" s="12">
        <f t="shared" si="105"/>
        <v>16367.210176953879</v>
      </c>
      <c r="K487">
        <f t="shared" si="101"/>
        <v>822000</v>
      </c>
      <c r="L487" s="12">
        <v>1019.8287867671321</v>
      </c>
      <c r="M487" s="12">
        <f t="shared" si="100"/>
        <v>1020.1775023518875</v>
      </c>
      <c r="N487" s="12">
        <f t="shared" si="102"/>
        <v>0.12160255905128817</v>
      </c>
      <c r="R487" s="2">
        <f t="shared" si="103"/>
        <v>1.0316684392658839</v>
      </c>
      <c r="V487">
        <v>485</v>
      </c>
      <c r="W487">
        <f t="shared" si="97"/>
        <v>0.39062402216692649</v>
      </c>
      <c r="X487">
        <f>SUM($W$3:W487)</f>
        <v>222.94025743654714</v>
      </c>
      <c r="Y487" s="4">
        <f t="shared" si="96"/>
        <v>0.45967063388978791</v>
      </c>
      <c r="AA487">
        <v>485</v>
      </c>
      <c r="AB487">
        <f t="shared" si="98"/>
        <v>0.39062402216692649</v>
      </c>
      <c r="AC487">
        <f>SUM($AB$3:AB487)</f>
        <v>219.74400800805023</v>
      </c>
      <c r="AD487" s="4">
        <f t="shared" si="99"/>
        <v>0.45308042888257777</v>
      </c>
    </row>
    <row r="488" spans="6:30" x14ac:dyDescent="0.25">
      <c r="F488">
        <v>824000</v>
      </c>
      <c r="G488" s="12">
        <v>2071.6628191887585</v>
      </c>
      <c r="H488" s="12">
        <f t="shared" si="104"/>
        <v>1943.2452387774083</v>
      </c>
      <c r="I488" s="12">
        <f t="shared" si="105"/>
        <v>16491.074958705587</v>
      </c>
      <c r="K488">
        <f t="shared" si="101"/>
        <v>824000</v>
      </c>
      <c r="L488" s="12">
        <v>1019.1101260075591</v>
      </c>
      <c r="M488" s="12">
        <f t="shared" si="100"/>
        <v>1019.4545392271148</v>
      </c>
      <c r="N488" s="12">
        <f t="shared" si="102"/>
        <v>0.11862046580471618</v>
      </c>
      <c r="R488" s="2">
        <f t="shared" si="103"/>
        <v>1.0328154596055819</v>
      </c>
      <c r="V488">
        <v>486</v>
      </c>
      <c r="W488">
        <f t="shared" si="97"/>
        <v>0.39050174248247366</v>
      </c>
      <c r="X488">
        <f>SUM($W$3:W488)</f>
        <v>223.33075917902963</v>
      </c>
      <c r="Y488" s="4">
        <f t="shared" si="96"/>
        <v>0.45952831106796221</v>
      </c>
      <c r="AA488">
        <v>486</v>
      </c>
      <c r="AB488">
        <f t="shared" si="98"/>
        <v>0.39050174248247366</v>
      </c>
      <c r="AC488">
        <f>SUM($AB$3:AB488)</f>
        <v>220.13450975053271</v>
      </c>
      <c r="AD488" s="4">
        <f t="shared" si="99"/>
        <v>0.45295166615335952</v>
      </c>
    </row>
    <row r="489" spans="6:30" x14ac:dyDescent="0.25">
      <c r="F489">
        <v>826000</v>
      </c>
      <c r="G489" s="12">
        <v>2071.3726861216292</v>
      </c>
      <c r="H489" s="12">
        <f t="shared" si="104"/>
        <v>1942.4731004160776</v>
      </c>
      <c r="I489" s="12">
        <f t="shared" si="105"/>
        <v>16615.103195062828</v>
      </c>
      <c r="K489">
        <f t="shared" si="101"/>
        <v>826000</v>
      </c>
      <c r="L489" s="12">
        <v>1018.3937333780141</v>
      </c>
      <c r="M489" s="12">
        <f t="shared" si="100"/>
        <v>1018.733839218667</v>
      </c>
      <c r="N489" s="12">
        <f t="shared" si="102"/>
        <v>0.11567198284620346</v>
      </c>
      <c r="R489" s="2">
        <f t="shared" si="103"/>
        <v>1.0339605579178905</v>
      </c>
      <c r="V489">
        <v>487</v>
      </c>
      <c r="W489">
        <f t="shared" si="97"/>
        <v>0.39037975230400734</v>
      </c>
      <c r="X489">
        <f>SUM($W$3:W489)</f>
        <v>223.72113893133363</v>
      </c>
      <c r="Y489" s="4">
        <f t="shared" si="96"/>
        <v>0.45938632224093146</v>
      </c>
      <c r="AA489">
        <v>487</v>
      </c>
      <c r="AB489">
        <f t="shared" si="98"/>
        <v>0.39037975230400734</v>
      </c>
      <c r="AC489">
        <f>SUM($AB$3:AB489)</f>
        <v>220.52488950283671</v>
      </c>
      <c r="AD489" s="4">
        <f t="shared" si="99"/>
        <v>0.45282318173067088</v>
      </c>
    </row>
    <row r="490" spans="6:30" x14ac:dyDescent="0.25">
      <c r="F490">
        <v>828000</v>
      </c>
      <c r="G490" s="12">
        <v>2071.0835544067031</v>
      </c>
      <c r="H490" s="12">
        <f t="shared" si="104"/>
        <v>1941.7031350734851</v>
      </c>
      <c r="I490" s="12">
        <f t="shared" si="105"/>
        <v>16739.292906839335</v>
      </c>
      <c r="K490">
        <f t="shared" si="101"/>
        <v>828000</v>
      </c>
      <c r="L490" s="12">
        <v>1017.679596235699</v>
      </c>
      <c r="M490" s="12">
        <f t="shared" si="100"/>
        <v>1018.0153897882063</v>
      </c>
      <c r="N490" s="12">
        <f t="shared" si="102"/>
        <v>0.11275730990548069</v>
      </c>
      <c r="R490" s="2">
        <f t="shared" si="103"/>
        <v>1.0351037419512448</v>
      </c>
      <c r="V490">
        <v>488</v>
      </c>
      <c r="W490">
        <f t="shared" si="97"/>
        <v>0.39025805035374034</v>
      </c>
      <c r="X490">
        <f>SUM($W$3:W490)</f>
        <v>224.11139698168736</v>
      </c>
      <c r="Y490" s="4">
        <f t="shared" si="96"/>
        <v>0.45924466594608065</v>
      </c>
      <c r="AA490">
        <v>488</v>
      </c>
      <c r="AB490">
        <f t="shared" si="98"/>
        <v>0.39025805035374034</v>
      </c>
      <c r="AC490">
        <f>SUM($AB$3:AB490)</f>
        <v>220.91514755319045</v>
      </c>
      <c r="AD490" s="4">
        <f t="shared" si="99"/>
        <v>0.45269497449424273</v>
      </c>
    </row>
    <row r="491" spans="6:30" x14ac:dyDescent="0.25">
      <c r="F491">
        <v>830000</v>
      </c>
      <c r="G491" s="12">
        <v>2070.795418171514</v>
      </c>
      <c r="H491" s="12">
        <f t="shared" si="104"/>
        <v>1940.9353314074053</v>
      </c>
      <c r="I491" s="12">
        <f t="shared" si="105"/>
        <v>16863.64213438184</v>
      </c>
      <c r="K491">
        <f t="shared" si="101"/>
        <v>830000</v>
      </c>
      <c r="L491" s="12">
        <v>1016.9677020386699</v>
      </c>
      <c r="M491" s="12">
        <f t="shared" si="100"/>
        <v>1017.2991784969327</v>
      </c>
      <c r="N491" s="12">
        <f t="shared" si="102"/>
        <v>0.10987664238240183</v>
      </c>
      <c r="R491" s="2">
        <f t="shared" si="103"/>
        <v>1.0362450194045323</v>
      </c>
      <c r="V491">
        <v>489</v>
      </c>
      <c r="W491">
        <f t="shared" si="97"/>
        <v>0.39013663536212906</v>
      </c>
      <c r="X491">
        <f>SUM($W$3:W491)</f>
        <v>224.50153361704949</v>
      </c>
      <c r="Y491" s="4">
        <f t="shared" si="96"/>
        <v>0.45910334073016257</v>
      </c>
      <c r="AA491">
        <v>489</v>
      </c>
      <c r="AB491">
        <f t="shared" si="98"/>
        <v>0.39013663536212906</v>
      </c>
      <c r="AC491">
        <f>SUM($AB$3:AB491)</f>
        <v>221.30528418855258</v>
      </c>
      <c r="AD491" s="4">
        <f t="shared" si="99"/>
        <v>0.45256704333037334</v>
      </c>
    </row>
    <row r="492" spans="6:30" x14ac:dyDescent="0.25">
      <c r="F492">
        <v>832000</v>
      </c>
      <c r="G492" s="12">
        <v>2070.5082715921171</v>
      </c>
      <c r="H492" s="12">
        <f t="shared" si="104"/>
        <v>1940.1696781619637</v>
      </c>
      <c r="I492" s="12">
        <f t="shared" si="105"/>
        <v>16988.148937350834</v>
      </c>
      <c r="K492">
        <f t="shared" si="101"/>
        <v>832000</v>
      </c>
      <c r="L492" s="12">
        <v>1016.2580383447925</v>
      </c>
      <c r="M492" s="12">
        <f t="shared" si="100"/>
        <v>1016.5851930045554</v>
      </c>
      <c r="N492" s="12">
        <f t="shared" si="102"/>
        <v>0.10703017140463264</v>
      </c>
      <c r="R492" s="2">
        <f t="shared" si="103"/>
        <v>1.0373843979275295</v>
      </c>
      <c r="V492">
        <v>490</v>
      </c>
      <c r="W492">
        <f t="shared" si="97"/>
        <v>0.3900155060678035</v>
      </c>
      <c r="X492">
        <f>SUM($W$3:W492)</f>
        <v>224.8915491231173</v>
      </c>
      <c r="Y492" s="4">
        <f t="shared" si="96"/>
        <v>0.45896234514921896</v>
      </c>
      <c r="AA492">
        <v>490</v>
      </c>
      <c r="AB492">
        <f t="shared" si="98"/>
        <v>0.3900155060678035</v>
      </c>
      <c r="AC492">
        <f>SUM($AB$3:AB492)</f>
        <v>221.69529969462039</v>
      </c>
      <c r="AD492" s="4">
        <f t="shared" si="99"/>
        <v>0.45243938713187837</v>
      </c>
    </row>
    <row r="493" spans="6:30" x14ac:dyDescent="0.25">
      <c r="F493">
        <v>834000</v>
      </c>
      <c r="G493" s="12">
        <v>2070.222108892568</v>
      </c>
      <c r="H493" s="12">
        <f t="shared" si="104"/>
        <v>1939.4061641667759</v>
      </c>
      <c r="I493" s="12">
        <f t="shared" si="105"/>
        <v>17112.811394501514</v>
      </c>
      <c r="K493">
        <f t="shared" si="101"/>
        <v>834000</v>
      </c>
      <c r="L493" s="12">
        <v>1015.5505928107099</v>
      </c>
      <c r="M493" s="12">
        <f t="shared" si="100"/>
        <v>1015.8734210682783</v>
      </c>
      <c r="N493" s="12">
        <f t="shared" si="102"/>
        <v>0.1042180838846514</v>
      </c>
      <c r="R493" s="2">
        <f t="shared" si="103"/>
        <v>1.0385218851213258</v>
      </c>
      <c r="V493">
        <v>491</v>
      </c>
      <c r="W493">
        <f t="shared" si="97"/>
        <v>0.38989466121749805</v>
      </c>
      <c r="X493">
        <f>SUM($W$3:W493)</f>
        <v>225.28144378433481</v>
      </c>
      <c r="Y493" s="4">
        <f t="shared" si="96"/>
        <v>0.45882167776850269</v>
      </c>
      <c r="AA493">
        <v>491</v>
      </c>
      <c r="AB493">
        <f t="shared" si="98"/>
        <v>0.38989466121749805</v>
      </c>
      <c r="AC493">
        <f>SUM($AB$3:AB493)</f>
        <v>222.0851943558379</v>
      </c>
      <c r="AD493" s="4">
        <f t="shared" si="99"/>
        <v>0.45231200479804051</v>
      </c>
    </row>
    <row r="494" spans="6:30" x14ac:dyDescent="0.25">
      <c r="F494">
        <v>836000</v>
      </c>
      <c r="G494" s="12">
        <v>2069.936924344418</v>
      </c>
      <c r="H494" s="12">
        <f t="shared" si="104"/>
        <v>1938.6447783360907</v>
      </c>
      <c r="I494" s="12">
        <f t="shared" si="105"/>
        <v>17237.627603471945</v>
      </c>
      <c r="K494">
        <f t="shared" si="101"/>
        <v>836000</v>
      </c>
      <c r="L494" s="12">
        <v>1014.8453531908244</v>
      </c>
      <c r="M494" s="12">
        <f t="shared" si="100"/>
        <v>1015.1638505417986</v>
      </c>
      <c r="N494" s="12">
        <f t="shared" si="102"/>
        <v>0.10144056257759049</v>
      </c>
      <c r="R494" s="2">
        <f t="shared" si="103"/>
        <v>1.0396574885387504</v>
      </c>
      <c r="V494">
        <v>492</v>
      </c>
      <c r="W494">
        <f t="shared" si="97"/>
        <v>0.38977409956598308</v>
      </c>
      <c r="X494">
        <f>SUM($W$3:W494)</f>
        <v>225.67121788390079</v>
      </c>
      <c r="Y494" s="4">
        <f t="shared" si="96"/>
        <v>0.4586813371624</v>
      </c>
      <c r="AA494">
        <v>492</v>
      </c>
      <c r="AB494">
        <f t="shared" si="98"/>
        <v>0.38977409956598308</v>
      </c>
      <c r="AC494">
        <f>SUM($AB$3:AB494)</f>
        <v>222.47496845540388</v>
      </c>
      <c r="AD494" s="4">
        <f t="shared" si="99"/>
        <v>0.45218489523456074</v>
      </c>
    </row>
    <row r="495" spans="6:30" x14ac:dyDescent="0.25">
      <c r="F495">
        <v>838000</v>
      </c>
      <c r="G495" s="12">
        <v>2069.652712266206</v>
      </c>
      <c r="H495" s="12">
        <f t="shared" si="104"/>
        <v>1937.8855096679542</v>
      </c>
      <c r="I495" s="12">
        <f t="shared" si="105"/>
        <v>17362.59568056872</v>
      </c>
      <c r="K495">
        <f t="shared" si="101"/>
        <v>838000</v>
      </c>
      <c r="L495" s="12">
        <v>1014.1423073362889</v>
      </c>
      <c r="M495" s="12">
        <f t="shared" si="100"/>
        <v>1014.4564693743173</v>
      </c>
      <c r="N495" s="12">
        <f t="shared" si="102"/>
        <v>9.8697786138139731E-2</v>
      </c>
      <c r="R495" s="2">
        <f t="shared" si="103"/>
        <v>1.0407912156847932</v>
      </c>
      <c r="V495">
        <v>493</v>
      </c>
      <c r="W495">
        <f t="shared" si="97"/>
        <v>0.38965381987599729</v>
      </c>
      <c r="X495">
        <f>SUM($W$3:W495)</f>
        <v>226.0608717037768</v>
      </c>
      <c r="Y495" s="4">
        <f t="shared" si="96"/>
        <v>0.45854132191435454</v>
      </c>
      <c r="AA495">
        <v>493</v>
      </c>
      <c r="AB495">
        <f t="shared" si="98"/>
        <v>0.38965381987599729</v>
      </c>
      <c r="AC495">
        <f>SUM($AB$3:AB495)</f>
        <v>222.86462227527988</v>
      </c>
      <c r="AD495" s="4">
        <f t="shared" si="99"/>
        <v>0.4520580573535089</v>
      </c>
    </row>
    <row r="496" spans="6:30" x14ac:dyDescent="0.25">
      <c r="F496">
        <v>840000</v>
      </c>
      <c r="G496" s="12">
        <v>2069.3694670229665</v>
      </c>
      <c r="H496" s="12">
        <f t="shared" si="104"/>
        <v>1937.1283472433731</v>
      </c>
      <c r="I496" s="12">
        <f t="shared" si="105"/>
        <v>17487.713760560775</v>
      </c>
      <c r="K496">
        <f t="shared" si="101"/>
        <v>840000</v>
      </c>
      <c r="L496" s="12">
        <v>1013.4414431940166</v>
      </c>
      <c r="M496" s="12">
        <f t="shared" si="100"/>
        <v>1013.7512656095623</v>
      </c>
      <c r="N496" s="12">
        <f t="shared" si="102"/>
        <v>9.59899291745612E-2</v>
      </c>
      <c r="R496" s="2">
        <f t="shared" si="103"/>
        <v>1.0419230740170149</v>
      </c>
      <c r="V496">
        <v>494</v>
      </c>
      <c r="W496">
        <f t="shared" si="97"/>
        <v>0.38953382091818062</v>
      </c>
      <c r="X496">
        <f>SUM($W$3:W496)</f>
        <v>226.45040552469499</v>
      </c>
      <c r="Y496" s="4">
        <f t="shared" si="96"/>
        <v>0.45840163061679146</v>
      </c>
      <c r="AA496">
        <v>494</v>
      </c>
      <c r="AB496">
        <f t="shared" si="98"/>
        <v>0.38953382091818062</v>
      </c>
      <c r="AC496">
        <f>SUM($AB$3:AB496)</f>
        <v>223.25415609619807</v>
      </c>
      <c r="AD496" s="4">
        <f t="shared" si="99"/>
        <v>0.45193149007327543</v>
      </c>
    </row>
    <row r="497" spans="6:30" x14ac:dyDescent="0.25">
      <c r="F497">
        <v>842000</v>
      </c>
      <c r="G497" s="12">
        <v>2069.0871830257347</v>
      </c>
      <c r="H497" s="12">
        <f t="shared" si="104"/>
        <v>1936.3732802254949</v>
      </c>
      <c r="I497" s="12">
        <f t="shared" si="105"/>
        <v>17612.979996471495</v>
      </c>
      <c r="K497">
        <f t="shared" si="101"/>
        <v>842000</v>
      </c>
      <c r="L497" s="12">
        <v>1012.7427488056964</v>
      </c>
      <c r="M497" s="12">
        <f t="shared" si="100"/>
        <v>1013.048227384824</v>
      </c>
      <c r="N497" s="12">
        <f t="shared" si="102"/>
        <v>9.3317162305866216E-2</v>
      </c>
      <c r="R497" s="2">
        <f t="shared" si="103"/>
        <v>1.0430530709459638</v>
      </c>
      <c r="V497">
        <v>495</v>
      </c>
      <c r="W497">
        <f t="shared" si="97"/>
        <v>0.38941410147100797</v>
      </c>
      <c r="X497">
        <f>SUM($W$3:W497)</f>
        <v>226.83981962616599</v>
      </c>
      <c r="Y497" s="4">
        <f t="shared" si="96"/>
        <v>0.45826226187104241</v>
      </c>
      <c r="AA497">
        <v>495</v>
      </c>
      <c r="AB497">
        <f t="shared" si="98"/>
        <v>0.38941410147100797</v>
      </c>
      <c r="AC497">
        <f>SUM($AB$3:AB497)</f>
        <v>223.64357019766908</v>
      </c>
      <c r="AD497" s="4">
        <f t="shared" si="99"/>
        <v>0.4518051923185234</v>
      </c>
    </row>
    <row r="498" spans="6:30" x14ac:dyDescent="0.25">
      <c r="F498">
        <v>844000</v>
      </c>
      <c r="G498" s="12">
        <v>2068.805854731067</v>
      </c>
      <c r="H498" s="12">
        <f t="shared" si="104"/>
        <v>1935.6202978587978</v>
      </c>
      <c r="I498" s="12">
        <f t="shared" si="105"/>
        <v>17738.392559376458</v>
      </c>
      <c r="K498">
        <f t="shared" si="101"/>
        <v>844000</v>
      </c>
      <c r="L498" s="12">
        <v>1012.0462123068272</v>
      </c>
      <c r="M498" s="12">
        <f t="shared" si="100"/>
        <v>1012.3473429300038</v>
      </c>
      <c r="N498" s="12">
        <f t="shared" si="102"/>
        <v>9.067965221473856E-2</v>
      </c>
      <c r="R498" s="2">
        <f t="shared" si="103"/>
        <v>1.0441812138355759</v>
      </c>
      <c r="V498">
        <v>496</v>
      </c>
      <c r="W498">
        <f t="shared" si="97"/>
        <v>0.38929466032072324</v>
      </c>
      <c r="X498">
        <f>SUM($W$3:W498)</f>
        <v>227.22911428648672</v>
      </c>
      <c r="Y498" s="4">
        <f t="shared" si="96"/>
        <v>0.4581232142872716</v>
      </c>
      <c r="AA498">
        <v>496</v>
      </c>
      <c r="AB498">
        <f t="shared" si="98"/>
        <v>0.38929466032072324</v>
      </c>
      <c r="AC498">
        <f>SUM($AB$3:AB498)</f>
        <v>224.03286485798981</v>
      </c>
      <c r="AD498" s="4">
        <f t="shared" si="99"/>
        <v>0.45167916302014072</v>
      </c>
    </row>
    <row r="499" spans="6:30" x14ac:dyDescent="0.25">
      <c r="F499">
        <v>846000</v>
      </c>
      <c r="G499" s="12">
        <v>2068.5254766405574</v>
      </c>
      <c r="H499" s="12">
        <f t="shared" si="104"/>
        <v>1934.8693894682883</v>
      </c>
      <c r="I499" s="12">
        <f t="shared" si="105"/>
        <v>17863.949638201186</v>
      </c>
      <c r="K499">
        <f t="shared" si="101"/>
        <v>846000</v>
      </c>
      <c r="L499" s="12">
        <v>1011.3518219257599</v>
      </c>
      <c r="M499" s="12">
        <f t="shared" si="100"/>
        <v>1011.6486005666719</v>
      </c>
      <c r="N499" s="12">
        <f t="shared" si="102"/>
        <v>8.8077561701613183E-2</v>
      </c>
      <c r="R499" s="2">
        <f t="shared" si="103"/>
        <v>1.0453075100035774</v>
      </c>
      <c r="V499">
        <v>497</v>
      </c>
      <c r="W499">
        <f t="shared" si="97"/>
        <v>0.38917549626127484</v>
      </c>
      <c r="X499">
        <f>SUM($W$3:W499)</f>
        <v>227.61828978274801</v>
      </c>
      <c r="Y499" s="4">
        <f t="shared" si="96"/>
        <v>0.45798448648440243</v>
      </c>
      <c r="AA499">
        <v>497</v>
      </c>
      <c r="AB499">
        <f t="shared" si="98"/>
        <v>0.38917549626127484</v>
      </c>
      <c r="AC499">
        <f>SUM($AB$3:AB499)</f>
        <v>224.4220403542511</v>
      </c>
      <c r="AD499" s="4">
        <f t="shared" si="99"/>
        <v>0.45155340111519338</v>
      </c>
    </row>
    <row r="500" spans="6:30" x14ac:dyDescent="0.25">
      <c r="F500">
        <v>848000</v>
      </c>
      <c r="G500" s="12">
        <v>2068.2460433003739</v>
      </c>
      <c r="H500" s="12">
        <f t="shared" si="104"/>
        <v>1934.1205444587094</v>
      </c>
      <c r="I500" s="12">
        <f t="shared" si="105"/>
        <v>17989.649439525336</v>
      </c>
      <c r="K500">
        <f t="shared" si="101"/>
        <v>848000</v>
      </c>
      <c r="L500" s="12">
        <v>1010.6595659827536</v>
      </c>
      <c r="M500" s="12">
        <f t="shared" si="100"/>
        <v>1010.9519887071409</v>
      </c>
      <c r="N500" s="12">
        <f t="shared" si="102"/>
        <v>8.5511049738078673E-2</v>
      </c>
      <c r="R500" s="2">
        <f t="shared" si="103"/>
        <v>1.0464319667218858</v>
      </c>
      <c r="V500">
        <v>498</v>
      </c>
      <c r="W500">
        <f t="shared" si="97"/>
        <v>0.38905660809425113</v>
      </c>
      <c r="X500">
        <f>SUM($W$3:W500)</f>
        <v>228.00734639084226</v>
      </c>
      <c r="Y500" s="4">
        <f t="shared" si="96"/>
        <v>0.45784607709004471</v>
      </c>
      <c r="AA500">
        <v>498</v>
      </c>
      <c r="AB500">
        <f t="shared" si="98"/>
        <v>0.38905660809425113</v>
      </c>
      <c r="AC500">
        <f>SUM($AB$3:AB500)</f>
        <v>224.81109696234535</v>
      </c>
      <c r="AD500" s="4">
        <f t="shared" si="99"/>
        <v>0.45142790554687823</v>
      </c>
    </row>
    <row r="501" spans="6:30" x14ac:dyDescent="0.25">
      <c r="F501">
        <v>850000</v>
      </c>
      <c r="G501" s="12">
        <v>2067.9675493007867</v>
      </c>
      <c r="H501" s="12">
        <f t="shared" si="104"/>
        <v>1933.3737523137584</v>
      </c>
      <c r="I501" s="12">
        <f t="shared" si="105"/>
        <v>18115.490187385396</v>
      </c>
      <c r="K501">
        <f t="shared" si="101"/>
        <v>850000</v>
      </c>
      <c r="L501" s="12">
        <v>1009.969432889043</v>
      </c>
      <c r="M501" s="12">
        <f t="shared" si="100"/>
        <v>1010.2574958535467</v>
      </c>
      <c r="N501" s="12">
        <f t="shared" si="102"/>
        <v>8.2980271518689641E-2</v>
      </c>
      <c r="R501" s="2">
        <f t="shared" si="103"/>
        <v>1.047554591216997</v>
      </c>
      <c r="V501">
        <v>499</v>
      </c>
      <c r="W501">
        <f t="shared" si="97"/>
        <v>0.38893799462881684</v>
      </c>
      <c r="X501">
        <f>SUM($W$3:W501)</f>
        <v>228.39628438547106</v>
      </c>
      <c r="Y501" s="4">
        <f t="shared" si="96"/>
        <v>0.45770798474042296</v>
      </c>
      <c r="AA501">
        <v>499</v>
      </c>
      <c r="AB501">
        <f t="shared" si="98"/>
        <v>0.38893799462881684</v>
      </c>
      <c r="AC501">
        <f>SUM($AB$3:AB501)</f>
        <v>225.20003495697415</v>
      </c>
      <c r="AD501" s="4">
        <f t="shared" si="99"/>
        <v>0.45130267526447726</v>
      </c>
    </row>
    <row r="502" spans="6:30" x14ac:dyDescent="0.25">
      <c r="F502">
        <v>852000</v>
      </c>
      <c r="G502" s="12">
        <v>2067.6899892757092</v>
      </c>
      <c r="H502" s="12">
        <f t="shared" si="104"/>
        <v>1932.6290025953165</v>
      </c>
      <c r="I502" s="12">
        <f t="shared" si="105"/>
        <v>18241.470123081217</v>
      </c>
      <c r="K502">
        <f t="shared" si="101"/>
        <v>852000</v>
      </c>
      <c r="L502" s="12">
        <v>1009.2814111459174</v>
      </c>
      <c r="M502" s="12">
        <f t="shared" si="100"/>
        <v>1009.5651105969445</v>
      </c>
      <c r="N502" s="12">
        <f t="shared" si="102"/>
        <v>8.0485378513031822E-2</v>
      </c>
      <c r="R502" s="2">
        <f t="shared" si="103"/>
        <v>1.0486753906703745</v>
      </c>
      <c r="V502">
        <v>500</v>
      </c>
      <c r="W502">
        <f t="shared" si="97"/>
        <v>0.38881965468165014</v>
      </c>
      <c r="X502">
        <f>SUM($W$3:W502)</f>
        <v>228.7851040401527</v>
      </c>
      <c r="Y502" s="4">
        <f t="shared" ref="Y502:Y565" si="106">X502/V502</f>
        <v>0.45757020808030541</v>
      </c>
      <c r="AA502">
        <v>500</v>
      </c>
      <c r="AB502">
        <f t="shared" si="98"/>
        <v>0.38881965468165014</v>
      </c>
      <c r="AC502">
        <f>SUM($AB$3:AB502)</f>
        <v>225.58885461165579</v>
      </c>
      <c r="AD502" s="4">
        <f t="shared" si="99"/>
        <v>0.45117770922331157</v>
      </c>
    </row>
    <row r="503" spans="6:30" x14ac:dyDescent="0.25">
      <c r="F503">
        <v>854000</v>
      </c>
      <c r="G503" s="12">
        <v>2067.4133579022473</v>
      </c>
      <c r="H503" s="12">
        <f t="shared" si="104"/>
        <v>1931.8862849426821</v>
      </c>
      <c r="I503" s="12">
        <f t="shared" si="105"/>
        <v>18367.58750498731</v>
      </c>
      <c r="K503">
        <f t="shared" si="101"/>
        <v>854000</v>
      </c>
      <c r="L503" s="12">
        <v>1008.5954893438094</v>
      </c>
      <c r="M503" s="12">
        <f t="shared" si="100"/>
        <v>1008.8748216164125</v>
      </c>
      <c r="N503" s="12">
        <f t="shared" si="102"/>
        <v>7.802651851763602E-2</v>
      </c>
      <c r="R503" s="2">
        <f t="shared" si="103"/>
        <v>1.0497943722188396</v>
      </c>
      <c r="V503">
        <v>501</v>
      </c>
      <c r="W503">
        <f t="shared" si="97"/>
        <v>0.38870158707688018</v>
      </c>
      <c r="X503">
        <f>SUM($W$3:W503)</f>
        <v>229.17380562722957</v>
      </c>
      <c r="Y503" s="4">
        <f t="shared" si="106"/>
        <v>0.45743274576293325</v>
      </c>
      <c r="AA503">
        <v>501</v>
      </c>
      <c r="AB503">
        <f t="shared" si="98"/>
        <v>0.38870158707688018</v>
      </c>
      <c r="AC503">
        <f>SUM($AB$3:AB503)</f>
        <v>225.97755619873266</v>
      </c>
      <c r="AD503" s="4">
        <f t="shared" si="99"/>
        <v>0.45105300638469592</v>
      </c>
    </row>
    <row r="504" spans="6:30" x14ac:dyDescent="0.25">
      <c r="F504">
        <v>856000</v>
      </c>
      <c r="G504" s="12">
        <v>2067.1376499002477</v>
      </c>
      <c r="H504" s="12">
        <f t="shared" si="104"/>
        <v>1931.1455890718203</v>
      </c>
      <c r="I504" s="12">
        <f t="shared" si="105"/>
        <v>18493.840608362694</v>
      </c>
      <c r="K504">
        <f t="shared" si="101"/>
        <v>856000</v>
      </c>
      <c r="L504" s="12">
        <v>1007.9116561614005</v>
      </c>
      <c r="M504" s="12">
        <f t="shared" si="100"/>
        <v>1008.1866176781703</v>
      </c>
      <c r="N504" s="12">
        <f t="shared" si="102"/>
        <v>7.5603835704313629E-2</v>
      </c>
      <c r="R504" s="2">
        <f t="shared" si="103"/>
        <v>1.0509115429549407</v>
      </c>
      <c r="V504">
        <v>502</v>
      </c>
      <c r="W504">
        <f t="shared" si="97"/>
        <v>0.38858379064602577</v>
      </c>
      <c r="X504">
        <f>SUM($W$3:W504)</f>
        <v>229.56238941787561</v>
      </c>
      <c r="Y504" s="4">
        <f t="shared" si="106"/>
        <v>0.45729559644995144</v>
      </c>
      <c r="AA504">
        <v>502</v>
      </c>
      <c r="AB504">
        <f t="shared" si="98"/>
        <v>0.38858379064602577</v>
      </c>
      <c r="AC504">
        <f>SUM($AB$3:AB504)</f>
        <v>226.36613998937869</v>
      </c>
      <c r="AD504" s="4">
        <f t="shared" si="99"/>
        <v>0.45092856571589379</v>
      </c>
    </row>
    <row r="505" spans="6:30" x14ac:dyDescent="0.25">
      <c r="F505">
        <v>858000</v>
      </c>
      <c r="G505" s="12">
        <v>2066.8628600318611</v>
      </c>
      <c r="H505" s="12">
        <f t="shared" si="104"/>
        <v>1930.4069047746154</v>
      </c>
      <c r="I505" s="12">
        <f t="shared" si="105"/>
        <v>18620.227725167442</v>
      </c>
      <c r="K505">
        <f t="shared" si="101"/>
        <v>858000</v>
      </c>
      <c r="L505" s="12">
        <v>1007.2299003647296</v>
      </c>
      <c r="M505" s="12">
        <f t="shared" si="100"/>
        <v>1007.5004876347057</v>
      </c>
      <c r="N505" s="12">
        <f t="shared" si="102"/>
        <v>7.3217470673113572E-2</v>
      </c>
      <c r="R505" s="2">
        <f t="shared" si="103"/>
        <v>1.0520269099273425</v>
      </c>
      <c r="V505">
        <v>503</v>
      </c>
      <c r="W505">
        <f t="shared" si="97"/>
        <v>0.38846626422793373</v>
      </c>
      <c r="X505">
        <f>SUM($W$3:W505)</f>
        <v>229.95085568210354</v>
      </c>
      <c r="Y505" s="4">
        <f t="shared" si="106"/>
        <v>0.45715875881133905</v>
      </c>
      <c r="AA505">
        <v>503</v>
      </c>
      <c r="AB505">
        <f t="shared" si="98"/>
        <v>0.38846626422793373</v>
      </c>
      <c r="AC505">
        <f>SUM($AB$3:AB505)</f>
        <v>226.75460625360662</v>
      </c>
      <c r="AD505" s="4">
        <f t="shared" si="99"/>
        <v>0.45080438619007279</v>
      </c>
    </row>
    <row r="506" spans="6:30" x14ac:dyDescent="0.25">
      <c r="F506">
        <v>860000</v>
      </c>
      <c r="G506" s="12">
        <v>2066.5889831010968</v>
      </c>
      <c r="H506" s="12">
        <f t="shared" si="104"/>
        <v>1929.6702219181375</v>
      </c>
      <c r="I506" s="12">
        <f t="shared" si="105"/>
        <v>18746.747163876247</v>
      </c>
      <c r="K506">
        <f t="shared" si="101"/>
        <v>860000</v>
      </c>
      <c r="L506" s="12">
        <v>1006.5502108063205</v>
      </c>
      <c r="M506" s="12">
        <f t="shared" si="100"/>
        <v>1006.8164204239124</v>
      </c>
      <c r="N506" s="12">
        <f t="shared" si="102"/>
        <v>7.0867560498439452E-2</v>
      </c>
      <c r="R506" s="2">
        <f t="shared" si="103"/>
        <v>1.0531404801411819</v>
      </c>
      <c r="V506">
        <v>504</v>
      </c>
      <c r="W506">
        <f t="shared" si="97"/>
        <v>0.3883490066687193</v>
      </c>
      <c r="X506">
        <f>SUM($W$3:W506)</f>
        <v>230.33920468877227</v>
      </c>
      <c r="Y506" s="4">
        <f t="shared" si="106"/>
        <v>0.45702223152534183</v>
      </c>
      <c r="AA506">
        <v>504</v>
      </c>
      <c r="AB506">
        <f t="shared" si="98"/>
        <v>0.3883490066687193</v>
      </c>
      <c r="AC506">
        <f>SUM($AB$3:AB506)</f>
        <v>227.14295526027536</v>
      </c>
      <c r="AD506" s="4">
        <f t="shared" si="99"/>
        <v>0.45068046678626061</v>
      </c>
    </row>
    <row r="507" spans="6:30" x14ac:dyDescent="0.25">
      <c r="F507">
        <v>862000</v>
      </c>
      <c r="G507" s="12">
        <v>2066.316013953402</v>
      </c>
      <c r="H507" s="12">
        <f t="shared" si="104"/>
        <v>1928.9355304439125</v>
      </c>
      <c r="I507" s="12">
        <f t="shared" si="105"/>
        <v>18873.397249301124</v>
      </c>
      <c r="K507">
        <f t="shared" si="101"/>
        <v>862000</v>
      </c>
      <c r="L507" s="12">
        <v>1005.8725764243128</v>
      </c>
      <c r="M507" s="12">
        <f t="shared" si="100"/>
        <v>1006.13440506824</v>
      </c>
      <c r="N507" s="12">
        <f t="shared" si="102"/>
        <v>6.8554238780742974E-2</v>
      </c>
      <c r="R507" s="2">
        <f t="shared" si="103"/>
        <v>1.0542522605584552</v>
      </c>
      <c r="V507">
        <v>505</v>
      </c>
      <c r="W507">
        <f t="shared" si="97"/>
        <v>0.38823201682170527</v>
      </c>
      <c r="X507">
        <f>SUM($W$3:W507)</f>
        <v>230.72743670559399</v>
      </c>
      <c r="Y507" s="4">
        <f t="shared" si="106"/>
        <v>0.45688601327840395</v>
      </c>
      <c r="AA507">
        <v>505</v>
      </c>
      <c r="AB507">
        <f t="shared" si="98"/>
        <v>0.38823201682170527</v>
      </c>
      <c r="AC507">
        <f>SUM($AB$3:AB507)</f>
        <v>227.53118727709708</v>
      </c>
      <c r="AD507" s="4">
        <f t="shared" si="99"/>
        <v>0.45055680648930113</v>
      </c>
    </row>
    <row r="508" spans="6:30" x14ac:dyDescent="0.25">
      <c r="F508">
        <v>864000</v>
      </c>
      <c r="G508" s="12">
        <v>2066.0439474752247</v>
      </c>
      <c r="H508" s="12">
        <f t="shared" si="104"/>
        <v>1928.2028203672062</v>
      </c>
      <c r="I508" s="12">
        <f t="shared" si="105"/>
        <v>19000.176322408926</v>
      </c>
      <c r="K508">
        <f t="shared" si="101"/>
        <v>864000</v>
      </c>
      <c r="L508" s="12">
        <v>1005.1969862416122</v>
      </c>
      <c r="M508" s="12">
        <f t="shared" si="100"/>
        <v>1005.4544306738522</v>
      </c>
      <c r="N508" s="12">
        <f t="shared" si="102"/>
        <v>6.6277635691401451E-2</v>
      </c>
      <c r="R508" s="2">
        <f t="shared" si="103"/>
        <v>1.0553622580983588</v>
      </c>
      <c r="V508">
        <v>506</v>
      </c>
      <c r="W508">
        <f t="shared" si="97"/>
        <v>0.38811529354736396</v>
      </c>
      <c r="X508">
        <f>SUM($W$3:W508)</f>
        <v>231.11555199914136</v>
      </c>
      <c r="Y508" s="4">
        <f t="shared" si="106"/>
        <v>0.45675010276510153</v>
      </c>
      <c r="AA508">
        <v>506</v>
      </c>
      <c r="AB508">
        <f t="shared" si="98"/>
        <v>0.38811529354736396</v>
      </c>
      <c r="AC508">
        <f>SUM($AB$3:AB508)</f>
        <v>227.91930257064445</v>
      </c>
      <c r="AD508" s="4">
        <f t="shared" si="99"/>
        <v>0.45043340428981116</v>
      </c>
    </row>
    <row r="509" spans="6:30" x14ac:dyDescent="0.25">
      <c r="F509">
        <v>866000</v>
      </c>
      <c r="G509" s="12">
        <v>2065.7727785936036</v>
      </c>
      <c r="H509" s="12">
        <f t="shared" si="104"/>
        <v>1927.4720817763143</v>
      </c>
      <c r="I509" s="12">
        <f t="shared" si="105"/>
        <v>19127.082740147758</v>
      </c>
      <c r="K509">
        <f t="shared" si="101"/>
        <v>866000</v>
      </c>
      <c r="L509" s="12">
        <v>1004.5234293650407</v>
      </c>
      <c r="M509" s="12">
        <f t="shared" si="100"/>
        <v>1004.7764864297973</v>
      </c>
      <c r="N509" s="12">
        <f t="shared" si="102"/>
        <v>6.4037878023227926E-2</v>
      </c>
      <c r="R509" s="2">
        <f t="shared" si="103"/>
        <v>1.0564704796376714</v>
      </c>
      <c r="V509">
        <v>507</v>
      </c>
      <c r="W509">
        <f t="shared" si="97"/>
        <v>0.38799883571325761</v>
      </c>
      <c r="X509">
        <f>SUM($W$3:W509)</f>
        <v>231.50355083485462</v>
      </c>
      <c r="Y509" s="4">
        <f t="shared" si="106"/>
        <v>0.45661449868807619</v>
      </c>
      <c r="AA509">
        <v>507</v>
      </c>
      <c r="AB509">
        <f t="shared" si="98"/>
        <v>0.38799883571325761</v>
      </c>
      <c r="AC509">
        <f>SUM($AB$3:AB509)</f>
        <v>228.30730140635771</v>
      </c>
      <c r="AD509" s="4">
        <f t="shared" si="99"/>
        <v>0.45031025918413747</v>
      </c>
    </row>
    <row r="510" spans="6:30" x14ac:dyDescent="0.25">
      <c r="F510">
        <v>868000</v>
      </c>
      <c r="G510" s="12">
        <v>2065.5025022757477</v>
      </c>
      <c r="H510" s="12">
        <f t="shared" si="104"/>
        <v>1926.7433048318587</v>
      </c>
      <c r="I510" s="12">
        <f t="shared" si="105"/>
        <v>19254.114875272167</v>
      </c>
      <c r="K510">
        <f t="shared" si="101"/>
        <v>868000</v>
      </c>
      <c r="L510" s="12">
        <v>1003.8518949845071</v>
      </c>
      <c r="M510" s="12">
        <f t="shared" si="100"/>
        <v>1004.100561607187</v>
      </c>
      <c r="N510" s="12">
        <f t="shared" si="102"/>
        <v>6.1835089235044834E-2</v>
      </c>
      <c r="R510" s="2">
        <f t="shared" si="103"/>
        <v>1.0575769320110968</v>
      </c>
      <c r="V510">
        <v>508</v>
      </c>
      <c r="W510">
        <f t="shared" si="97"/>
        <v>0.387882642193981</v>
      </c>
      <c r="X510">
        <f>SUM($W$3:W510)</f>
        <v>231.89143347704859</v>
      </c>
      <c r="Y510" s="4">
        <f t="shared" si="106"/>
        <v>0.45647919975796969</v>
      </c>
      <c r="AA510">
        <v>508</v>
      </c>
      <c r="AB510">
        <f t="shared" si="98"/>
        <v>0.387882642193981</v>
      </c>
      <c r="AC510">
        <f>SUM($AB$3:AB510)</f>
        <v>228.69518404855168</v>
      </c>
      <c r="AD510" s="4">
        <f t="shared" si="99"/>
        <v>0.45018737017431432</v>
      </c>
    </row>
    <row r="511" spans="6:30" x14ac:dyDescent="0.25">
      <c r="F511">
        <v>870000</v>
      </c>
      <c r="G511" s="12">
        <v>2065.2331135286258</v>
      </c>
      <c r="H511" s="12">
        <f t="shared" si="104"/>
        <v>1926.0164797660977</v>
      </c>
      <c r="I511" s="12">
        <f t="shared" si="105"/>
        <v>19381.271116169875</v>
      </c>
      <c r="K511">
        <f t="shared" si="101"/>
        <v>870000</v>
      </c>
      <c r="L511" s="12">
        <v>1003.1823723721817</v>
      </c>
      <c r="M511" s="12">
        <f t="shared" si="100"/>
        <v>1003.426645558387</v>
      </c>
      <c r="N511" s="12">
        <f t="shared" si="102"/>
        <v>5.9669389498891674E-2</v>
      </c>
      <c r="R511" s="2">
        <f t="shared" si="103"/>
        <v>1.0586816220116178</v>
      </c>
      <c r="V511">
        <v>509</v>
      </c>
      <c r="W511">
        <f t="shared" si="97"/>
        <v>0.38776671187110379</v>
      </c>
      <c r="X511">
        <f>SUM($W$3:W511)</f>
        <v>232.2792001889197</v>
      </c>
      <c r="Y511" s="4">
        <f t="shared" si="106"/>
        <v>0.45634420469335896</v>
      </c>
      <c r="AA511">
        <v>509</v>
      </c>
      <c r="AB511">
        <f t="shared" si="98"/>
        <v>0.38776671187110379</v>
      </c>
      <c r="AC511">
        <f>SUM($AB$3:AB511)</f>
        <v>229.08295076042279</v>
      </c>
      <c r="AD511" s="4">
        <f t="shared" si="99"/>
        <v>0.45006473626802118</v>
      </c>
    </row>
    <row r="512" spans="6:30" x14ac:dyDescent="0.25">
      <c r="F512">
        <v>872000</v>
      </c>
      <c r="G512" s="12">
        <v>2064.9646073985641</v>
      </c>
      <c r="H512" s="12">
        <f t="shared" si="104"/>
        <v>1925.2915968822385</v>
      </c>
      <c r="I512" s="12">
        <f t="shared" si="105"/>
        <v>19508.549866693596</v>
      </c>
      <c r="K512">
        <f t="shared" si="101"/>
        <v>872000</v>
      </c>
      <c r="L512" s="12">
        <v>1002.514850881681</v>
      </c>
      <c r="M512" s="12">
        <f t="shared" si="100"/>
        <v>1002.7547277162157</v>
      </c>
      <c r="N512" s="12">
        <f t="shared" si="102"/>
        <v>5.7540895746386878E-2</v>
      </c>
      <c r="R512" s="2">
        <f t="shared" si="103"/>
        <v>1.0597845563908517</v>
      </c>
      <c r="V512">
        <v>510</v>
      </c>
      <c r="W512">
        <f t="shared" si="97"/>
        <v>0.38765104363311381</v>
      </c>
      <c r="X512">
        <f>SUM($W$3:W512)</f>
        <v>232.66685123255283</v>
      </c>
      <c r="Y512" s="4">
        <f t="shared" si="106"/>
        <v>0.45620951222069184</v>
      </c>
      <c r="AA512">
        <v>510</v>
      </c>
      <c r="AB512">
        <f t="shared" si="98"/>
        <v>0.38765104363311381</v>
      </c>
      <c r="AC512">
        <f>SUM($AB$3:AB512)</f>
        <v>229.47060180405592</v>
      </c>
      <c r="AD512" s="4">
        <f t="shared" si="99"/>
        <v>0.44994235647854103</v>
      </c>
    </row>
    <row r="513" spans="6:30" x14ac:dyDescent="0.25">
      <c r="F513">
        <v>874000</v>
      </c>
      <c r="G513" s="12">
        <v>2064.6969789708455</v>
      </c>
      <c r="H513" s="12">
        <f t="shared" si="104"/>
        <v>1924.5686465537626</v>
      </c>
      <c r="I513" s="12">
        <f t="shared" si="105"/>
        <v>19635.949545992487</v>
      </c>
      <c r="K513">
        <f t="shared" si="101"/>
        <v>874000</v>
      </c>
      <c r="L513" s="12">
        <v>1001.8493199472672</v>
      </c>
      <c r="M513" s="12">
        <f t="shared" si="100"/>
        <v>1002.084797593154</v>
      </c>
      <c r="N513" s="12">
        <f t="shared" si="102"/>
        <v>5.5449721712397322E-2</v>
      </c>
      <c r="R513" s="2">
        <f t="shared" si="103"/>
        <v>1.0608857418593862</v>
      </c>
      <c r="V513">
        <v>511</v>
      </c>
      <c r="W513">
        <f t="shared" si="97"/>
        <v>0.38753563637536059</v>
      </c>
      <c r="X513">
        <f>SUM($W$3:W513)</f>
        <v>233.05438686892819</v>
      </c>
      <c r="Y513" s="4">
        <f t="shared" si="106"/>
        <v>0.45607512107422349</v>
      </c>
      <c r="AA513">
        <v>511</v>
      </c>
      <c r="AB513">
        <f t="shared" si="98"/>
        <v>0.38753563637536059</v>
      </c>
      <c r="AC513">
        <f>SUM($AB$3:AB513)</f>
        <v>229.85813744043128</v>
      </c>
      <c r="AD513" s="4">
        <f t="shared" si="99"/>
        <v>0.44982022982471875</v>
      </c>
    </row>
    <row r="514" spans="6:30" x14ac:dyDescent="0.25">
      <c r="F514">
        <v>876000</v>
      </c>
      <c r="G514" s="12">
        <v>2064.4302233693147</v>
      </c>
      <c r="H514" s="12">
        <f t="shared" si="104"/>
        <v>1923.8476192237556</v>
      </c>
      <c r="I514" s="12">
        <f t="shared" si="105"/>
        <v>19763.468588346976</v>
      </c>
      <c r="K514">
        <f t="shared" si="101"/>
        <v>876000</v>
      </c>
      <c r="L514" s="12">
        <v>1001.1857690830517</v>
      </c>
      <c r="M514" s="12">
        <f t="shared" si="100"/>
        <v>1001.4168447805646</v>
      </c>
      <c r="N514" s="12">
        <f t="shared" si="102"/>
        <v>5.3395977981069778E-2</v>
      </c>
      <c r="R514" s="2">
        <f t="shared" si="103"/>
        <v>1.0619851850871278</v>
      </c>
      <c r="V514">
        <v>512</v>
      </c>
      <c r="W514">
        <f t="shared" si="97"/>
        <v>0.38742048900000003</v>
      </c>
      <c r="X514">
        <f>SUM($W$3:W514)</f>
        <v>233.44180735792818</v>
      </c>
      <c r="Y514" s="4">
        <f t="shared" si="106"/>
        <v>0.45594102999595348</v>
      </c>
      <c r="AA514">
        <v>512</v>
      </c>
      <c r="AB514">
        <f t="shared" si="98"/>
        <v>0.38742048900000003</v>
      </c>
      <c r="AC514">
        <f>SUM($AB$3:AB514)</f>
        <v>230.24555792943127</v>
      </c>
      <c r="AD514" s="4">
        <f t="shared" si="99"/>
        <v>0.44969835533092045</v>
      </c>
    </row>
    <row r="515" spans="6:30" x14ac:dyDescent="0.25">
      <c r="F515">
        <v>878000</v>
      </c>
      <c r="G515" s="12">
        <v>2064.1643357559856</v>
      </c>
      <c r="H515" s="12">
        <f t="shared" si="104"/>
        <v>1923.1285054042471</v>
      </c>
      <c r="I515" s="12">
        <f t="shared" si="105"/>
        <v>19891.105443004355</v>
      </c>
      <c r="K515">
        <f t="shared" si="101"/>
        <v>878000</v>
      </c>
      <c r="L515" s="12">
        <v>1000.5241878822113</v>
      </c>
      <c r="M515" s="12">
        <f t="shared" si="100"/>
        <v>1000.7508589479185</v>
      </c>
      <c r="N515" s="12">
        <f t="shared" si="102"/>
        <v>5.1379772028809279E-2</v>
      </c>
      <c r="R515" s="2">
        <f t="shared" si="103"/>
        <v>1.0630828927036329</v>
      </c>
      <c r="V515">
        <v>513</v>
      </c>
      <c r="W515">
        <f t="shared" si="97"/>
        <v>0.38730560041593887</v>
      </c>
      <c r="X515">
        <f>SUM($W$3:W515)</f>
        <v>233.82911295834413</v>
      </c>
      <c r="Y515" s="4">
        <f t="shared" si="106"/>
        <v>0.45580723773556359</v>
      </c>
      <c r="AA515">
        <v>513</v>
      </c>
      <c r="AB515">
        <f t="shared" si="98"/>
        <v>0.38730560041593887</v>
      </c>
      <c r="AC515">
        <f>SUM($AB$3:AB515)</f>
        <v>230.63286352984721</v>
      </c>
      <c r="AD515" s="4">
        <f t="shared" si="99"/>
        <v>0.44957673202699261</v>
      </c>
    </row>
    <row r="516" spans="6:30" x14ac:dyDescent="0.25">
      <c r="F516">
        <v>880000</v>
      </c>
      <c r="G516" s="12">
        <v>2063.8993113306633</v>
      </c>
      <c r="H516" s="12">
        <f t="shared" si="104"/>
        <v>1922.4112956755575</v>
      </c>
      <c r="I516" s="12">
        <f t="shared" si="105"/>
        <v>20018.85857401945</v>
      </c>
      <c r="K516">
        <f t="shared" si="101"/>
        <v>880000</v>
      </c>
      <c r="L516" s="12">
        <v>999.8645660162141</v>
      </c>
      <c r="M516" s="12">
        <f t="shared" si="100"/>
        <v>1000.086829842034</v>
      </c>
      <c r="N516" s="12">
        <f t="shared" si="102"/>
        <v>4.9401208268115185E-2</v>
      </c>
      <c r="R516" s="2">
        <f t="shared" si="103"/>
        <v>1.0641788712984499</v>
      </c>
      <c r="V516">
        <v>514</v>
      </c>
      <c r="W516">
        <f t="shared" ref="W516:W576" si="107">V516^(-$D$5)</f>
        <v>0.38719096953878035</v>
      </c>
      <c r="X516">
        <f>SUM($W$3:W516)</f>
        <v>234.2163039278829</v>
      </c>
      <c r="Y516" s="4">
        <f t="shared" si="106"/>
        <v>0.45567374305035585</v>
      </c>
      <c r="AA516">
        <v>514</v>
      </c>
      <c r="AB516">
        <f t="shared" ref="AB516:AB576" si="108">AA516^(-$D$5)</f>
        <v>0.38719096953878035</v>
      </c>
      <c r="AC516">
        <f>SUM($AB$3:AB516)</f>
        <v>231.02005449938599</v>
      </c>
      <c r="AD516" s="4">
        <f t="shared" si="99"/>
        <v>0.44945535894822175</v>
      </c>
    </row>
    <row r="517" spans="6:30" x14ac:dyDescent="0.25">
      <c r="F517">
        <v>882000</v>
      </c>
      <c r="G517" s="12">
        <v>2063.6351453305547</v>
      </c>
      <c r="H517" s="12">
        <f t="shared" si="104"/>
        <v>1921.6959806856523</v>
      </c>
      <c r="I517" s="12">
        <f t="shared" si="105"/>
        <v>20146.726460092697</v>
      </c>
      <c r="K517">
        <f t="shared" si="101"/>
        <v>882000</v>
      </c>
      <c r="L517" s="12">
        <v>999.20689323405361</v>
      </c>
      <c r="M517" s="12">
        <f t="shared" si="100"/>
        <v>999.42474728632317</v>
      </c>
      <c r="N517" s="12">
        <f t="shared" si="102"/>
        <v>4.7460388090267508E-2</v>
      </c>
      <c r="R517" s="2">
        <f t="shared" si="103"/>
        <v>1.06527312742144</v>
      </c>
      <c r="V517">
        <v>515</v>
      </c>
      <c r="W517">
        <f t="shared" si="107"/>
        <v>0.38707659529077004</v>
      </c>
      <c r="X517">
        <f>SUM($W$3:W517)</f>
        <v>234.60338052317368</v>
      </c>
      <c r="Y517" s="4">
        <f t="shared" si="106"/>
        <v>0.45554054470519162</v>
      </c>
      <c r="AA517">
        <v>515</v>
      </c>
      <c r="AB517">
        <f t="shared" si="108"/>
        <v>0.38707659529077004</v>
      </c>
      <c r="AC517">
        <f>SUM($AB$3:AB517)</f>
        <v>231.40713109467677</v>
      </c>
      <c r="AD517" s="4">
        <f t="shared" si="99"/>
        <v>0.44933423513529469</v>
      </c>
    </row>
    <row r="518" spans="6:30" x14ac:dyDescent="0.25">
      <c r="F518">
        <v>884000</v>
      </c>
      <c r="G518" s="12">
        <v>2063.3718330299012</v>
      </c>
      <c r="H518" s="12">
        <f t="shared" si="104"/>
        <v>1920.9825511495055</v>
      </c>
      <c r="I518" s="12">
        <f t="shared" si="105"/>
        <v>20274.707594414762</v>
      </c>
      <c r="K518">
        <f t="shared" si="101"/>
        <v>884000</v>
      </c>
      <c r="L518" s="12">
        <v>998.55115936149093</v>
      </c>
      <c r="M518" s="12">
        <f t="shared" si="100"/>
        <v>998.76460118004741</v>
      </c>
      <c r="N518" s="12">
        <f t="shared" si="102"/>
        <v>4.5557409908695404E-2</v>
      </c>
      <c r="R518" s="2">
        <f t="shared" si="103"/>
        <v>1.0663656675831157</v>
      </c>
      <c r="V518">
        <v>516</v>
      </c>
      <c r="W518">
        <f t="shared" si="107"/>
        <v>0.38696247660074273</v>
      </c>
      <c r="X518">
        <f>SUM($W$3:W518)</f>
        <v>234.99034299977441</v>
      </c>
      <c r="Y518" s="4">
        <f t="shared" si="106"/>
        <v>0.45540764147243101</v>
      </c>
      <c r="AA518">
        <v>516</v>
      </c>
      <c r="AB518">
        <f t="shared" si="108"/>
        <v>0.38696247660074273</v>
      </c>
      <c r="AC518">
        <f>SUM($AB$3:AB518)</f>
        <v>231.7940935712775</v>
      </c>
      <c r="AD518" s="4">
        <f t="shared" ref="AD518:AD567" si="109">AC518/AA518</f>
        <v>0.44921335963425874</v>
      </c>
    </row>
    <row r="519" spans="6:30" x14ac:dyDescent="0.25">
      <c r="F519">
        <v>886000</v>
      </c>
      <c r="G519" s="12">
        <v>2063.1093697396004</v>
      </c>
      <c r="H519" s="12">
        <f t="shared" si="104"/>
        <v>1920.2709978484663</v>
      </c>
      <c r="I519" s="12">
        <f t="shared" si="105"/>
        <v>20402.800484509928</v>
      </c>
      <c r="K519">
        <f t="shared" si="101"/>
        <v>886000</v>
      </c>
      <c r="L519" s="12">
        <v>997.89735430030942</v>
      </c>
      <c r="M519" s="12">
        <f t="shared" si="100"/>
        <v>998.1063814975812</v>
      </c>
      <c r="N519" s="12">
        <f t="shared" si="102"/>
        <v>4.3692369199295672E-2</v>
      </c>
      <c r="R519" s="2">
        <f t="shared" si="103"/>
        <v>1.0674564982549537</v>
      </c>
      <c r="V519">
        <v>517</v>
      </c>
      <c r="W519">
        <f t="shared" si="107"/>
        <v>0.38684861240406887</v>
      </c>
      <c r="X519">
        <f>SUM($W$3:W519)</f>
        <v>235.37719161217848</v>
      </c>
      <c r="Y519" s="4">
        <f t="shared" si="106"/>
        <v>0.45527503213187326</v>
      </c>
      <c r="AA519">
        <v>517</v>
      </c>
      <c r="AB519">
        <f t="shared" si="108"/>
        <v>0.38684861240406887</v>
      </c>
      <c r="AC519">
        <f>SUM($AB$3:AB519)</f>
        <v>232.18094218368157</v>
      </c>
      <c r="AD519" s="4">
        <f t="shared" si="109"/>
        <v>0.44909273149648271</v>
      </c>
    </row>
    <row r="520" spans="6:30" x14ac:dyDescent="0.25">
      <c r="F520">
        <v>888000</v>
      </c>
      <c r="G520" s="12">
        <v>2062.8477508068459</v>
      </c>
      <c r="H520" s="12">
        <f t="shared" si="104"/>
        <v>1919.5613116296395</v>
      </c>
      <c r="I520" s="12">
        <f t="shared" si="105"/>
        <v>20531.003652083262</v>
      </c>
      <c r="K520">
        <f t="shared" si="101"/>
        <v>888000</v>
      </c>
      <c r="L520" s="12">
        <v>997.24546802757561</v>
      </c>
      <c r="M520" s="12">
        <f t="shared" si="100"/>
        <v>997.45007828768701</v>
      </c>
      <c r="N520" s="12">
        <f t="shared" si="102"/>
        <v>4.186535854285247E-2</v>
      </c>
      <c r="R520" s="2">
        <f t="shared" si="103"/>
        <v>1.0685456258697226</v>
      </c>
      <c r="V520">
        <v>518</v>
      </c>
      <c r="W520">
        <f t="shared" si="107"/>
        <v>0.38673500164260249</v>
      </c>
      <c r="X520">
        <f>SUM($W$3:W520)</f>
        <v>235.76392661382107</v>
      </c>
      <c r="Y520" s="4">
        <f t="shared" si="106"/>
        <v>0.45514271547069707</v>
      </c>
      <c r="AA520">
        <v>518</v>
      </c>
      <c r="AB520">
        <f t="shared" si="108"/>
        <v>0.38673500164260249</v>
      </c>
      <c r="AC520">
        <f>SUM($AB$3:AB520)</f>
        <v>232.56767718532416</v>
      </c>
      <c r="AD520" s="4">
        <f t="shared" si="109"/>
        <v>0.44897234977861805</v>
      </c>
    </row>
    <row r="521" spans="6:30" x14ac:dyDescent="0.25">
      <c r="F521">
        <v>890000</v>
      </c>
      <c r="G521" s="12">
        <v>2062.5869716147595</v>
      </c>
      <c r="H521" s="12">
        <f t="shared" si="104"/>
        <v>1918.8534834052673</v>
      </c>
      <c r="I521" s="12">
        <f t="shared" si="105"/>
        <v>20659.315632868227</v>
      </c>
      <c r="K521">
        <f t="shared" si="101"/>
        <v>890000</v>
      </c>
      <c r="L521" s="12">
        <v>996.5954905949086</v>
      </c>
      <c r="M521" s="12">
        <f t="shared" si="100"/>
        <v>996.79568167279638</v>
      </c>
      <c r="N521" s="12">
        <f t="shared" si="102"/>
        <v>4.0076467665871203E-2</v>
      </c>
      <c r="R521" s="2">
        <f t="shared" si="103"/>
        <v>1.0696330568217975</v>
      </c>
      <c r="V521">
        <v>519</v>
      </c>
      <c r="W521">
        <f t="shared" si="107"/>
        <v>0.38662164326462928</v>
      </c>
      <c r="X521">
        <f>SUM($W$3:W521)</f>
        <v>236.15054825708569</v>
      </c>
      <c r="Y521" s="4">
        <f t="shared" si="106"/>
        <v>0.45501069028340208</v>
      </c>
      <c r="AA521">
        <v>519</v>
      </c>
      <c r="AB521">
        <f t="shared" si="108"/>
        <v>0.38662164326462928</v>
      </c>
      <c r="AC521">
        <f>SUM($AB$3:AB521)</f>
        <v>232.95429882858878</v>
      </c>
      <c r="AD521" s="4">
        <f t="shared" si="109"/>
        <v>0.44885221354256027</v>
      </c>
    </row>
    <row r="522" spans="6:30" x14ac:dyDescent="0.25">
      <c r="F522">
        <v>892000</v>
      </c>
      <c r="G522" s="12">
        <v>2062.3270275820396</v>
      </c>
      <c r="H522" s="12">
        <f t="shared" si="104"/>
        <v>1918.1475041521214</v>
      </c>
      <c r="I522" s="12">
        <f t="shared" si="105"/>
        <v>20787.734976478321</v>
      </c>
      <c r="K522">
        <f t="shared" si="101"/>
        <v>892000</v>
      </c>
      <c r="L522" s="12">
        <v>995.94741212776182</v>
      </c>
      <c r="M522" s="12">
        <f t="shared" si="100"/>
        <v>996.14318184830051</v>
      </c>
      <c r="N522" s="12">
        <f t="shared" si="102"/>
        <v>3.8325783479797614E-2</v>
      </c>
      <c r="R522" s="2">
        <f t="shared" si="103"/>
        <v>1.0707187974674719</v>
      </c>
      <c r="V522">
        <v>520</v>
      </c>
      <c r="W522">
        <f t="shared" si="107"/>
        <v>0.38650853622481512</v>
      </c>
      <c r="X522">
        <f>SUM($W$3:W522)</f>
        <v>236.53705679331051</v>
      </c>
      <c r="Y522" s="4">
        <f t="shared" si="106"/>
        <v>0.45487895537175099</v>
      </c>
      <c r="AA522">
        <v>520</v>
      </c>
      <c r="AB522">
        <f t="shared" si="108"/>
        <v>0.38650853622481512</v>
      </c>
      <c r="AC522">
        <f>SUM($AB$3:AB522)</f>
        <v>233.3408073648136</v>
      </c>
      <c r="AD522" s="4">
        <f t="shared" si="109"/>
        <v>0.44873232185541079</v>
      </c>
    </row>
    <row r="523" spans="6:30" x14ac:dyDescent="0.25">
      <c r="F523">
        <v>894000</v>
      </c>
      <c r="G523" s="12">
        <v>2062.0679141626015</v>
      </c>
      <c r="H523" s="12">
        <f t="shared" si="104"/>
        <v>1917.4433649109012</v>
      </c>
      <c r="I523" s="12">
        <f t="shared" si="105"/>
        <v>20916.26024625748</v>
      </c>
      <c r="K523">
        <f t="shared" si="101"/>
        <v>894000</v>
      </c>
      <c r="L523" s="12">
        <v>995.30122282470768</v>
      </c>
      <c r="M523" s="12">
        <f t="shared" si="100"/>
        <v>995.49256908184896</v>
      </c>
      <c r="N523" s="12">
        <f t="shared" si="102"/>
        <v>3.6613390121975509E-2</v>
      </c>
      <c r="R523" s="2">
        <f t="shared" si="103"/>
        <v>1.0718028541252709</v>
      </c>
      <c r="V523">
        <v>521</v>
      </c>
      <c r="W523">
        <f t="shared" si="107"/>
        <v>0.38639567948415532</v>
      </c>
      <c r="X523">
        <f>SUM($W$3:W523)</f>
        <v>236.92345247279468</v>
      </c>
      <c r="Y523" s="4">
        <f t="shared" si="106"/>
        <v>0.45474750954471149</v>
      </c>
      <c r="AA523">
        <v>521</v>
      </c>
      <c r="AB523">
        <f t="shared" si="108"/>
        <v>0.38639567948415532</v>
      </c>
      <c r="AC523">
        <f>SUM($AB$3:AB523)</f>
        <v>233.72720304429777</v>
      </c>
      <c r="AD523" s="4">
        <f t="shared" si="109"/>
        <v>0.44861267378943909</v>
      </c>
    </row>
    <row r="524" spans="6:30" x14ac:dyDescent="0.25">
      <c r="F524">
        <v>896000</v>
      </c>
      <c r="G524" s="12">
        <v>2061.8096268452323</v>
      </c>
      <c r="H524" s="12">
        <f t="shared" si="104"/>
        <v>1916.7410567856396</v>
      </c>
      <c r="I524" s="12">
        <f t="shared" si="105"/>
        <v>21044.890019134964</v>
      </c>
      <c r="K524">
        <f t="shared" si="101"/>
        <v>896000</v>
      </c>
      <c r="L524" s="12">
        <v>994.65691295673582</v>
      </c>
      <c r="M524" s="12">
        <f t="shared" si="100"/>
        <v>994.84383371265801</v>
      </c>
      <c r="N524" s="12">
        <f t="shared" si="102"/>
        <v>3.4939368994522074E-2</v>
      </c>
      <c r="R524" s="2">
        <f t="shared" si="103"/>
        <v>1.0728852330762555</v>
      </c>
      <c r="V524">
        <v>522</v>
      </c>
      <c r="W524">
        <f t="shared" si="107"/>
        <v>0.38628307200992412</v>
      </c>
      <c r="X524">
        <f>SUM($W$3:W524)</f>
        <v>237.3097355448046</v>
      </c>
      <c r="Y524" s="4">
        <f t="shared" si="106"/>
        <v>0.45461635161839958</v>
      </c>
      <c r="AA524">
        <v>522</v>
      </c>
      <c r="AB524">
        <f t="shared" si="108"/>
        <v>0.38628307200992412</v>
      </c>
      <c r="AC524">
        <f>SUM($AB$3:AB524)</f>
        <v>234.11348611630768</v>
      </c>
      <c r="AD524" s="4">
        <f t="shared" si="109"/>
        <v>0.44849326842204534</v>
      </c>
    </row>
    <row r="525" spans="6:30" x14ac:dyDescent="0.25">
      <c r="F525">
        <v>898000</v>
      </c>
      <c r="G525" s="12">
        <v>2061.5521611532477</v>
      </c>
      <c r="H525" s="12">
        <f t="shared" si="104"/>
        <v>1916.0405709431129</v>
      </c>
      <c r="I525" s="12">
        <f t="shared" si="105"/>
        <v>21173.622885482178</v>
      </c>
      <c r="K525">
        <f t="shared" si="101"/>
        <v>898000</v>
      </c>
      <c r="L525" s="12">
        <v>994.01447286655684</v>
      </c>
      <c r="M525" s="12">
        <f t="shared" ref="M525:M576" si="110">IF(F525&lt;$L$72,$D$28*(F525/$D$6)^-(1-$L$71), $D$28*($L$72/$D$6)^-(1-$L$71))</f>
        <v>994.19696615082489</v>
      </c>
      <c r="N525" s="12">
        <f t="shared" si="102"/>
        <v>3.3303798802938656E-2</v>
      </c>
      <c r="R525" s="2">
        <f t="shared" si="103"/>
        <v>1.0739659405643325</v>
      </c>
      <c r="V525">
        <v>523</v>
      </c>
      <c r="W525">
        <f t="shared" si="107"/>
        <v>0.38617071277562465</v>
      </c>
      <c r="X525">
        <f>SUM($W$3:W525)</f>
        <v>237.69590625758022</v>
      </c>
      <c r="Y525" s="4">
        <f t="shared" si="106"/>
        <v>0.45448548041602338</v>
      </c>
      <c r="AA525">
        <v>523</v>
      </c>
      <c r="AB525">
        <f t="shared" si="108"/>
        <v>0.38617071277562465</v>
      </c>
      <c r="AC525">
        <f>SUM($AB$3:AB525)</f>
        <v>234.49965682908331</v>
      </c>
      <c r="AD525" s="4">
        <f t="shared" si="109"/>
        <v>0.44837410483572332</v>
      </c>
    </row>
    <row r="526" spans="6:30" x14ac:dyDescent="0.25">
      <c r="F526">
        <v>900000</v>
      </c>
      <c r="G526" s="12">
        <v>2061.295512644147</v>
      </c>
      <c r="H526" s="12">
        <f t="shared" si="104"/>
        <v>1915.341898612264</v>
      </c>
      <c r="I526" s="12">
        <f t="shared" si="105"/>
        <v>21302.457448967885</v>
      </c>
      <c r="K526">
        <f t="shared" ref="K526:K576" si="111">F526</f>
        <v>900000</v>
      </c>
      <c r="L526" s="12">
        <v>993.37389296791525</v>
      </c>
      <c r="M526" s="12">
        <f t="shared" si="110"/>
        <v>993.55195687665093</v>
      </c>
      <c r="N526" s="12">
        <f t="shared" ref="N526:N576" si="112">(M526-L526)^2</f>
        <v>3.1706755594228697E-2</v>
      </c>
      <c r="R526" s="2">
        <f t="shared" ref="R526:R576" si="113">G526/L526-1</f>
        <v>1.0750449827965474</v>
      </c>
      <c r="V526">
        <v>524</v>
      </c>
      <c r="W526">
        <f t="shared" si="107"/>
        <v>0.3860586007609399</v>
      </c>
      <c r="X526">
        <f>SUM($W$3:W526)</f>
        <v>238.08196485834117</v>
      </c>
      <c r="Y526" s="4">
        <f t="shared" si="106"/>
        <v>0.45435489476782664</v>
      </c>
      <c r="AA526">
        <v>524</v>
      </c>
      <c r="AB526">
        <f t="shared" si="108"/>
        <v>0.3860586007609399</v>
      </c>
      <c r="AC526">
        <f>SUM($AB$3:AB526)</f>
        <v>234.88571542984425</v>
      </c>
      <c r="AD526" s="4">
        <f t="shared" si="109"/>
        <v>0.4482551821180234</v>
      </c>
    </row>
    <row r="527" spans="6:30" x14ac:dyDescent="0.25">
      <c r="F527">
        <v>902000</v>
      </c>
      <c r="G527" s="12">
        <v>2061.0396769092808</v>
      </c>
      <c r="H527" s="12">
        <f t="shared" si="104"/>
        <v>1914.6450310836231</v>
      </c>
      <c r="I527" s="12">
        <f t="shared" si="105"/>
        <v>21431.392326419784</v>
      </c>
      <c r="K527">
        <f t="shared" si="111"/>
        <v>902000</v>
      </c>
      <c r="L527" s="12">
        <v>992.73516374490998</v>
      </c>
      <c r="M527" s="12">
        <f t="shared" si="110"/>
        <v>992.90879643997516</v>
      </c>
      <c r="N527" s="12">
        <f t="shared" si="112"/>
        <v>3.0148312795597813E-2</v>
      </c>
      <c r="R527" s="2">
        <f t="shared" si="113"/>
        <v>1.0761223659433896</v>
      </c>
      <c r="V527">
        <v>525</v>
      </c>
      <c r="W527">
        <f t="shared" si="107"/>
        <v>0.38594673495168358</v>
      </c>
      <c r="X527">
        <f>SUM($W$3:W527)</f>
        <v>238.46791159329285</v>
      </c>
      <c r="Y527" s="4">
        <f t="shared" si="106"/>
        <v>0.454224593511034</v>
      </c>
      <c r="AA527">
        <v>525</v>
      </c>
      <c r="AB527">
        <f t="shared" si="108"/>
        <v>0.38594673495168358</v>
      </c>
      <c r="AC527">
        <f>SUM($AB$3:AB527)</f>
        <v>235.27166216479594</v>
      </c>
      <c r="AD527" s="4">
        <f t="shared" si="109"/>
        <v>0.44813649936151606</v>
      </c>
    </row>
    <row r="528" spans="6:30" x14ac:dyDescent="0.25">
      <c r="F528">
        <v>904000</v>
      </c>
      <c r="G528" s="12">
        <v>2060.7846495735134</v>
      </c>
      <c r="H528" s="12">
        <f t="shared" si="104"/>
        <v>1913.9499597087433</v>
      </c>
      <c r="I528" s="12">
        <f t="shared" si="105"/>
        <v>21560.426147683218</v>
      </c>
      <c r="K528">
        <f t="shared" si="111"/>
        <v>904000</v>
      </c>
      <c r="L528" s="12">
        <v>992.09827575132329</v>
      </c>
      <c r="M528" s="12">
        <f t="shared" si="110"/>
        <v>992.26747545951082</v>
      </c>
      <c r="N528" s="12">
        <f t="shared" si="112"/>
        <v>2.862854125074675E-2</v>
      </c>
      <c r="R528" s="2">
        <f t="shared" si="113"/>
        <v>1.0771980961390808</v>
      </c>
      <c r="V528">
        <v>526</v>
      </c>
      <c r="W528">
        <f t="shared" si="107"/>
        <v>0.38583511433975159</v>
      </c>
      <c r="X528">
        <f>SUM($W$3:W528)</f>
        <v>238.85374670763261</v>
      </c>
      <c r="Y528" s="4">
        <f t="shared" si="106"/>
        <v>0.45409457548979582</v>
      </c>
      <c r="AA528">
        <v>526</v>
      </c>
      <c r="AB528">
        <f t="shared" si="108"/>
        <v>0.38583511433975159</v>
      </c>
      <c r="AC528">
        <f>SUM($AB$3:AB528)</f>
        <v>235.6574972791357</v>
      </c>
      <c r="AD528" s="4">
        <f t="shared" si="109"/>
        <v>0.44801805566375608</v>
      </c>
    </row>
    <row r="529" spans="6:30" x14ac:dyDescent="0.25">
      <c r="F529">
        <v>906000</v>
      </c>
      <c r="G529" s="12">
        <v>2060.5304262949016</v>
      </c>
      <c r="H529" s="12">
        <f t="shared" si="104"/>
        <v>1913.256675899637</v>
      </c>
      <c r="I529" s="12">
        <f t="shared" si="105"/>
        <v>21689.557555486714</v>
      </c>
      <c r="K529">
        <f t="shared" si="111"/>
        <v>906000</v>
      </c>
      <c r="L529" s="12">
        <v>991.46321960995806</v>
      </c>
      <c r="M529" s="12">
        <f t="shared" si="110"/>
        <v>991.62798462219416</v>
      </c>
      <c r="N529" s="12">
        <f t="shared" si="112"/>
        <v>2.7147509257163121E-2</v>
      </c>
      <c r="R529" s="2">
        <f t="shared" si="113"/>
        <v>1.0782721794818722</v>
      </c>
      <c r="V529">
        <v>527</v>
      </c>
      <c r="W529">
        <f t="shared" si="107"/>
        <v>0.38572373792307435</v>
      </c>
      <c r="X529">
        <f>SUM($W$3:W529)</f>
        <v>239.2394704455557</v>
      </c>
      <c r="Y529" s="4">
        <f t="shared" si="106"/>
        <v>0.45396483955513417</v>
      </c>
      <c r="AA529">
        <v>527</v>
      </c>
      <c r="AB529">
        <f t="shared" si="108"/>
        <v>0.38572373792307435</v>
      </c>
      <c r="AC529">
        <f>SUM($AB$3:AB529)</f>
        <v>236.04322101705878</v>
      </c>
      <c r="AD529" s="4">
        <f t="shared" si="109"/>
        <v>0.44789985012724626</v>
      </c>
    </row>
    <row r="530" spans="6:30" x14ac:dyDescent="0.25">
      <c r="F530">
        <v>908000</v>
      </c>
      <c r="G530" s="12">
        <v>2060.2770027643628</v>
      </c>
      <c r="H530" s="12">
        <f t="shared" si="104"/>
        <v>1912.5651711282226</v>
      </c>
      <c r="I530" s="12">
        <f t="shared" si="105"/>
        <v>21818.785205303437</v>
      </c>
      <c r="K530">
        <f t="shared" si="111"/>
        <v>908000</v>
      </c>
      <c r="L530" s="12">
        <v>990.8299860119813</v>
      </c>
      <c r="M530" s="12">
        <f t="shared" si="110"/>
        <v>990.99031468253804</v>
      </c>
      <c r="N530" s="12">
        <f t="shared" si="112"/>
        <v>2.5705282602490723E-2</v>
      </c>
      <c r="R530" s="2">
        <f t="shared" si="113"/>
        <v>1.0793446220343292</v>
      </c>
      <c r="V530">
        <v>528</v>
      </c>
      <c r="W530">
        <f t="shared" si="107"/>
        <v>0.38561260470556913</v>
      </c>
      <c r="X530">
        <f>SUM($W$3:W530)</f>
        <v>239.62508305026125</v>
      </c>
      <c r="Y530" s="4">
        <f t="shared" si="106"/>
        <v>0.45383538456488876</v>
      </c>
      <c r="AA530">
        <v>528</v>
      </c>
      <c r="AB530">
        <f t="shared" si="108"/>
        <v>0.38561260470556913</v>
      </c>
      <c r="AC530">
        <f>SUM($AB$3:AB530)</f>
        <v>236.42883362176434</v>
      </c>
      <c r="AD530" s="4">
        <f t="shared" si="109"/>
        <v>0.44778188185940215</v>
      </c>
    </row>
    <row r="531" spans="6:30" x14ac:dyDescent="0.25">
      <c r="F531">
        <v>910000</v>
      </c>
      <c r="G531" s="12">
        <v>2060.0243747053596</v>
      </c>
      <c r="H531" s="12">
        <f t="shared" si="104"/>
        <v>1911.8754369257738</v>
      </c>
      <c r="I531" s="12">
        <f t="shared" si="105"/>
        <v>21948.107765219593</v>
      </c>
      <c r="K531">
        <f t="shared" si="111"/>
        <v>910000</v>
      </c>
      <c r="L531" s="12">
        <v>990.19856571627668</v>
      </c>
      <c r="M531" s="12">
        <f t="shared" si="110"/>
        <v>990.35445646199457</v>
      </c>
      <c r="N531" s="12">
        <f t="shared" si="112"/>
        <v>2.4301924600482184E-2</v>
      </c>
      <c r="R531" s="2">
        <f t="shared" si="113"/>
        <v>1.0804154298236197</v>
      </c>
      <c r="V531">
        <v>529</v>
      </c>
      <c r="W531">
        <f t="shared" si="107"/>
        <v>0.38550171369709291</v>
      </c>
      <c r="X531">
        <f>SUM($W$3:W531)</f>
        <v>240.01058476395835</v>
      </c>
      <c r="Y531" s="4">
        <f t="shared" si="106"/>
        <v>0.45370620938366418</v>
      </c>
      <c r="AA531">
        <v>529</v>
      </c>
      <c r="AB531">
        <f t="shared" si="108"/>
        <v>0.38550171369709291</v>
      </c>
      <c r="AC531">
        <f>SUM($AB$3:AB531)</f>
        <v>236.81433533546144</v>
      </c>
      <c r="AD531" s="4">
        <f t="shared" si="109"/>
        <v>0.44766414997251691</v>
      </c>
    </row>
    <row r="532" spans="6:30" x14ac:dyDescent="0.25">
      <c r="F532">
        <v>912000</v>
      </c>
      <c r="G532" s="12">
        <v>2059.7725378735813</v>
      </c>
      <c r="H532" s="12">
        <f t="shared" si="104"/>
        <v>1911.1874648823791</v>
      </c>
      <c r="I532" s="12">
        <f t="shared" si="105"/>
        <v>22077.523915800884</v>
      </c>
      <c r="K532">
        <f t="shared" si="111"/>
        <v>912000</v>
      </c>
      <c r="L532" s="12">
        <v>989.56894954880431</v>
      </c>
      <c r="M532" s="12">
        <f t="shared" si="110"/>
        <v>989.72040084832497</v>
      </c>
      <c r="N532" s="12">
        <f t="shared" si="112"/>
        <v>2.293749612649628E-2</v>
      </c>
      <c r="R532" s="2">
        <f t="shared" si="113"/>
        <v>1.0814846088417975</v>
      </c>
      <c r="V532">
        <v>530</v>
      </c>
      <c r="W532">
        <f t="shared" si="107"/>
        <v>0.38539106391339611</v>
      </c>
      <c r="X532">
        <f>SUM($W$3:W532)</f>
        <v>240.39597582787175</v>
      </c>
      <c r="Y532" s="4">
        <f t="shared" si="106"/>
        <v>0.45357731288277692</v>
      </c>
      <c r="AA532">
        <v>530</v>
      </c>
      <c r="AB532">
        <f t="shared" si="108"/>
        <v>0.38539106391339611</v>
      </c>
      <c r="AC532">
        <f>SUM($AB$3:AB532)</f>
        <v>237.19972639937484</v>
      </c>
      <c r="AD532" s="4">
        <f t="shared" si="109"/>
        <v>0.44754665358372608</v>
      </c>
    </row>
    <row r="533" spans="6:30" x14ac:dyDescent="0.25">
      <c r="F533">
        <v>914000</v>
      </c>
      <c r="G533" s="12">
        <v>2059.5214880566305</v>
      </c>
      <c r="H533" s="12">
        <f t="shared" si="104"/>
        <v>1910.5012466464043</v>
      </c>
      <c r="I533" s="12">
        <f t="shared" si="105"/>
        <v>22207.032349962083</v>
      </c>
      <c r="K533">
        <f t="shared" si="111"/>
        <v>914000</v>
      </c>
      <c r="L533" s="12">
        <v>988.94112840196726</v>
      </c>
      <c r="M533" s="12">
        <f t="shared" si="110"/>
        <v>989.08813879497495</v>
      </c>
      <c r="N533" s="12">
        <f t="shared" si="112"/>
        <v>2.1612055652275544E-2</v>
      </c>
      <c r="R533" s="2">
        <f t="shared" si="113"/>
        <v>1.0825521650460801</v>
      </c>
      <c r="V533">
        <v>531</v>
      </c>
      <c r="W533">
        <f t="shared" si="107"/>
        <v>0.38528065437607617</v>
      </c>
      <c r="X533">
        <f>SUM($W$3:W533)</f>
        <v>240.78125648224784</v>
      </c>
      <c r="Y533" s="4">
        <f t="shared" si="106"/>
        <v>0.4534486939402031</v>
      </c>
      <c r="AA533">
        <v>531</v>
      </c>
      <c r="AB533">
        <f t="shared" si="108"/>
        <v>0.38528065437607617</v>
      </c>
      <c r="AC533">
        <f>SUM($AB$3:AB533)</f>
        <v>237.58500705375093</v>
      </c>
      <c r="AD533" s="4">
        <f t="shared" si="109"/>
        <v>0.44742939181497349</v>
      </c>
    </row>
    <row r="534" spans="6:30" x14ac:dyDescent="0.25">
      <c r="F534">
        <v>916000</v>
      </c>
      <c r="G534" s="12">
        <v>2059.2712210737127</v>
      </c>
      <c r="H534" s="12">
        <f t="shared" si="104"/>
        <v>1909.8167739239627</v>
      </c>
      <c r="I534" s="12">
        <f t="shared" si="105"/>
        <v>22336.631772837405</v>
      </c>
      <c r="K534">
        <f t="shared" si="111"/>
        <v>916000</v>
      </c>
      <c r="L534" s="12">
        <v>988.315093233987</v>
      </c>
      <c r="M534" s="12">
        <f t="shared" si="110"/>
        <v>988.45766132046003</v>
      </c>
      <c r="N534" s="12">
        <f t="shared" si="112"/>
        <v>2.0325659280582463E-2</v>
      </c>
      <c r="R534" s="2">
        <f t="shared" si="113"/>
        <v>1.0836181043591258</v>
      </c>
      <c r="V534">
        <v>532</v>
      </c>
      <c r="W534">
        <f t="shared" si="107"/>
        <v>0.38517048411253219</v>
      </c>
      <c r="X534">
        <f>SUM($W$3:W534)</f>
        <v>241.16642696636038</v>
      </c>
      <c r="Y534" s="4">
        <f t="shared" si="106"/>
        <v>0.45332035144052701</v>
      </c>
      <c r="AA534">
        <v>532</v>
      </c>
      <c r="AB534">
        <f t="shared" si="108"/>
        <v>0.38517048411253219</v>
      </c>
      <c r="AC534">
        <f>SUM($AB$3:AB534)</f>
        <v>237.97017753786346</v>
      </c>
      <c r="AD534" s="4">
        <f t="shared" si="109"/>
        <v>0.44731236379297645</v>
      </c>
    </row>
    <row r="535" spans="6:30" x14ac:dyDescent="0.25">
      <c r="F535">
        <v>918000</v>
      </c>
      <c r="G535" s="12">
        <v>2059.0217327753339</v>
      </c>
      <c r="H535" s="12">
        <f t="shared" si="104"/>
        <v>1909.1340384783898</v>
      </c>
      <c r="I535" s="12">
        <f t="shared" si="105"/>
        <v>22466.320901654173</v>
      </c>
      <c r="K535">
        <f t="shared" si="111"/>
        <v>918000</v>
      </c>
      <c r="L535" s="12">
        <v>987.69083506828395</v>
      </c>
      <c r="M535" s="12">
        <f t="shared" si="110"/>
        <v>987.82895950775639</v>
      </c>
      <c r="N535" s="12">
        <f t="shared" si="112"/>
        <v>1.9078360779578231E-2</v>
      </c>
      <c r="R535" s="2">
        <f t="shared" si="113"/>
        <v>1.0846824326693114</v>
      </c>
      <c r="V535">
        <v>533</v>
      </c>
      <c r="W535">
        <f t="shared" si="107"/>
        <v>0.38506055215591933</v>
      </c>
      <c r="X535">
        <f>SUM($W$3:W535)</f>
        <v>241.5514875185163</v>
      </c>
      <c r="Y535" s="4">
        <f t="shared" si="106"/>
        <v>0.45319228427488989</v>
      </c>
      <c r="AA535">
        <v>533</v>
      </c>
      <c r="AB535">
        <f t="shared" si="108"/>
        <v>0.38506055215591933</v>
      </c>
      <c r="AC535">
        <f>SUM($AB$3:AB535)</f>
        <v>238.35523809001938</v>
      </c>
      <c r="AD535" s="4">
        <f t="shared" si="109"/>
        <v>0.44719556864919208</v>
      </c>
    </row>
    <row r="536" spans="6:30" x14ac:dyDescent="0.25">
      <c r="F536">
        <v>920000</v>
      </c>
      <c r="G536" s="12">
        <v>2058.7730190429975</v>
      </c>
      <c r="H536" s="12">
        <f t="shared" si="104"/>
        <v>1908.4530321297257</v>
      </c>
      <c r="I536" s="12">
        <f t="shared" si="105"/>
        <v>22596.098465606206</v>
      </c>
      <c r="K536">
        <f t="shared" si="111"/>
        <v>920000</v>
      </c>
      <c r="L536" s="12">
        <v>987.06834499286697</v>
      </c>
      <c r="M536" s="12">
        <f t="shared" si="110"/>
        <v>987.20202450369891</v>
      </c>
      <c r="N536" s="12">
        <f t="shared" si="112"/>
        <v>1.7870211616266576E-2</v>
      </c>
      <c r="R536" s="2">
        <f t="shared" si="113"/>
        <v>1.085745155831003</v>
      </c>
      <c r="V536">
        <v>534</v>
      </c>
      <c r="W536">
        <f t="shared" si="107"/>
        <v>0.38495085754510427</v>
      </c>
      <c r="X536">
        <f>SUM($W$3:W536)</f>
        <v>241.9364383760614</v>
      </c>
      <c r="Y536" s="4">
        <f t="shared" si="106"/>
        <v>0.45306449134093896</v>
      </c>
      <c r="AA536">
        <v>534</v>
      </c>
      <c r="AB536">
        <f t="shared" si="108"/>
        <v>0.38495085754510427</v>
      </c>
      <c r="AC536">
        <f>SUM($AB$3:AB536)</f>
        <v>238.74018894756449</v>
      </c>
      <c r="AD536" s="4">
        <f t="shared" si="109"/>
        <v>0.44707900551978369</v>
      </c>
    </row>
    <row r="537" spans="6:30" x14ac:dyDescent="0.25">
      <c r="F537">
        <v>922000</v>
      </c>
      <c r="G537" s="12">
        <v>2058.5250757889025</v>
      </c>
      <c r="H537" s="12">
        <f t="shared" si="104"/>
        <v>1907.7737467542026</v>
      </c>
      <c r="I537" s="12">
        <f t="shared" si="105"/>
        <v>22725.963205728352</v>
      </c>
      <c r="K537">
        <f t="shared" si="111"/>
        <v>922000</v>
      </c>
      <c r="L537" s="12">
        <v>986.44761415972926</v>
      </c>
      <c r="M537" s="12">
        <f t="shared" si="110"/>
        <v>986.57684751838576</v>
      </c>
      <c r="N537" s="12">
        <f t="shared" si="112"/>
        <v>1.6701260989641226E-2</v>
      </c>
      <c r="R537" s="2">
        <f t="shared" si="113"/>
        <v>1.0868062796648199</v>
      </c>
      <c r="V537">
        <v>535</v>
      </c>
      <c r="W537">
        <f t="shared" si="107"/>
        <v>0.38484139932462097</v>
      </c>
      <c r="X537">
        <f>SUM($W$3:W537)</f>
        <v>242.32127977538602</v>
      </c>
      <c r="Y537" s="4">
        <f t="shared" si="106"/>
        <v>0.45293697154277762</v>
      </c>
      <c r="AA537">
        <v>535</v>
      </c>
      <c r="AB537">
        <f t="shared" si="108"/>
        <v>0.38484139932462097</v>
      </c>
      <c r="AC537">
        <f>SUM($AB$3:AB537)</f>
        <v>239.1250303468891</v>
      </c>
      <c r="AD537" s="4">
        <f t="shared" si="109"/>
        <v>0.44696267354558711</v>
      </c>
    </row>
    <row r="538" spans="6:30" x14ac:dyDescent="0.25">
      <c r="F538">
        <v>924000</v>
      </c>
      <c r="G538" s="12">
        <v>2058.2778989556523</v>
      </c>
      <c r="H538" s="12">
        <f t="shared" si="104"/>
        <v>1907.0961742837376</v>
      </c>
      <c r="I538" s="12">
        <f t="shared" si="105"/>
        <v>22855.913874774626</v>
      </c>
      <c r="K538">
        <f t="shared" si="111"/>
        <v>924000</v>
      </c>
      <c r="L538" s="12">
        <v>985.82863378425066</v>
      </c>
      <c r="M538" s="12">
        <f t="shared" si="110"/>
        <v>985.95341982459081</v>
      </c>
      <c r="N538" s="12">
        <f t="shared" si="112"/>
        <v>1.5571555863774695E-2</v>
      </c>
      <c r="R538" s="2">
        <f t="shared" si="113"/>
        <v>1.0878658099579077</v>
      </c>
      <c r="V538">
        <v>536</v>
      </c>
      <c r="W538">
        <f t="shared" si="107"/>
        <v>0.38473217654462627</v>
      </c>
      <c r="X538">
        <f>SUM($W$3:W538)</f>
        <v>242.70601195193063</v>
      </c>
      <c r="Y538" s="4">
        <f t="shared" si="106"/>
        <v>0.45280972379091539</v>
      </c>
      <c r="AA538">
        <v>536</v>
      </c>
      <c r="AB538">
        <f t="shared" si="108"/>
        <v>0.38473217654462627</v>
      </c>
      <c r="AC538">
        <f>SUM($AB$3:AB538)</f>
        <v>239.50976252343372</v>
      </c>
      <c r="AD538" s="4">
        <f t="shared" si="109"/>
        <v>0.44684657187207782</v>
      </c>
    </row>
    <row r="539" spans="6:30" x14ac:dyDescent="0.25">
      <c r="F539">
        <v>926000</v>
      </c>
      <c r="G539" s="12">
        <v>2058.0314845159628</v>
      </c>
      <c r="H539" s="12">
        <f t="shared" si="104"/>
        <v>1906.4203067054311</v>
      </c>
      <c r="I539" s="12">
        <f t="shared" si="105"/>
        <v>22985.949237096651</v>
      </c>
      <c r="K539">
        <f t="shared" si="111"/>
        <v>926000</v>
      </c>
      <c r="L539" s="12">
        <v>985.21139514460788</v>
      </c>
      <c r="M539" s="12">
        <f t="shared" si="110"/>
        <v>985.33173275718275</v>
      </c>
      <c r="N539" s="12">
        <f t="shared" si="112"/>
        <v>1.4481141000219957E-2</v>
      </c>
      <c r="R539" s="2">
        <f t="shared" si="113"/>
        <v>1.0889237524641988</v>
      </c>
      <c r="V539">
        <v>537</v>
      </c>
      <c r="W539">
        <f t="shared" si="107"/>
        <v>0.38462318826085695</v>
      </c>
      <c r="X539">
        <f>SUM($W$3:W539)</f>
        <v>243.09063514019149</v>
      </c>
      <c r="Y539" s="4">
        <f t="shared" si="106"/>
        <v>0.45268274700221878</v>
      </c>
      <c r="AA539">
        <v>537</v>
      </c>
      <c r="AB539">
        <f t="shared" si="108"/>
        <v>0.38462318826085695</v>
      </c>
      <c r="AC539">
        <f>SUM($AB$3:AB539)</f>
        <v>239.89438571169458</v>
      </c>
      <c r="AD539" s="4">
        <f t="shared" si="109"/>
        <v>0.44673069964933815</v>
      </c>
    </row>
    <row r="540" spans="6:30" x14ac:dyDescent="0.25">
      <c r="F540">
        <v>928000</v>
      </c>
      <c r="G540" s="12">
        <v>2057.7858284723739</v>
      </c>
      <c r="H540" s="12">
        <f t="shared" si="104"/>
        <v>1905.746136061071</v>
      </c>
      <c r="I540" s="12">
        <f t="shared" si="105"/>
        <v>23116.068068523597</v>
      </c>
      <c r="K540">
        <f t="shared" si="111"/>
        <v>928000</v>
      </c>
      <c r="L540" s="12">
        <v>984.59588958119082</v>
      </c>
      <c r="M540" s="12">
        <f t="shared" si="110"/>
        <v>984.7117777125485</v>
      </c>
      <c r="N540" s="12">
        <f t="shared" si="112"/>
        <v>1.3430058989574547E-2</v>
      </c>
      <c r="R540" s="2">
        <f t="shared" si="113"/>
        <v>1.0899801129046729</v>
      </c>
      <c r="V540">
        <v>538</v>
      </c>
      <c r="W540">
        <f t="shared" si="107"/>
        <v>0.38451443353458614</v>
      </c>
      <c r="X540">
        <f>SUM($W$3:W540)</f>
        <v>243.47514957372607</v>
      </c>
      <c r="Y540" s="4">
        <f t="shared" si="106"/>
        <v>0.45255604009986261</v>
      </c>
      <c r="AA540">
        <v>538</v>
      </c>
      <c r="AB540">
        <f t="shared" si="108"/>
        <v>0.38451443353458614</v>
      </c>
      <c r="AC540">
        <f>SUM($AB$3:AB540)</f>
        <v>240.27890014522916</v>
      </c>
      <c r="AD540" s="4">
        <f t="shared" si="109"/>
        <v>0.44661505603202445</v>
      </c>
    </row>
    <row r="541" spans="6:30" x14ac:dyDescent="0.25">
      <c r="F541">
        <v>930000</v>
      </c>
      <c r="G541" s="12">
        <v>2057.5409268569624</v>
      </c>
      <c r="H541" s="12">
        <f t="shared" si="104"/>
        <v>1905.0736544466442</v>
      </c>
      <c r="I541" s="12">
        <f t="shared" si="105"/>
        <v>23246.269156242168</v>
      </c>
      <c r="K541">
        <f t="shared" si="111"/>
        <v>930000</v>
      </c>
      <c r="L541" s="12">
        <v>983.98210849602503</v>
      </c>
      <c r="M541" s="12">
        <f t="shared" si="110"/>
        <v>984.09354614802737</v>
      </c>
      <c r="N541" s="12">
        <f t="shared" si="112"/>
        <v>1.2418350283793967E-2</v>
      </c>
      <c r="R541" s="2">
        <f t="shared" si="113"/>
        <v>1.0910348969676154</v>
      </c>
      <c r="V541">
        <v>539</v>
      </c>
      <c r="W541">
        <f t="shared" si="107"/>
        <v>0.3844059114325809</v>
      </c>
      <c r="X541">
        <f>SUM($W$3:W541)</f>
        <v>243.85955548515867</v>
      </c>
      <c r="Y541" s="4">
        <f t="shared" si="106"/>
        <v>0.45242960201328136</v>
      </c>
      <c r="AA541">
        <v>539</v>
      </c>
      <c r="AB541">
        <f t="shared" si="108"/>
        <v>0.3844059114325809</v>
      </c>
      <c r="AC541">
        <f>SUM($AB$3:AB541)</f>
        <v>240.66330605666175</v>
      </c>
      <c r="AD541" s="4">
        <f t="shared" si="109"/>
        <v>0.44649964017933536</v>
      </c>
    </row>
    <row r="542" spans="6:30" x14ac:dyDescent="0.25">
      <c r="F542">
        <v>932000</v>
      </c>
      <c r="G542" s="12">
        <v>2057.2967757310662</v>
      </c>
      <c r="H542" s="12">
        <f t="shared" si="104"/>
        <v>1904.40285401185</v>
      </c>
      <c r="I542" s="12">
        <f t="shared" si="105"/>
        <v>23376.551298681818</v>
      </c>
      <c r="K542">
        <f t="shared" si="111"/>
        <v>932000</v>
      </c>
      <c r="L542" s="12">
        <v>983.37004335220229</v>
      </c>
      <c r="M542" s="12">
        <f t="shared" si="110"/>
        <v>983.47702958134698</v>
      </c>
      <c r="N542" s="12">
        <f t="shared" si="112"/>
        <v>1.1446053226601237E-2</v>
      </c>
      <c r="R542" s="2">
        <f t="shared" si="113"/>
        <v>1.0920881103088758</v>
      </c>
      <c r="V542">
        <v>540</v>
      </c>
      <c r="W542">
        <f t="shared" si="107"/>
        <v>0.38429762102706005</v>
      </c>
      <c r="X542">
        <f>SUM($W$3:W542)</f>
        <v>244.24385310618572</v>
      </c>
      <c r="Y542" s="4">
        <f t="shared" si="106"/>
        <v>0.4523034316781217</v>
      </c>
      <c r="AA542">
        <v>540</v>
      </c>
      <c r="AB542">
        <f t="shared" si="108"/>
        <v>0.38429762102706005</v>
      </c>
      <c r="AC542">
        <f>SUM($AB$3:AB542)</f>
        <v>241.04760367768881</v>
      </c>
      <c r="AD542" s="4">
        <f t="shared" si="109"/>
        <v>0.44638445125497928</v>
      </c>
    </row>
    <row r="543" spans="6:30" x14ac:dyDescent="0.25">
      <c r="F543">
        <v>934000</v>
      </c>
      <c r="G543" s="12">
        <v>2057.0533711849994</v>
      </c>
      <c r="H543" s="12">
        <f t="shared" si="104"/>
        <v>1903.733726959621</v>
      </c>
      <c r="I543" s="12">
        <f t="shared" si="105"/>
        <v>23506.913305396607</v>
      </c>
      <c r="K543">
        <f t="shared" si="111"/>
        <v>934000</v>
      </c>
      <c r="L543" s="12">
        <v>982.7596856733162</v>
      </c>
      <c r="M543" s="12">
        <f t="shared" si="110"/>
        <v>982.86221959006946</v>
      </c>
      <c r="N543" s="12">
        <f t="shared" si="112"/>
        <v>1.0513204084764307E-2</v>
      </c>
      <c r="R543" s="2">
        <f t="shared" si="113"/>
        <v>1.093139758552117</v>
      </c>
      <c r="V543">
        <v>541</v>
      </c>
      <c r="W543">
        <f t="shared" si="107"/>
        <v>0.38418956139565202</v>
      </c>
      <c r="X543">
        <f>SUM($W$3:W543)</f>
        <v>244.62804266758138</v>
      </c>
      <c r="Y543" s="4">
        <f t="shared" si="106"/>
        <v>0.45217752803619482</v>
      </c>
      <c r="AA543">
        <v>541</v>
      </c>
      <c r="AB543">
        <f t="shared" si="108"/>
        <v>0.38418956139565202</v>
      </c>
      <c r="AC543">
        <f>SUM($AB$3:AB543)</f>
        <v>241.43179323908447</v>
      </c>
      <c r="AD543" s="4">
        <f t="shared" si="109"/>
        <v>0.4462694884271432</v>
      </c>
    </row>
    <row r="544" spans="6:30" x14ac:dyDescent="0.25">
      <c r="F544">
        <v>936000</v>
      </c>
      <c r="G544" s="12">
        <v>2056.810709337783</v>
      </c>
      <c r="H544" s="12">
        <f t="shared" si="104"/>
        <v>1903.0662655456495</v>
      </c>
      <c r="I544" s="12">
        <f t="shared" si="105"/>
        <v>23637.353996952512</v>
      </c>
      <c r="K544">
        <f t="shared" si="111"/>
        <v>936000</v>
      </c>
      <c r="L544" s="12">
        <v>982.15102704290507</v>
      </c>
      <c r="M544" s="12">
        <f t="shared" si="110"/>
        <v>982.24910781104199</v>
      </c>
      <c r="N544" s="12">
        <f t="shared" si="112"/>
        <v>9.6198370783290924E-3</v>
      </c>
      <c r="R544" s="2">
        <f t="shared" si="113"/>
        <v>1.0941898472890683</v>
      </c>
      <c r="V544">
        <v>542</v>
      </c>
      <c r="W544">
        <f t="shared" si="107"/>
        <v>0.38408173162135334</v>
      </c>
      <c r="X544">
        <f>SUM($W$3:W544)</f>
        <v>245.01212439920275</v>
      </c>
      <c r="Y544" s="4">
        <f t="shared" si="106"/>
        <v>0.45205189003542945</v>
      </c>
      <c r="AA544">
        <v>542</v>
      </c>
      <c r="AB544">
        <f t="shared" si="108"/>
        <v>0.38408173162135334</v>
      </c>
      <c r="AC544">
        <f>SUM($AB$3:AB544)</f>
        <v>241.81587497070583</v>
      </c>
      <c r="AD544" s="4">
        <f t="shared" si="109"/>
        <v>0.44615475086846096</v>
      </c>
    </row>
    <row r="545" spans="6:30" x14ac:dyDescent="0.25">
      <c r="F545">
        <v>938000</v>
      </c>
      <c r="G545" s="12">
        <v>2056.5687863368707</v>
      </c>
      <c r="H545" s="12">
        <f t="shared" si="104"/>
        <v>1902.4004620779203</v>
      </c>
      <c r="I545" s="12">
        <f t="shared" si="105"/>
        <v>23767.872204812877</v>
      </c>
      <c r="K545">
        <f t="shared" si="111"/>
        <v>938000</v>
      </c>
      <c r="L545" s="12">
        <v>981.54405910390096</v>
      </c>
      <c r="M545" s="12">
        <f t="shared" si="110"/>
        <v>981.63768593985355</v>
      </c>
      <c r="N545" s="12">
        <f t="shared" si="112"/>
        <v>8.7659844104934128E-3</v>
      </c>
      <c r="R545" s="2">
        <f t="shared" si="113"/>
        <v>1.0952383820797733</v>
      </c>
      <c r="V545">
        <v>543</v>
      </c>
      <c r="W545">
        <f t="shared" si="107"/>
        <v>0.3839741307924881</v>
      </c>
      <c r="X545">
        <f>SUM($W$3:W545)</f>
        <v>245.39609852999524</v>
      </c>
      <c r="Y545" s="4">
        <f t="shared" si="106"/>
        <v>0.45192651662982547</v>
      </c>
      <c r="AA545">
        <v>543</v>
      </c>
      <c r="AB545">
        <f t="shared" si="108"/>
        <v>0.3839741307924881</v>
      </c>
      <c r="AC545">
        <f>SUM($AB$3:AB545)</f>
        <v>242.19984910149833</v>
      </c>
      <c r="AD545" s="4">
        <f t="shared" si="109"/>
        <v>0.44604023775598217</v>
      </c>
    </row>
    <row r="546" spans="6:30" x14ac:dyDescent="0.25">
      <c r="F546">
        <v>940000</v>
      </c>
      <c r="G546" s="12">
        <v>2056.3275983578806</v>
      </c>
      <c r="H546" s="12">
        <f t="shared" si="104"/>
        <v>1901.7363089162427</v>
      </c>
      <c r="I546" s="12">
        <f t="shared" si="105"/>
        <v>23898.466771228253</v>
      </c>
      <c r="K546">
        <f t="shared" si="111"/>
        <v>940000</v>
      </c>
      <c r="L546" s="12">
        <v>980.93877355808365</v>
      </c>
      <c r="M546" s="12">
        <f t="shared" si="110"/>
        <v>981.02794573029769</v>
      </c>
      <c r="N546" s="12">
        <f t="shared" si="112"/>
        <v>7.951676297369448E-3</v>
      </c>
      <c r="R546" s="2">
        <f t="shared" si="113"/>
        <v>1.0962853684528362</v>
      </c>
      <c r="V546">
        <v>544</v>
      </c>
      <c r="W546">
        <f t="shared" si="107"/>
        <v>0.38386675800266651</v>
      </c>
      <c r="X546">
        <f>SUM($W$3:W546)</f>
        <v>245.7799652879979</v>
      </c>
      <c r="Y546" s="4">
        <f t="shared" si="106"/>
        <v>0.45180140677940789</v>
      </c>
      <c r="AA546">
        <v>544</v>
      </c>
      <c r="AB546">
        <f t="shared" si="108"/>
        <v>0.38386675800266651</v>
      </c>
      <c r="AC546">
        <f>SUM($AB$3:AB546)</f>
        <v>242.58371585950098</v>
      </c>
      <c r="AD546" s="4">
        <f t="shared" si="109"/>
        <v>0.44592594827114151</v>
      </c>
    </row>
    <row r="547" spans="6:30" x14ac:dyDescent="0.25">
      <c r="F547">
        <v>942000</v>
      </c>
      <c r="G547" s="12">
        <v>2056.0871416043306</v>
      </c>
      <c r="H547" s="12">
        <f t="shared" ref="H547:H576" si="114">IF(F547&lt;$G$72,$D$64*(F547/$D$41)^-(1-$G$71), $D$64*($G$72/$D$41)^-(1-$G$71))</f>
        <v>1901.0737984717966</v>
      </c>
      <c r="I547" s="12">
        <f t="shared" ref="I547:I576" si="115">(H547-G547)^2</f>
        <v>24029.136549124702</v>
      </c>
      <c r="K547">
        <f t="shared" si="111"/>
        <v>942000</v>
      </c>
      <c r="L547" s="12">
        <v>980.33516216554312</v>
      </c>
      <c r="M547" s="12">
        <f t="shared" si="110"/>
        <v>980.41987899384321</v>
      </c>
      <c r="N547" s="12">
        <f t="shared" si="112"/>
        <v>7.1769409972266439E-3</v>
      </c>
      <c r="R547" s="2">
        <f t="shared" si="113"/>
        <v>1.0973308119056653</v>
      </c>
      <c r="V547">
        <v>545</v>
      </c>
      <c r="W547">
        <f t="shared" si="107"/>
        <v>0.38375961235074524</v>
      </c>
      <c r="X547">
        <f>SUM($W$3:W547)</f>
        <v>246.16372490034865</v>
      </c>
      <c r="Y547" s="4">
        <f t="shared" si="106"/>
        <v>0.45167655945018104</v>
      </c>
      <c r="AA547">
        <v>545</v>
      </c>
      <c r="AB547">
        <f t="shared" si="108"/>
        <v>0.38375961235074524</v>
      </c>
      <c r="AC547">
        <f>SUM($AB$3:AB547)</f>
        <v>242.96747547185174</v>
      </c>
      <c r="AD547" s="4">
        <f t="shared" si="109"/>
        <v>0.44581188159972795</v>
      </c>
    </row>
    <row r="548" spans="6:30" x14ac:dyDescent="0.25">
      <c r="F548">
        <v>944000</v>
      </c>
      <c r="G548" s="12">
        <v>2055.8474123073747</v>
      </c>
      <c r="H548" s="12">
        <f t="shared" si="114"/>
        <v>1900.4129232066759</v>
      </c>
      <c r="I548" s="12">
        <f t="shared" si="115"/>
        <v>24159.880401995248</v>
      </c>
      <c r="K548">
        <f t="shared" si="111"/>
        <v>944000</v>
      </c>
      <c r="L548" s="12">
        <v>979.73321674414694</v>
      </c>
      <c r="M548" s="12">
        <f t="shared" si="110"/>
        <v>979.81347759910852</v>
      </c>
      <c r="N548" s="12">
        <f t="shared" si="112"/>
        <v>6.4418048391637409E-3</v>
      </c>
      <c r="R548" s="2">
        <f t="shared" si="113"/>
        <v>1.0983747179047114</v>
      </c>
      <c r="V548">
        <v>546</v>
      </c>
      <c r="W548">
        <f t="shared" si="107"/>
        <v>0.38365269294078697</v>
      </c>
      <c r="X548">
        <f>SUM($W$3:W548)</f>
        <v>246.54737759328944</v>
      </c>
      <c r="Y548" s="4">
        <f t="shared" si="106"/>
        <v>0.45155197361408322</v>
      </c>
      <c r="AA548">
        <v>546</v>
      </c>
      <c r="AB548">
        <f t="shared" si="108"/>
        <v>0.38365269294078697</v>
      </c>
      <c r="AC548">
        <f>SUM($AB$3:AB548)</f>
        <v>243.35112816479253</v>
      </c>
      <c r="AD548" s="4">
        <f t="shared" si="109"/>
        <v>0.44569803693185445</v>
      </c>
    </row>
    <row r="549" spans="6:30" x14ac:dyDescent="0.25">
      <c r="F549">
        <v>946000</v>
      </c>
      <c r="G549" s="12">
        <v>2055.6084067255451</v>
      </c>
      <c r="H549" s="12">
        <f t="shared" si="114"/>
        <v>1899.7536756334412</v>
      </c>
      <c r="I549" s="12">
        <f t="shared" si="115"/>
        <v>24290.697203792042</v>
      </c>
      <c r="K549">
        <f t="shared" si="111"/>
        <v>946000</v>
      </c>
      <c r="L549" s="12">
        <v>979.13292916901264</v>
      </c>
      <c r="M549" s="12">
        <f t="shared" si="110"/>
        <v>979.20873347134204</v>
      </c>
      <c r="N549" s="12">
        <f t="shared" si="112"/>
        <v>5.7462922516474061E-3</v>
      </c>
      <c r="R549" s="2">
        <f t="shared" si="113"/>
        <v>1.0994170918857096</v>
      </c>
      <c r="V549">
        <v>547</v>
      </c>
      <c r="W549">
        <f t="shared" si="107"/>
        <v>0.38354599888202129</v>
      </c>
      <c r="X549">
        <f>SUM($W$3:W549)</f>
        <v>246.93092359217147</v>
      </c>
      <c r="Y549" s="4">
        <f t="shared" si="106"/>
        <v>0.45142764824894233</v>
      </c>
      <c r="AA549">
        <v>547</v>
      </c>
      <c r="AB549">
        <f t="shared" si="108"/>
        <v>0.38354599888202129</v>
      </c>
      <c r="AC549">
        <f>SUM($AB$3:AB549)</f>
        <v>243.73467416367455</v>
      </c>
      <c r="AD549" s="4">
        <f t="shared" si="109"/>
        <v>0.4455844134619279</v>
      </c>
    </row>
    <row r="550" spans="6:30" x14ac:dyDescent="0.25">
      <c r="F550">
        <v>948000</v>
      </c>
      <c r="G550" s="12">
        <v>2055.3701211444945</v>
      </c>
      <c r="H550" s="12">
        <f t="shared" si="114"/>
        <v>1899.0960483146755</v>
      </c>
      <c r="I550" s="12">
        <f t="shared" si="115"/>
        <v>24421.585838819585</v>
      </c>
      <c r="K550">
        <f t="shared" si="111"/>
        <v>948000</v>
      </c>
      <c r="L550" s="12">
        <v>978.53429137198782</v>
      </c>
      <c r="M550" s="12">
        <f t="shared" si="110"/>
        <v>978.60563859191006</v>
      </c>
      <c r="N550" s="12">
        <f t="shared" si="112"/>
        <v>5.0904257906332125E-3</v>
      </c>
      <c r="R550" s="2">
        <f t="shared" si="113"/>
        <v>1.1004579392539138</v>
      </c>
      <c r="V550">
        <v>548</v>
      </c>
      <c r="W550">
        <f t="shared" si="107"/>
        <v>0.38343952928880526</v>
      </c>
      <c r="X550">
        <f>SUM($W$3:W550)</f>
        <v>247.31436312146027</v>
      </c>
      <c r="Y550" s="4">
        <f t="shared" si="106"/>
        <v>0.45130358233843115</v>
      </c>
      <c r="AA550">
        <v>548</v>
      </c>
      <c r="AB550">
        <f t="shared" si="108"/>
        <v>0.38343952928880526</v>
      </c>
      <c r="AC550">
        <f>SUM($AB$3:AB550)</f>
        <v>244.11811369296336</v>
      </c>
      <c r="AD550" s="4">
        <f t="shared" si="109"/>
        <v>0.44547101038861925</v>
      </c>
    </row>
    <row r="551" spans="6:30" x14ac:dyDescent="0.25">
      <c r="F551">
        <v>950000</v>
      </c>
      <c r="G551" s="12">
        <v>2055.132551876743</v>
      </c>
      <c r="H551" s="12">
        <f t="shared" si="114"/>
        <v>1898.440033862546</v>
      </c>
      <c r="I551" s="12">
        <f t="shared" si="115"/>
        <v>24552.545201629466</v>
      </c>
      <c r="K551">
        <f t="shared" si="111"/>
        <v>950000</v>
      </c>
      <c r="L551" s="12">
        <v>977.93729534113402</v>
      </c>
      <c r="M551" s="12">
        <f t="shared" si="110"/>
        <v>978.00418499778891</v>
      </c>
      <c r="N551" s="12">
        <f t="shared" si="112"/>
        <v>4.4742261674095745E-3</v>
      </c>
      <c r="R551" s="2">
        <f t="shared" si="113"/>
        <v>1.101497265384332</v>
      </c>
      <c r="V551">
        <v>549</v>
      </c>
      <c r="W551">
        <f t="shared" si="107"/>
        <v>0.38333328328058469</v>
      </c>
      <c r="X551">
        <f>SUM($W$3:W551)</f>
        <v>247.69769640474087</v>
      </c>
      <c r="Y551" s="4">
        <f t="shared" si="106"/>
        <v>0.45117977487202343</v>
      </c>
      <c r="AA551">
        <v>549</v>
      </c>
      <c r="AB551">
        <f t="shared" si="108"/>
        <v>0.38333328328058469</v>
      </c>
      <c r="AC551">
        <f>SUM($AB$3:AB551)</f>
        <v>244.50144697624395</v>
      </c>
      <c r="AD551" s="4">
        <f t="shared" si="109"/>
        <v>0.44535782691483417</v>
      </c>
    </row>
    <row r="552" spans="6:30" x14ac:dyDescent="0.25">
      <c r="F552">
        <v>952000</v>
      </c>
      <c r="G552" s="12">
        <v>2054.8956952614308</v>
      </c>
      <c r="H552" s="12">
        <f t="shared" si="114"/>
        <v>1897.785624938369</v>
      </c>
      <c r="I552" s="12">
        <f t="shared" si="115"/>
        <v>24683.57419691742</v>
      </c>
      <c r="K552">
        <f t="shared" si="111"/>
        <v>952000</v>
      </c>
      <c r="L552" s="12">
        <v>977.3419331202191</v>
      </c>
      <c r="M552" s="12">
        <f t="shared" si="110"/>
        <v>977.40436478106358</v>
      </c>
      <c r="N552" s="12">
        <f t="shared" si="112"/>
        <v>3.8977122758003624E-3</v>
      </c>
      <c r="R552" s="2">
        <f t="shared" si="113"/>
        <v>1.1025350756219585</v>
      </c>
      <c r="V552">
        <v>550</v>
      </c>
      <c r="W552">
        <f t="shared" si="107"/>
        <v>0.38322725998185558</v>
      </c>
      <c r="X552">
        <f>SUM($W$3:W552)</f>
        <v>248.08092366472272</v>
      </c>
      <c r="Y552" s="4">
        <f t="shared" si="106"/>
        <v>0.45105622484495039</v>
      </c>
      <c r="AA552">
        <v>550</v>
      </c>
      <c r="AB552">
        <f t="shared" si="108"/>
        <v>0.38322725998185558</v>
      </c>
      <c r="AC552">
        <f>SUM($AB$3:AB552)</f>
        <v>244.88467423622581</v>
      </c>
      <c r="AD552" s="4">
        <f t="shared" si="109"/>
        <v>0.44524486224768328</v>
      </c>
    </row>
    <row r="553" spans="6:30" x14ac:dyDescent="0.25">
      <c r="F553">
        <v>954000</v>
      </c>
      <c r="G553" s="12">
        <v>2054.6595476640637</v>
      </c>
      <c r="H553" s="12">
        <f t="shared" si="114"/>
        <v>1897.1328142521809</v>
      </c>
      <c r="I553" s="12">
        <f t="shared" si="115"/>
        <v>24814.671739418391</v>
      </c>
      <c r="K553">
        <f t="shared" si="111"/>
        <v>954000</v>
      </c>
      <c r="L553" s="12">
        <v>976.74819680821281</v>
      </c>
      <c r="M553" s="12">
        <f t="shared" si="110"/>
        <v>976.80617008843092</v>
      </c>
      <c r="N553" s="12">
        <f t="shared" si="112"/>
        <v>3.3609012192471555E-3</v>
      </c>
      <c r="R553" s="2">
        <f t="shared" si="113"/>
        <v>1.103571375281998</v>
      </c>
      <c r="V553">
        <v>551</v>
      </c>
      <c r="W553">
        <f t="shared" si="107"/>
        <v>0.38312145852212609</v>
      </c>
      <c r="X553">
        <f>SUM($W$3:W553)</f>
        <v>248.46404512324483</v>
      </c>
      <c r="Y553" s="4">
        <f t="shared" si="106"/>
        <v>0.45093293125815759</v>
      </c>
      <c r="AA553">
        <v>551</v>
      </c>
      <c r="AB553">
        <f t="shared" si="108"/>
        <v>0.38312145852212609</v>
      </c>
      <c r="AC553">
        <f>SUM($AB$3:AB553)</f>
        <v>245.26779569474792</v>
      </c>
      <c r="AD553" s="4">
        <f t="shared" si="109"/>
        <v>0.44513211559845356</v>
      </c>
    </row>
    <row r="554" spans="6:30" x14ac:dyDescent="0.25">
      <c r="F554">
        <v>956000</v>
      </c>
      <c r="G554" s="12">
        <v>2054.4241054762742</v>
      </c>
      <c r="H554" s="12">
        <f t="shared" si="114"/>
        <v>1896.4815945623141</v>
      </c>
      <c r="I554" s="12">
        <f t="shared" si="115"/>
        <v>24945.83675380643</v>
      </c>
      <c r="K554">
        <f t="shared" si="111"/>
        <v>956000</v>
      </c>
      <c r="L554" s="12">
        <v>976.15607855878864</v>
      </c>
      <c r="M554" s="12">
        <f t="shared" si="110"/>
        <v>976.20959312070897</v>
      </c>
      <c r="N554" s="12">
        <f t="shared" si="112"/>
        <v>2.8638083375256531E-3</v>
      </c>
      <c r="R554" s="2">
        <f t="shared" si="113"/>
        <v>1.1046061696501002</v>
      </c>
      <c r="V554">
        <v>552</v>
      </c>
      <c r="W554">
        <f t="shared" si="107"/>
        <v>0.38301587803587916</v>
      </c>
      <c r="X554">
        <f>SUM($W$3:W554)</f>
        <v>248.84706100128071</v>
      </c>
      <c r="Y554" s="4">
        <f t="shared" si="106"/>
        <v>0.45080989311826214</v>
      </c>
      <c r="AA554">
        <v>552</v>
      </c>
      <c r="AB554">
        <f t="shared" si="108"/>
        <v>0.38301587803587916</v>
      </c>
      <c r="AC554">
        <f>SUM($AB$3:AB554)</f>
        <v>245.65081157278379</v>
      </c>
      <c r="AD554" s="4">
        <f t="shared" si="109"/>
        <v>0.44501958618257936</v>
      </c>
    </row>
    <row r="555" spans="6:30" x14ac:dyDescent="0.25">
      <c r="F555">
        <v>958000</v>
      </c>
      <c r="G555" s="12">
        <v>2054.1893651155788</v>
      </c>
      <c r="H555" s="12">
        <f t="shared" si="114"/>
        <v>1895.831958674976</v>
      </c>
      <c r="I555" s="12">
        <f t="shared" si="115"/>
        <v>25077.068174594253</v>
      </c>
      <c r="K555">
        <f t="shared" si="111"/>
        <v>958000</v>
      </c>
      <c r="L555" s="12">
        <v>975.56557057983082</v>
      </c>
      <c r="M555" s="12">
        <f t="shared" si="110"/>
        <v>975.61462613235301</v>
      </c>
      <c r="N555" s="12">
        <f t="shared" si="112"/>
        <v>2.4064472332574142E-3</v>
      </c>
      <c r="R555" s="2">
        <f t="shared" si="113"/>
        <v>1.1056394639825839</v>
      </c>
      <c r="V555">
        <v>553</v>
      </c>
      <c r="W555">
        <f t="shared" si="107"/>
        <v>0.38291051766253431</v>
      </c>
      <c r="X555">
        <f>SUM($W$3:W555)</f>
        <v>249.22997151894324</v>
      </c>
      <c r="Y555" s="4">
        <f t="shared" si="106"/>
        <v>0.45068710943751039</v>
      </c>
      <c r="AA555">
        <v>553</v>
      </c>
      <c r="AB555">
        <f t="shared" si="108"/>
        <v>0.38291051766253431</v>
      </c>
      <c r="AC555">
        <f>SUM($AB$3:AB555)</f>
        <v>246.03372209044633</v>
      </c>
      <c r="AD555" s="4">
        <f t="shared" si="109"/>
        <v>0.4449072732196136</v>
      </c>
    </row>
    <row r="556" spans="6:30" x14ac:dyDescent="0.25">
      <c r="F556">
        <v>960000</v>
      </c>
      <c r="G556" s="12">
        <v>2053.9553230251336</v>
      </c>
      <c r="H556" s="12">
        <f t="shared" si="114"/>
        <v>1895.1838994438335</v>
      </c>
      <c r="I556" s="12">
        <f t="shared" si="115"/>
        <v>25208.364946032598</v>
      </c>
      <c r="K556">
        <f t="shared" si="111"/>
        <v>960000</v>
      </c>
      <c r="L556" s="12">
        <v>974.97666513295007</v>
      </c>
      <c r="M556" s="12">
        <f t="shared" si="110"/>
        <v>975.02126143097314</v>
      </c>
      <c r="N556" s="12">
        <f t="shared" si="112"/>
        <v>1.9888297973621278E-3</v>
      </c>
      <c r="R556" s="2">
        <f t="shared" si="113"/>
        <v>1.1066712635066516</v>
      </c>
      <c r="V556">
        <v>554</v>
      </c>
      <c r="W556">
        <f t="shared" si="107"/>
        <v>0.38280537654641167</v>
      </c>
      <c r="X556">
        <f>SUM($W$3:W556)</f>
        <v>249.61277689548965</v>
      </c>
      <c r="Y556" s="4">
        <f t="shared" si="106"/>
        <v>0.45056457923373583</v>
      </c>
      <c r="AA556">
        <v>554</v>
      </c>
      <c r="AB556">
        <f t="shared" si="108"/>
        <v>0.38280537654641167</v>
      </c>
      <c r="AC556">
        <f>SUM($AB$3:AB556)</f>
        <v>246.41652746699273</v>
      </c>
      <c r="AD556" s="4">
        <f t="shared" si="109"/>
        <v>0.44479517593319989</v>
      </c>
    </row>
    <row r="557" spans="6:30" x14ac:dyDescent="0.25">
      <c r="F557">
        <v>962000</v>
      </c>
      <c r="G557" s="12">
        <v>2053.7219756735058</v>
      </c>
      <c r="H557" s="12">
        <f t="shared" si="114"/>
        <v>1894.5374097696013</v>
      </c>
      <c r="I557" s="12">
        <f t="shared" si="115"/>
        <v>25339.726022014518</v>
      </c>
      <c r="K557">
        <f t="shared" si="111"/>
        <v>962000</v>
      </c>
      <c r="L557" s="12">
        <v>974.38935453299916</v>
      </c>
      <c r="M557" s="12">
        <f t="shared" si="110"/>
        <v>974.42949137686242</v>
      </c>
      <c r="N557" s="12">
        <f t="shared" si="112"/>
        <v>1.6109662353030432E-3</v>
      </c>
      <c r="R557" s="2">
        <f t="shared" si="113"/>
        <v>1.1077015734206213</v>
      </c>
      <c r="V557">
        <v>555</v>
      </c>
      <c r="W557">
        <f t="shared" si="107"/>
        <v>0.38270045383669438</v>
      </c>
      <c r="X557">
        <f>SUM($W$3:W557)</f>
        <v>249.99547734932634</v>
      </c>
      <c r="Y557" s="4">
        <f t="shared" si="106"/>
        <v>0.45044230153031772</v>
      </c>
      <c r="AA557">
        <v>555</v>
      </c>
      <c r="AB557">
        <f t="shared" si="108"/>
        <v>0.38270045383669438</v>
      </c>
      <c r="AC557">
        <f>SUM($AB$3:AB557)</f>
        <v>246.79922792082942</v>
      </c>
      <c r="AD557" s="4">
        <f t="shared" si="109"/>
        <v>0.44468329355104402</v>
      </c>
    </row>
    <row r="558" spans="6:30" x14ac:dyDescent="0.25">
      <c r="F558">
        <v>964000</v>
      </c>
      <c r="G558" s="12">
        <v>2053.4893195544319</v>
      </c>
      <c r="H558" s="12">
        <f t="shared" si="114"/>
        <v>1893.8924825996364</v>
      </c>
      <c r="I558" s="12">
        <f t="shared" si="115"/>
        <v>25471.150365975558</v>
      </c>
      <c r="K558">
        <f t="shared" si="111"/>
        <v>964000</v>
      </c>
      <c r="L558" s="12">
        <v>973.80363114759757</v>
      </c>
      <c r="M558" s="12">
        <f t="shared" si="110"/>
        <v>973.83930838252525</v>
      </c>
      <c r="N558" s="12">
        <f t="shared" si="112"/>
        <v>1.2728650920845325E-3</v>
      </c>
      <c r="R558" s="2">
        <f t="shared" si="113"/>
        <v>1.1087303988941364</v>
      </c>
      <c r="V558">
        <v>556</v>
      </c>
      <c r="W558">
        <f t="shared" si="107"/>
        <v>0.38259574868739255</v>
      </c>
      <c r="X558">
        <f>SUM($W$3:W558)</f>
        <v>250.37807309801372</v>
      </c>
      <c r="Y558" s="4">
        <f t="shared" si="106"/>
        <v>0.45032027535613978</v>
      </c>
      <c r="AA558">
        <v>556</v>
      </c>
      <c r="AB558">
        <f t="shared" si="108"/>
        <v>0.38259574868739255</v>
      </c>
      <c r="AC558">
        <f>SUM($AB$3:AB558)</f>
        <v>247.1818236695168</v>
      </c>
      <c r="AD558" s="4">
        <f t="shared" si="109"/>
        <v>0.44457162530488631</v>
      </c>
    </row>
    <row r="559" spans="6:30" x14ac:dyDescent="0.25">
      <c r="F559">
        <v>966000</v>
      </c>
      <c r="G559" s="12">
        <v>2053.2573511865912</v>
      </c>
      <c r="H559" s="12">
        <f t="shared" si="114"/>
        <v>1893.2491109275345</v>
      </c>
      <c r="I559" s="12">
        <f t="shared" si="115"/>
        <v>25602.636950800021</v>
      </c>
      <c r="K559">
        <f t="shared" si="111"/>
        <v>966000</v>
      </c>
      <c r="L559" s="12">
        <v>973.21948739666027</v>
      </c>
      <c r="M559" s="12">
        <f t="shared" si="110"/>
        <v>973.25070491221436</v>
      </c>
      <c r="N559" s="12">
        <f t="shared" si="112"/>
        <v>9.7453327736984571E-4</v>
      </c>
      <c r="R559" s="2">
        <f t="shared" si="113"/>
        <v>1.1097577450683889</v>
      </c>
      <c r="V559">
        <v>557</v>
      </c>
      <c r="W559">
        <f t="shared" si="107"/>
        <v>0.38249126025730762</v>
      </c>
      <c r="X559">
        <f>SUM($W$3:W559)</f>
        <v>250.76056435827101</v>
      </c>
      <c r="Y559" s="4">
        <f t="shared" si="106"/>
        <v>0.45019849974554937</v>
      </c>
      <c r="AA559">
        <v>557</v>
      </c>
      <c r="AB559">
        <f t="shared" si="108"/>
        <v>0.38249126025730762</v>
      </c>
      <c r="AC559">
        <f>SUM($AB$3:AB559)</f>
        <v>247.5643149297741</v>
      </c>
      <c r="AD559" s="4">
        <f t="shared" si="109"/>
        <v>0.44446017043047414</v>
      </c>
    </row>
    <row r="560" spans="6:30" x14ac:dyDescent="0.25">
      <c r="F560">
        <v>968000</v>
      </c>
      <c r="G560" s="12">
        <v>2053.0260671133765</v>
      </c>
      <c r="H560" s="12">
        <f t="shared" si="114"/>
        <v>1892.6072877927324</v>
      </c>
      <c r="I560" s="12">
        <f t="shared" si="115"/>
        <v>25734.184758725489</v>
      </c>
      <c r="K560">
        <f t="shared" si="111"/>
        <v>968000</v>
      </c>
      <c r="L560" s="12">
        <v>972.63691575193252</v>
      </c>
      <c r="M560" s="12">
        <f t="shared" si="110"/>
        <v>972.66367348147094</v>
      </c>
      <c r="N560" s="12">
        <f t="shared" si="112"/>
        <v>7.1597609005108183E-4</v>
      </c>
      <c r="R560" s="2">
        <f t="shared" si="113"/>
        <v>1.1107836170563292</v>
      </c>
      <c r="V560">
        <v>558</v>
      </c>
      <c r="W560">
        <f t="shared" si="107"/>
        <v>0.38238698770999624</v>
      </c>
      <c r="X560">
        <f>SUM($W$3:W560)</f>
        <v>251.142951345981</v>
      </c>
      <c r="Y560" s="4">
        <f t="shared" si="106"/>
        <v>0.45007697373831723</v>
      </c>
      <c r="AA560">
        <v>558</v>
      </c>
      <c r="AB560">
        <f t="shared" si="108"/>
        <v>0.38238698770999624</v>
      </c>
      <c r="AC560">
        <f>SUM($AB$3:AB560)</f>
        <v>247.94670191748409</v>
      </c>
      <c r="AD560" s="4">
        <f t="shared" si="109"/>
        <v>0.44434892816753424</v>
      </c>
    </row>
    <row r="561" spans="6:30" x14ac:dyDescent="0.25">
      <c r="F561">
        <v>970000</v>
      </c>
      <c r="G561" s="12">
        <v>2052.7954639026652</v>
      </c>
      <c r="H561" s="12">
        <f t="shared" si="114"/>
        <v>1891.967006280114</v>
      </c>
      <c r="I561" s="12">
        <f t="shared" si="115"/>
        <v>25865.792781248761</v>
      </c>
      <c r="K561">
        <f t="shared" si="111"/>
        <v>970000</v>
      </c>
      <c r="L561" s="12">
        <v>972.05590873652932</v>
      </c>
      <c r="M561" s="12">
        <f t="shared" si="110"/>
        <v>972.07820665667089</v>
      </c>
      <c r="N561" s="12">
        <f t="shared" si="112"/>
        <v>4.971972426397566E-4</v>
      </c>
      <c r="R561" s="2">
        <f t="shared" si="113"/>
        <v>1.1118080199428784</v>
      </c>
      <c r="V561">
        <v>559</v>
      </c>
      <c r="W561">
        <f t="shared" si="107"/>
        <v>0.38228293021373477</v>
      </c>
      <c r="X561">
        <f>SUM($W$3:W561)</f>
        <v>251.52523427619474</v>
      </c>
      <c r="Y561" s="4">
        <f t="shared" si="106"/>
        <v>0.44995569637959704</v>
      </c>
      <c r="AA561">
        <v>559</v>
      </c>
      <c r="AB561">
        <f t="shared" si="108"/>
        <v>0.38228293021373477</v>
      </c>
      <c r="AC561">
        <f>SUM($AB$3:AB561)</f>
        <v>248.32898484769782</v>
      </c>
      <c r="AD561" s="4">
        <f t="shared" si="109"/>
        <v>0.44423789775974565</v>
      </c>
    </row>
    <row r="562" spans="6:30" x14ac:dyDescent="0.25">
      <c r="F562">
        <v>972000</v>
      </c>
      <c r="G562" s="12">
        <v>2052.5655381465999</v>
      </c>
      <c r="H562" s="12">
        <f t="shared" si="114"/>
        <v>1891.3282595196201</v>
      </c>
      <c r="I562" s="12">
        <f t="shared" si="115"/>
        <v>25997.460019034312</v>
      </c>
      <c r="K562">
        <f t="shared" si="111"/>
        <v>972000</v>
      </c>
      <c r="L562" s="12">
        <v>971.47645892447736</v>
      </c>
      <c r="M562" s="12">
        <f t="shared" si="110"/>
        <v>971.49429705457567</v>
      </c>
      <c r="N562" s="12">
        <f t="shared" si="112"/>
        <v>3.1819888540430169E-4</v>
      </c>
      <c r="R562" s="2">
        <f t="shared" si="113"/>
        <v>1.1128309587851439</v>
      </c>
      <c r="V562">
        <v>560</v>
      </c>
      <c r="W562">
        <f t="shared" si="107"/>
        <v>0.38217908694148506</v>
      </c>
      <c r="X562">
        <f>SUM($W$3:W562)</f>
        <v>251.90741336313621</v>
      </c>
      <c r="Y562" s="4">
        <f t="shared" si="106"/>
        <v>0.44983466671988609</v>
      </c>
      <c r="AA562">
        <v>560</v>
      </c>
      <c r="AB562">
        <f t="shared" si="108"/>
        <v>0.38217908694148506</v>
      </c>
      <c r="AC562">
        <f>SUM($AB$3:AB562)</f>
        <v>248.7111639346393</v>
      </c>
      <c r="AD562" s="4">
        <f t="shared" si="109"/>
        <v>0.44412707845471305</v>
      </c>
    </row>
    <row r="563" spans="6:30" x14ac:dyDescent="0.25">
      <c r="F563">
        <v>974000</v>
      </c>
      <c r="G563" s="12">
        <v>2052.3362864613646</v>
      </c>
      <c r="H563" s="12">
        <f t="shared" si="114"/>
        <v>1890.6910406858638</v>
      </c>
      <c r="I563" s="12">
        <f t="shared" si="115"/>
        <v>26129.185481822067</v>
      </c>
      <c r="K563">
        <f t="shared" si="111"/>
        <v>974000</v>
      </c>
      <c r="L563" s="12">
        <v>970.89855894026789</v>
      </c>
      <c r="M563" s="12">
        <f t="shared" si="110"/>
        <v>970.91193734188732</v>
      </c>
      <c r="N563" s="12">
        <f t="shared" si="112"/>
        <v>1.7898162989087545E-4</v>
      </c>
      <c r="R563" s="2">
        <f t="shared" si="113"/>
        <v>1.113852438612621</v>
      </c>
      <c r="V563">
        <v>561</v>
      </c>
      <c r="W563">
        <f t="shared" si="107"/>
        <v>0.38207545707085877</v>
      </c>
      <c r="X563">
        <f>SUM($W$3:W563)</f>
        <v>252.28948882020708</v>
      </c>
      <c r="Y563" s="4">
        <f t="shared" si="106"/>
        <v>0.44971388381498589</v>
      </c>
      <c r="AA563">
        <v>561</v>
      </c>
      <c r="AB563">
        <f t="shared" si="108"/>
        <v>0.38207545707085877</v>
      </c>
      <c r="AC563">
        <f>SUM($AB$3:AB563)</f>
        <v>249.09323939171017</v>
      </c>
      <c r="AD563" s="4">
        <f t="shared" si="109"/>
        <v>0.44401646950393969</v>
      </c>
    </row>
    <row r="564" spans="6:30" x14ac:dyDescent="0.25">
      <c r="F564">
        <v>976000</v>
      </c>
      <c r="G564" s="12">
        <v>2052.1077054869634</v>
      </c>
      <c r="H564" s="12">
        <f t="shared" si="114"/>
        <v>1890.0553429977476</v>
      </c>
      <c r="I564" s="12">
        <f t="shared" si="115"/>
        <v>26260.968188336177</v>
      </c>
      <c r="K564">
        <f t="shared" si="111"/>
        <v>976000</v>
      </c>
      <c r="L564" s="12">
        <v>970.32220145840699</v>
      </c>
      <c r="M564" s="12">
        <f t="shared" si="110"/>
        <v>970.33112023480953</v>
      </c>
      <c r="N564" s="12">
        <f t="shared" si="112"/>
        <v>7.9544572518472988E-5</v>
      </c>
      <c r="R564" s="2">
        <f t="shared" si="113"/>
        <v>1.114872464427402</v>
      </c>
      <c r="V564">
        <v>562</v>
      </c>
      <c r="W564">
        <f t="shared" si="107"/>
        <v>0.38197203978408373</v>
      </c>
      <c r="X564">
        <f>SUM($W$3:W564)</f>
        <v>252.67146085999116</v>
      </c>
      <c r="Y564" s="4">
        <f t="shared" si="106"/>
        <v>0.44959334672596291</v>
      </c>
      <c r="AA564">
        <v>562</v>
      </c>
      <c r="AB564">
        <f t="shared" si="108"/>
        <v>0.38197203978408373</v>
      </c>
      <c r="AC564">
        <f>SUM($AB$3:AB564)</f>
        <v>249.47521143149424</v>
      </c>
      <c r="AD564" s="4">
        <f t="shared" si="109"/>
        <v>0.44390607016280115</v>
      </c>
    </row>
    <row r="565" spans="6:30" x14ac:dyDescent="0.25">
      <c r="F565">
        <v>978000</v>
      </c>
      <c r="G565" s="12">
        <v>2051.8797918870132</v>
      </c>
      <c r="H565" s="12">
        <f t="shared" si="114"/>
        <v>1889.4211597180877</v>
      </c>
      <c r="I565" s="12">
        <f t="shared" si="115"/>
        <v>26392.807166198247</v>
      </c>
      <c r="K565">
        <f t="shared" si="111"/>
        <v>978000</v>
      </c>
      <c r="L565" s="12">
        <v>969.74737920297855</v>
      </c>
      <c r="M565" s="12">
        <f t="shared" si="110"/>
        <v>969.75183849861276</v>
      </c>
      <c r="N565" s="12">
        <f t="shared" si="112"/>
        <v>1.9885317553246668E-5</v>
      </c>
      <c r="R565" s="2">
        <f t="shared" si="113"/>
        <v>1.1158910412043843</v>
      </c>
      <c r="V565">
        <v>563</v>
      </c>
      <c r="W565">
        <f t="shared" si="107"/>
        <v>0.38186883426796936</v>
      </c>
      <c r="X565">
        <f>SUM($W$3:W565)</f>
        <v>253.05332969425913</v>
      </c>
      <c r="Y565" s="4">
        <f t="shared" si="106"/>
        <v>0.44947305451911035</v>
      </c>
      <c r="AA565">
        <v>563</v>
      </c>
      <c r="AB565">
        <f t="shared" si="108"/>
        <v>0.38186883426796936</v>
      </c>
      <c r="AC565">
        <f>SUM($AB$3:AB565)</f>
        <v>249.85708026576222</v>
      </c>
      <c r="AD565" s="4">
        <f t="shared" si="109"/>
        <v>0.44379587969051904</v>
      </c>
    </row>
    <row r="566" spans="6:30" x14ac:dyDescent="0.25">
      <c r="F566">
        <v>980000</v>
      </c>
      <c r="G566" s="12">
        <v>2051.6525423485186</v>
      </c>
      <c r="H566" s="12">
        <f t="shared" si="114"/>
        <v>1888.7884841532391</v>
      </c>
      <c r="I566" s="12">
        <f t="shared" si="115"/>
        <v>26524.701451835401</v>
      </c>
      <c r="K566">
        <f t="shared" si="111"/>
        <v>980000</v>
      </c>
      <c r="L566" s="12">
        <v>969.17408494720382</v>
      </c>
      <c r="M566" s="12">
        <f t="shared" si="110"/>
        <v>969.17408494720382</v>
      </c>
      <c r="N566" s="12">
        <f t="shared" si="112"/>
        <v>0</v>
      </c>
      <c r="R566" s="2">
        <f t="shared" si="113"/>
        <v>1.116908173891467</v>
      </c>
      <c r="V566">
        <v>564</v>
      </c>
      <c r="W566">
        <f t="shared" si="107"/>
        <v>0.38176583971387351</v>
      </c>
      <c r="X566">
        <f>SUM($W$3:W566)</f>
        <v>253.435095533973</v>
      </c>
      <c r="Y566" s="4">
        <f t="shared" ref="Y566:Y568" si="116">X566/V566</f>
        <v>0.44935300626590957</v>
      </c>
      <c r="AA566">
        <v>564</v>
      </c>
      <c r="AB566">
        <f t="shared" si="108"/>
        <v>0.38176583971387351</v>
      </c>
      <c r="AC566">
        <f>SUM($AB$3:AB566)</f>
        <v>250.23884610547609</v>
      </c>
      <c r="AD566" s="4">
        <f t="shared" si="109"/>
        <v>0.44368589735013492</v>
      </c>
    </row>
    <row r="567" spans="6:30" x14ac:dyDescent="0.25">
      <c r="F567">
        <v>982000</v>
      </c>
      <c r="G567" s="12">
        <v>2051.4259535816686</v>
      </c>
      <c r="H567" s="12">
        <f t="shared" si="114"/>
        <v>1888.1573096527275</v>
      </c>
      <c r="I567" s="12">
        <f t="shared" si="115"/>
        <v>26656.650090395378</v>
      </c>
      <c r="K567">
        <f t="shared" si="111"/>
        <v>982000</v>
      </c>
      <c r="L567" s="12">
        <v>968.60231151301412</v>
      </c>
      <c r="M567" s="12">
        <f t="shared" si="110"/>
        <v>968.59785244270097</v>
      </c>
      <c r="N567" s="12">
        <f t="shared" si="112"/>
        <v>1.9883308057581617E-5</v>
      </c>
      <c r="R567" s="2">
        <f t="shared" si="113"/>
        <v>1.1179238674097522</v>
      </c>
      <c r="V567">
        <v>565</v>
      </c>
      <c r="W567">
        <f t="shared" si="107"/>
        <v>0.38166305531766825</v>
      </c>
      <c r="X567">
        <f>SUM($W$3:W567)</f>
        <v>253.81675858929066</v>
      </c>
      <c r="Y567" s="4">
        <f t="shared" si="116"/>
        <v>0.4492332010429923</v>
      </c>
      <c r="AA567">
        <v>565</v>
      </c>
      <c r="AB567">
        <f t="shared" si="108"/>
        <v>0.38166305531766825</v>
      </c>
      <c r="AC567">
        <f>SUM($AB$3:AB567)</f>
        <v>250.62050916079374</v>
      </c>
      <c r="AD567" s="4">
        <f t="shared" si="109"/>
        <v>0.44357612240848449</v>
      </c>
    </row>
    <row r="568" spans="6:30" x14ac:dyDescent="0.25">
      <c r="F568">
        <v>984000</v>
      </c>
      <c r="G568" s="12">
        <v>2051.2000223196246</v>
      </c>
      <c r="H568" s="12">
        <f t="shared" si="114"/>
        <v>1887.5276296088803</v>
      </c>
      <c r="I568" s="12">
        <f t="shared" si="115"/>
        <v>26788.652135660122</v>
      </c>
      <c r="K568">
        <f t="shared" si="111"/>
        <v>984000</v>
      </c>
      <c r="L568" s="12">
        <v>968.03205177062125</v>
      </c>
      <c r="M568" s="12">
        <f t="shared" si="110"/>
        <v>968.02313389501251</v>
      </c>
      <c r="N568" s="12">
        <f t="shared" si="112"/>
        <v>7.9528505373047353E-5</v>
      </c>
      <c r="R568" s="2">
        <f t="shared" si="113"/>
        <v>1.1189381266537484</v>
      </c>
      <c r="V568">
        <v>566</v>
      </c>
      <c r="W568">
        <f t="shared" si="107"/>
        <v>0.38156048027970746</v>
      </c>
      <c r="X568">
        <f>SUM($W$3:W568)</f>
        <v>254.19831906957037</v>
      </c>
      <c r="Y568" s="4">
        <f t="shared" si="116"/>
        <v>0.44911363793210313</v>
      </c>
      <c r="AA568">
        <v>566</v>
      </c>
      <c r="AB568">
        <f t="shared" si="108"/>
        <v>0.38156048027970746</v>
      </c>
      <c r="AC568">
        <f>SUM($AB$3:AB568)</f>
        <v>251.00206964107346</v>
      </c>
      <c r="AD568" s="4">
        <f t="shared" ref="AD568:AD576" si="117">AC568/AA568</f>
        <v>0.4434665541361722</v>
      </c>
    </row>
    <row r="569" spans="6:30" x14ac:dyDescent="0.25">
      <c r="F569">
        <v>986000</v>
      </c>
      <c r="G569" s="12">
        <v>2050.9747453183136</v>
      </c>
      <c r="H569" s="12">
        <f t="shared" si="114"/>
        <v>1886.8994374564697</v>
      </c>
      <c r="I569" s="12">
        <f t="shared" si="115"/>
        <v>26920.706649958836</v>
      </c>
      <c r="K569">
        <f t="shared" si="111"/>
        <v>986000</v>
      </c>
      <c r="L569" s="12">
        <v>967.46329863809501</v>
      </c>
      <c r="M569" s="12">
        <f t="shared" si="110"/>
        <v>967.44992226142119</v>
      </c>
      <c r="N569" s="12">
        <f t="shared" si="112"/>
        <v>1.7892745291987335E-4</v>
      </c>
      <c r="R569" s="2">
        <f t="shared" si="113"/>
        <v>1.1199509564915644</v>
      </c>
      <c r="V569">
        <v>567</v>
      </c>
      <c r="W569">
        <f t="shared" si="107"/>
        <v>0.38145811380479328</v>
      </c>
      <c r="X569">
        <f>SUM($W$3:W569)</f>
        <v>254.57977718337517</v>
      </c>
      <c r="Y569" s="4">
        <f t="shared" ref="Y569:Y576" si="118">X569/V569</f>
        <v>0.44899431602006201</v>
      </c>
      <c r="AA569">
        <v>567</v>
      </c>
      <c r="AB569">
        <f t="shared" si="108"/>
        <v>0.38145811380479328</v>
      </c>
      <c r="AC569">
        <f>SUM($AB$3:AB569)</f>
        <v>251.38352775487826</v>
      </c>
      <c r="AD569" s="4">
        <f t="shared" si="117"/>
        <v>0.4433571918075454</v>
      </c>
    </row>
    <row r="570" spans="6:30" x14ac:dyDescent="0.25">
      <c r="F570">
        <v>988000</v>
      </c>
      <c r="G570" s="12">
        <v>2050.7501193562239</v>
      </c>
      <c r="H570" s="12">
        <f t="shared" si="114"/>
        <v>1886.2727266723502</v>
      </c>
      <c r="I570" s="12">
        <f t="shared" si="115"/>
        <v>27052.812704085169</v>
      </c>
      <c r="K570">
        <f t="shared" si="111"/>
        <v>988000</v>
      </c>
      <c r="L570" s="12">
        <v>966.89604508094862</v>
      </c>
      <c r="M570" s="12">
        <f t="shared" si="110"/>
        <v>966.87821054617166</v>
      </c>
      <c r="N570" s="12">
        <f t="shared" si="112"/>
        <v>3.1807063071082373E-4</v>
      </c>
      <c r="R570" s="2">
        <f t="shared" si="113"/>
        <v>1.1209623617651006</v>
      </c>
      <c r="V570">
        <v>568</v>
      </c>
      <c r="W570">
        <f t="shared" si="107"/>
        <v>0.38135595510214426</v>
      </c>
      <c r="X570">
        <f>SUM($W$3:W570)</f>
        <v>254.96113313847732</v>
      </c>
      <c r="Y570" s="4">
        <f t="shared" si="118"/>
        <v>0.44887523439872767</v>
      </c>
      <c r="AA570">
        <v>568</v>
      </c>
      <c r="AB570">
        <f t="shared" si="108"/>
        <v>0.38135595510214426</v>
      </c>
      <c r="AC570">
        <f>SUM($AB$3:AB570)</f>
        <v>251.76488370998041</v>
      </c>
      <c r="AD570" s="4">
        <f t="shared" si="117"/>
        <v>0.44324803470066976</v>
      </c>
    </row>
    <row r="571" spans="6:30" x14ac:dyDescent="0.25">
      <c r="F571">
        <v>990000</v>
      </c>
      <c r="G571" s="12">
        <v>2050.526141234202</v>
      </c>
      <c r="H571" s="12">
        <f t="shared" si="114"/>
        <v>1885.6474907751085</v>
      </c>
      <c r="I571" s="12">
        <f t="shared" si="115"/>
        <v>27184.969377211924</v>
      </c>
      <c r="K571">
        <f t="shared" si="111"/>
        <v>990000</v>
      </c>
      <c r="L571" s="12">
        <v>966.33028411172097</v>
      </c>
      <c r="M571" s="12">
        <f t="shared" si="110"/>
        <v>966.30799180006306</v>
      </c>
      <c r="N571" s="12">
        <f t="shared" si="112"/>
        <v>4.9694715905324711E-4</v>
      </c>
      <c r="R571" s="2">
        <f t="shared" si="113"/>
        <v>1.1219723472902494</v>
      </c>
      <c r="V571">
        <v>569</v>
      </c>
      <c r="W571">
        <f t="shared" si="107"/>
        <v>0.38125400338536275</v>
      </c>
      <c r="X571">
        <f>SUM($W$3:W571)</f>
        <v>255.34238714186267</v>
      </c>
      <c r="Y571" s="4">
        <f t="shared" si="118"/>
        <v>0.44875639216496077</v>
      </c>
      <c r="AA571">
        <v>569</v>
      </c>
      <c r="AB571">
        <f t="shared" si="108"/>
        <v>0.38125400338536275</v>
      </c>
      <c r="AC571">
        <f>SUM($AB$3:AB571)</f>
        <v>252.14613771336576</v>
      </c>
      <c r="AD571" s="4">
        <f t="shared" si="117"/>
        <v>0.44313908209730363</v>
      </c>
    </row>
    <row r="572" spans="6:30" x14ac:dyDescent="0.25">
      <c r="F572">
        <v>992000</v>
      </c>
      <c r="G572" s="12">
        <v>2050.3028077752556</v>
      </c>
      <c r="H572" s="12">
        <f t="shared" si="114"/>
        <v>1885.0237233247078</v>
      </c>
      <c r="I572" s="12">
        <f t="shared" si="115"/>
        <v>27317.175756811303</v>
      </c>
      <c r="K572">
        <f t="shared" si="111"/>
        <v>992000</v>
      </c>
      <c r="L572" s="12">
        <v>965.76600878957163</v>
      </c>
      <c r="M572" s="12">
        <f t="shared" si="110"/>
        <v>965.73925912004631</v>
      </c>
      <c r="N572" s="12">
        <f t="shared" si="112"/>
        <v>7.1554481971360703E-4</v>
      </c>
      <c r="R572" s="2">
        <f t="shared" si="113"/>
        <v>1.122980917857082</v>
      </c>
      <c r="V572">
        <v>570</v>
      </c>
      <c r="W572">
        <f t="shared" si="107"/>
        <v>0.38115225787240276</v>
      </c>
      <c r="X572">
        <f>SUM($W$3:W572)</f>
        <v>255.72353939973507</v>
      </c>
      <c r="Y572" s="4">
        <f t="shared" si="118"/>
        <v>0.44863778842058782</v>
      </c>
      <c r="AA572">
        <v>570</v>
      </c>
      <c r="AB572">
        <f t="shared" si="108"/>
        <v>0.38115225787240276</v>
      </c>
      <c r="AC572">
        <f>SUM($AB$3:AB572)</f>
        <v>252.52728997123816</v>
      </c>
      <c r="AD572" s="4">
        <f t="shared" si="117"/>
        <v>0.44303033328287394</v>
      </c>
    </row>
    <row r="573" spans="6:30" x14ac:dyDescent="0.25">
      <c r="F573">
        <v>994000</v>
      </c>
      <c r="G573" s="12">
        <v>2050.0801158243507</v>
      </c>
      <c r="H573" s="12">
        <f t="shared" si="114"/>
        <v>1884.4014179221458</v>
      </c>
      <c r="I573" s="12">
        <f t="shared" si="115"/>
        <v>27449.430938570084</v>
      </c>
      <c r="K573">
        <f t="shared" si="111"/>
        <v>994000</v>
      </c>
      <c r="L573" s="12">
        <v>965.20321221987558</v>
      </c>
      <c r="M573" s="12">
        <f t="shared" si="110"/>
        <v>965.17200564882546</v>
      </c>
      <c r="N573" s="12">
        <f t="shared" si="112"/>
        <v>9.738500767061968E-4</v>
      </c>
      <c r="R573" s="2">
        <f t="shared" si="113"/>
        <v>1.1239880782300355</v>
      </c>
      <c r="V573">
        <v>571</v>
      </c>
      <c r="W573">
        <f t="shared" si="107"/>
        <v>0.38105071778553884</v>
      </c>
      <c r="X573">
        <f>SUM($W$3:W573)</f>
        <v>256.10459011752062</v>
      </c>
      <c r="Y573" s="4">
        <f t="shared" si="118"/>
        <v>0.44851942227236535</v>
      </c>
      <c r="AA573">
        <v>571</v>
      </c>
      <c r="AB573">
        <f t="shared" si="108"/>
        <v>0.38105071778553884</v>
      </c>
      <c r="AC573">
        <f>SUM($AB$3:AB573)</f>
        <v>252.9083406890237</v>
      </c>
      <c r="AD573" s="4">
        <f t="shared" si="117"/>
        <v>0.44292178754645134</v>
      </c>
    </row>
    <row r="574" spans="6:30" x14ac:dyDescent="0.25">
      <c r="F574">
        <v>996000</v>
      </c>
      <c r="G574" s="12">
        <v>2049.8580622482204</v>
      </c>
      <c r="H574" s="12">
        <f t="shared" si="114"/>
        <v>1883.7805682091073</v>
      </c>
      <c r="I574" s="12">
        <f t="shared" si="115"/>
        <v>27581.734026311668</v>
      </c>
      <c r="K574">
        <f t="shared" si="111"/>
        <v>996000</v>
      </c>
      <c r="L574" s="12">
        <v>964.64188755382088</v>
      </c>
      <c r="M574" s="12">
        <f t="shared" si="110"/>
        <v>964.60622457446163</v>
      </c>
      <c r="N574" s="12">
        <f t="shared" si="112"/>
        <v>1.2718480967779115E-3</v>
      </c>
      <c r="R574" s="2">
        <f t="shared" si="113"/>
        <v>1.1249938331481086</v>
      </c>
      <c r="V574">
        <v>572</v>
      </c>
      <c r="W574">
        <f t="shared" si="107"/>
        <v>0.38094938235133424</v>
      </c>
      <c r="X574">
        <f>SUM($W$3:W574)</f>
        <v>256.48553949987195</v>
      </c>
      <c r="Y574" s="4">
        <f t="shared" si="118"/>
        <v>0.44840129283194397</v>
      </c>
      <c r="AA574">
        <v>572</v>
      </c>
      <c r="AB574">
        <f t="shared" si="108"/>
        <v>0.38094938235133424</v>
      </c>
      <c r="AC574">
        <f>SUM($AB$3:AB574)</f>
        <v>253.28929007137504</v>
      </c>
      <c r="AD574" s="4">
        <f t="shared" si="117"/>
        <v>0.4428134441807256</v>
      </c>
    </row>
    <row r="575" spans="6:30" x14ac:dyDescent="0.25">
      <c r="F575">
        <v>998000</v>
      </c>
      <c r="G575" s="12">
        <v>2049.6366439351705</v>
      </c>
      <c r="H575" s="12">
        <f t="shared" si="114"/>
        <v>1883.1611678676275</v>
      </c>
      <c r="I575" s="12">
        <f t="shared" si="115"/>
        <v>27714.084131915086</v>
      </c>
      <c r="K575">
        <f t="shared" si="111"/>
        <v>998000</v>
      </c>
      <c r="L575" s="12">
        <v>964.08202798801597</v>
      </c>
      <c r="M575" s="12">
        <f t="shared" si="110"/>
        <v>964.04190912998502</v>
      </c>
      <c r="N575" s="12">
        <f t="shared" si="112"/>
        <v>1.6095227697075882E-3</v>
      </c>
      <c r="R575" s="2">
        <f t="shared" si="113"/>
        <v>1.12599818732504</v>
      </c>
      <c r="V575">
        <v>573</v>
      </c>
      <c r="W575">
        <f t="shared" si="107"/>
        <v>0.3808482508006098</v>
      </c>
      <c r="X575">
        <f>SUM($W$3:W575)</f>
        <v>256.86638775067257</v>
      </c>
      <c r="Y575" s="4">
        <f t="shared" si="118"/>
        <v>0.44828339921583343</v>
      </c>
      <c r="AA575">
        <v>573</v>
      </c>
      <c r="AB575">
        <f t="shared" si="108"/>
        <v>0.3808482508006098</v>
      </c>
      <c r="AC575">
        <f>SUM($AB$3:AB575)</f>
        <v>253.67013832217563</v>
      </c>
      <c r="AD575" s="4">
        <f t="shared" si="117"/>
        <v>0.44270530248198192</v>
      </c>
    </row>
    <row r="576" spans="6:30" x14ac:dyDescent="0.25">
      <c r="F576">
        <v>1000000</v>
      </c>
      <c r="G576" s="12">
        <v>2049.4158577948829</v>
      </c>
      <c r="H576" s="12">
        <f t="shared" si="114"/>
        <v>1882.5432106197543</v>
      </c>
      <c r="I576" s="12">
        <f t="shared" si="115"/>
        <v>27846.480375234947</v>
      </c>
      <c r="K576">
        <f t="shared" si="111"/>
        <v>1000000</v>
      </c>
      <c r="L576" s="12">
        <v>963.52362676409598</v>
      </c>
      <c r="M576" s="12">
        <f t="shared" si="110"/>
        <v>963.47905259300671</v>
      </c>
      <c r="N576" s="12">
        <f t="shared" si="112"/>
        <v>1.986856728295175E-3</v>
      </c>
      <c r="R576" s="2">
        <f t="shared" si="113"/>
        <v>1.1270011454494941</v>
      </c>
      <c r="V576">
        <v>574</v>
      </c>
      <c r="W576">
        <f t="shared" si="107"/>
        <v>0.38074732236841347</v>
      </c>
      <c r="X576">
        <f>SUM($W$3:W576)</f>
        <v>257.24713507304097</v>
      </c>
      <c r="Y576" s="4">
        <f t="shared" si="118"/>
        <v>0.44816574054536751</v>
      </c>
      <c r="AA576">
        <v>574</v>
      </c>
      <c r="AB576">
        <f t="shared" si="108"/>
        <v>0.38074732236841347</v>
      </c>
      <c r="AC576">
        <f>SUM($AB$3:AB576)</f>
        <v>254.05088564454405</v>
      </c>
      <c r="AD576" s="4">
        <f t="shared" si="117"/>
        <v>0.44259736175007675</v>
      </c>
    </row>
  </sheetData>
  <conditionalFormatting sqref="M49:N57">
    <cfRule type="dataBar" priority="7">
      <dataBar>
        <cfvo type="min"/>
        <cfvo type="max"/>
        <color rgb="FF638EC6"/>
      </dataBar>
      <extLst>
        <ext xmlns:x14="http://schemas.microsoft.com/office/spreadsheetml/2009/9/main" uri="{B025F937-C7B1-47D3-B67F-A62EFF666E3E}">
          <x14:id>{0346269D-D138-4928-AEBC-9336FD60435D}</x14:id>
        </ext>
      </extLst>
    </cfRule>
  </conditionalFormatting>
  <conditionalFormatting sqref="N13:N21">
    <cfRule type="dataBar" priority="34">
      <dataBar>
        <cfvo type="min"/>
        <cfvo type="max"/>
        <color rgb="FF638EC6"/>
      </dataBar>
      <extLst>
        <ext xmlns:x14="http://schemas.microsoft.com/office/spreadsheetml/2009/9/main" uri="{B025F937-C7B1-47D3-B67F-A62EFF666E3E}">
          <x14:id>{3627D872-27E1-4DCC-AFC8-E38989C989B7}</x14:id>
        </ext>
      </extLst>
    </cfRule>
  </conditionalFormatting>
  <conditionalFormatting sqref="N13:O21">
    <cfRule type="dataBar" priority="32">
      <dataBar>
        <cfvo type="min"/>
        <cfvo type="max"/>
        <color rgb="FF638EC6"/>
      </dataBar>
      <extLst>
        <ext xmlns:x14="http://schemas.microsoft.com/office/spreadsheetml/2009/9/main" uri="{B025F937-C7B1-47D3-B67F-A62EFF666E3E}">
          <x14:id>{AD44CEAD-F5B6-44B9-9BFC-EE018A6D7CAA}</x14:id>
        </ext>
      </extLst>
    </cfRule>
  </conditionalFormatting>
  <conditionalFormatting sqref="P49:P57">
    <cfRule type="dataBar" priority="3">
      <dataBar>
        <cfvo type="min"/>
        <cfvo type="max"/>
        <color rgb="FF638EC6"/>
      </dataBar>
      <extLst>
        <ext xmlns:x14="http://schemas.microsoft.com/office/spreadsheetml/2009/9/main" uri="{B025F937-C7B1-47D3-B67F-A62EFF666E3E}">
          <x14:id>{F651A7C3-06D9-6542-9239-978169B0B668}</x14:id>
        </ext>
      </extLst>
    </cfRule>
  </conditionalFormatting>
  <conditionalFormatting sqref="Q49:Q57">
    <cfRule type="dataBar" priority="4">
      <dataBar>
        <cfvo type="min"/>
        <cfvo type="max"/>
        <color rgb="FF638EC6"/>
      </dataBar>
      <extLst>
        <ext xmlns:x14="http://schemas.microsoft.com/office/spreadsheetml/2009/9/main" uri="{B025F937-C7B1-47D3-B67F-A62EFF666E3E}">
          <x14:id>{E3A6FC0A-CC93-0F44-88C0-45A7A16BEE4B}</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346269D-D138-4928-AEBC-9336FD60435D}">
            <x14:dataBar minLength="0" maxLength="100" border="1" negativeBarBorderColorSameAsPositive="0">
              <x14:cfvo type="autoMin"/>
              <x14:cfvo type="autoMax"/>
              <x14:borderColor rgb="FF638EC6"/>
              <x14:negativeFillColor rgb="FFFF0000"/>
              <x14:negativeBorderColor rgb="FFFF0000"/>
              <x14:axisColor rgb="FF000000"/>
            </x14:dataBar>
          </x14:cfRule>
          <xm:sqref>M49:N57</xm:sqref>
        </x14:conditionalFormatting>
        <x14:conditionalFormatting xmlns:xm="http://schemas.microsoft.com/office/excel/2006/main">
          <x14:cfRule type="dataBar" id="{3627D872-27E1-4DCC-AFC8-E38989C989B7}">
            <x14:dataBar minLength="0" maxLength="100" border="1" negativeBarBorderColorSameAsPositive="0">
              <x14:cfvo type="autoMin"/>
              <x14:cfvo type="autoMax"/>
              <x14:borderColor rgb="FF638EC6"/>
              <x14:negativeFillColor rgb="FFFF0000"/>
              <x14:negativeBorderColor rgb="FFFF0000"/>
              <x14:axisColor rgb="FF000000"/>
            </x14:dataBar>
          </x14:cfRule>
          <xm:sqref>N13:N21</xm:sqref>
        </x14:conditionalFormatting>
        <x14:conditionalFormatting xmlns:xm="http://schemas.microsoft.com/office/excel/2006/main">
          <x14:cfRule type="dataBar" id="{AD44CEAD-F5B6-44B9-9BFC-EE018A6D7CAA}">
            <x14:dataBar minLength="0" maxLength="100" border="1" negativeBarBorderColorSameAsPositive="0">
              <x14:cfvo type="autoMin"/>
              <x14:cfvo type="autoMax"/>
              <x14:borderColor rgb="FF638EC6"/>
              <x14:negativeFillColor rgb="FFFF0000"/>
              <x14:negativeBorderColor rgb="FFFF0000"/>
              <x14:axisColor rgb="FF000000"/>
            </x14:dataBar>
          </x14:cfRule>
          <xm:sqref>N13:O21</xm:sqref>
        </x14:conditionalFormatting>
        <x14:conditionalFormatting xmlns:xm="http://schemas.microsoft.com/office/excel/2006/main">
          <x14:cfRule type="dataBar" id="{F651A7C3-06D9-6542-9239-978169B0B668}">
            <x14:dataBar minLength="0" maxLength="100" border="1" negativeBarBorderColorSameAsPositive="0">
              <x14:cfvo type="autoMin"/>
              <x14:cfvo type="autoMax"/>
              <x14:borderColor rgb="FF638EC6"/>
              <x14:negativeFillColor rgb="FFFF0000"/>
              <x14:negativeBorderColor rgb="FFFF0000"/>
              <x14:axisColor rgb="FF000000"/>
            </x14:dataBar>
          </x14:cfRule>
          <xm:sqref>P49:P57</xm:sqref>
        </x14:conditionalFormatting>
        <x14:conditionalFormatting xmlns:xm="http://schemas.microsoft.com/office/excel/2006/main">
          <x14:cfRule type="dataBar" id="{E3A6FC0A-CC93-0F44-88C0-45A7A16BEE4B}">
            <x14:dataBar minLength="0" maxLength="100" border="1" negativeBarBorderColorSameAsPositive="0">
              <x14:cfvo type="autoMin"/>
              <x14:cfvo type="autoMax"/>
              <x14:borderColor rgb="FF638EC6"/>
              <x14:negativeFillColor rgb="FFFF0000"/>
              <x14:negativeBorderColor rgb="FFFF0000"/>
              <x14:axisColor rgb="FF000000"/>
            </x14:dataBar>
          </x14:cfRule>
          <xm:sqref>Q49:Q57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
  <sheetViews>
    <sheetView workbookViewId="0">
      <selection activeCell="A16" sqref="A16"/>
    </sheetView>
  </sheetViews>
  <sheetFormatPr defaultColWidth="8.85546875" defaultRowHeight="15" x14ac:dyDescent="0.25"/>
  <cols>
    <col min="2" max="2" width="19.28515625" bestFit="1" customWidth="1"/>
    <col min="3" max="3" width="22.42578125" bestFit="1" customWidth="1"/>
  </cols>
  <sheetData>
    <row r="2" spans="2:6" x14ac:dyDescent="0.25">
      <c r="B2" t="s">
        <v>373</v>
      </c>
    </row>
    <row r="4" spans="2:6" x14ac:dyDescent="0.25">
      <c r="C4" t="s">
        <v>467</v>
      </c>
      <c r="E4" t="s">
        <v>470</v>
      </c>
    </row>
    <row r="5" spans="2:6" x14ac:dyDescent="0.25">
      <c r="B5" t="s">
        <v>163</v>
      </c>
      <c r="C5" s="11" t="s">
        <v>468</v>
      </c>
      <c r="D5" s="11" t="s">
        <v>469</v>
      </c>
      <c r="E5" t="s">
        <v>468</v>
      </c>
      <c r="F5" t="s">
        <v>469</v>
      </c>
    </row>
    <row r="6" spans="2:6" x14ac:dyDescent="0.25">
      <c r="B6">
        <v>2020</v>
      </c>
      <c r="C6">
        <v>810</v>
      </c>
      <c r="D6">
        <v>730</v>
      </c>
      <c r="E6" s="2">
        <f>C6/$C$6</f>
        <v>1</v>
      </c>
      <c r="F6" s="2">
        <f>D6/$D$6</f>
        <v>1</v>
      </c>
    </row>
    <row r="7" spans="2:6" x14ac:dyDescent="0.25">
      <c r="B7">
        <v>2030</v>
      </c>
      <c r="C7">
        <v>380</v>
      </c>
      <c r="D7">
        <v>340</v>
      </c>
      <c r="E7" s="2">
        <f t="shared" ref="E7:E9" si="0">C7/$C$6</f>
        <v>0.46913580246913578</v>
      </c>
      <c r="F7" s="2">
        <f t="shared" ref="F7:F9" si="1">D7/$D$6</f>
        <v>0.46575342465753422</v>
      </c>
    </row>
    <row r="8" spans="2:6" x14ac:dyDescent="0.25">
      <c r="B8">
        <v>2040</v>
      </c>
      <c r="C8">
        <v>260</v>
      </c>
      <c r="D8">
        <v>240</v>
      </c>
      <c r="E8" s="2">
        <f t="shared" si="0"/>
        <v>0.32098765432098764</v>
      </c>
      <c r="F8" s="2">
        <f t="shared" si="1"/>
        <v>0.32876712328767121</v>
      </c>
    </row>
    <row r="9" spans="2:6" x14ac:dyDescent="0.25">
      <c r="B9">
        <v>2050</v>
      </c>
      <c r="C9">
        <v>220</v>
      </c>
      <c r="D9">
        <v>200</v>
      </c>
      <c r="E9" s="2">
        <f t="shared" si="0"/>
        <v>0.27160493827160492</v>
      </c>
      <c r="F9" s="2">
        <f t="shared" si="1"/>
        <v>0.27397260273972601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7"/>
  <sheetViews>
    <sheetView topLeftCell="A25" zoomScale="70" zoomScaleNormal="70" workbookViewId="0">
      <selection activeCell="K40" sqref="K40"/>
    </sheetView>
  </sheetViews>
  <sheetFormatPr defaultColWidth="8.85546875" defaultRowHeight="15" x14ac:dyDescent="0.25"/>
  <cols>
    <col min="2" max="2" width="26.140625" style="14" customWidth="1"/>
    <col min="3" max="3" width="6.140625" style="11" bestFit="1" customWidth="1"/>
    <col min="4" max="4" width="17" bestFit="1" customWidth="1"/>
    <col min="5" max="5" width="21.85546875" bestFit="1" customWidth="1"/>
    <col min="6" max="6" width="12" bestFit="1" customWidth="1"/>
    <col min="7" max="7" width="15.85546875" bestFit="1" customWidth="1"/>
    <col min="9" max="9" width="16.42578125" customWidth="1"/>
    <col min="10" max="10" width="13.140625" bestFit="1" customWidth="1"/>
    <col min="11" max="11" width="16.85546875" bestFit="1" customWidth="1"/>
    <col min="13" max="13" width="34.28515625" style="14" bestFit="1" customWidth="1"/>
    <col min="14" max="14" width="20.42578125" customWidth="1"/>
    <col min="15" max="15" width="14.140625" bestFit="1" customWidth="1"/>
    <col min="16" max="16" width="15.42578125" bestFit="1" customWidth="1"/>
    <col min="17" max="17" width="15.85546875" customWidth="1"/>
    <col min="18" max="18" width="29" customWidth="1"/>
    <col min="19" max="20" width="15.42578125" bestFit="1" customWidth="1"/>
  </cols>
  <sheetData>
    <row r="1" spans="1:23" x14ac:dyDescent="0.25">
      <c r="E1" s="11" t="s">
        <v>360</v>
      </c>
      <c r="M1" s="14" t="s">
        <v>493</v>
      </c>
      <c r="N1" t="s">
        <v>417</v>
      </c>
      <c r="S1" t="s">
        <v>416</v>
      </c>
    </row>
    <row r="2" spans="1:23" x14ac:dyDescent="0.25">
      <c r="B2" s="11" t="s">
        <v>346</v>
      </c>
      <c r="C2" s="11" t="s">
        <v>356</v>
      </c>
      <c r="D2" t="s">
        <v>361</v>
      </c>
      <c r="E2" t="s">
        <v>39</v>
      </c>
      <c r="F2" t="s">
        <v>351</v>
      </c>
      <c r="G2" t="s">
        <v>353</v>
      </c>
      <c r="I2" t="s">
        <v>415</v>
      </c>
      <c r="N2" s="6" t="s">
        <v>489</v>
      </c>
      <c r="O2" t="s">
        <v>498</v>
      </c>
      <c r="P2" t="s">
        <v>292</v>
      </c>
      <c r="Q2" t="s">
        <v>494</v>
      </c>
      <c r="S2" t="s">
        <v>292</v>
      </c>
      <c r="T2" t="str">
        <f>Q2</f>
        <v>Seievert et al. 2024</v>
      </c>
      <c r="U2" t="s">
        <v>498</v>
      </c>
      <c r="W2" s="48" t="s">
        <v>501</v>
      </c>
    </row>
    <row r="3" spans="1:23" x14ac:dyDescent="0.25">
      <c r="D3" s="11" t="s">
        <v>350</v>
      </c>
      <c r="E3" s="11" t="s">
        <v>349</v>
      </c>
      <c r="F3" s="11" t="s">
        <v>352</v>
      </c>
      <c r="G3" s="11" t="s">
        <v>354</v>
      </c>
      <c r="I3" s="11" t="s">
        <v>412</v>
      </c>
      <c r="J3" s="11" t="s">
        <v>414</v>
      </c>
      <c r="K3" s="11" t="s">
        <v>413</v>
      </c>
      <c r="M3" s="14" t="s">
        <v>486</v>
      </c>
      <c r="N3">
        <v>28</v>
      </c>
      <c r="O3">
        <v>50</v>
      </c>
      <c r="P3">
        <v>7.641</v>
      </c>
      <c r="Q3">
        <v>8.8209999999999997</v>
      </c>
      <c r="R3" s="14" t="s">
        <v>495</v>
      </c>
      <c r="S3">
        <v>40</v>
      </c>
      <c r="U3">
        <v>250</v>
      </c>
    </row>
    <row r="4" spans="1:23" x14ac:dyDescent="0.25">
      <c r="B4" s="14" t="s">
        <v>416</v>
      </c>
      <c r="D4">
        <f>D26</f>
        <v>5.3</v>
      </c>
      <c r="E4">
        <f>E26</f>
        <v>0.85000000000000009</v>
      </c>
      <c r="F4">
        <f>F26</f>
        <v>4.8</v>
      </c>
      <c r="I4" s="4">
        <f>D4*1000/capacity_overview!$Q$5</f>
        <v>44.166666666666664</v>
      </c>
      <c r="J4" s="4">
        <f>I4/2</f>
        <v>22.083333333333332</v>
      </c>
      <c r="K4" s="144">
        <f>J4/1000*44</f>
        <v>0.97166666666666668</v>
      </c>
      <c r="M4" s="14" t="s">
        <v>487</v>
      </c>
      <c r="N4">
        <v>7.5</v>
      </c>
      <c r="Q4" s="1">
        <f>Q5/Q7/Q6</f>
        <v>7.1875</v>
      </c>
      <c r="R4" s="14" t="s">
        <v>496</v>
      </c>
      <c r="S4">
        <v>450</v>
      </c>
      <c r="U4">
        <v>700</v>
      </c>
    </row>
    <row r="5" spans="1:23" x14ac:dyDescent="0.25">
      <c r="B5" s="14" t="s">
        <v>417</v>
      </c>
      <c r="D5">
        <f>D27</f>
        <v>9.8000000000000007</v>
      </c>
      <c r="E5">
        <f>E27</f>
        <v>0.52</v>
      </c>
      <c r="F5" s="14">
        <v>0</v>
      </c>
      <c r="M5" s="14" t="s">
        <v>491</v>
      </c>
      <c r="Q5">
        <v>13800</v>
      </c>
      <c r="R5" s="14" t="s">
        <v>499</v>
      </c>
      <c r="U5">
        <v>3.5</v>
      </c>
    </row>
    <row r="6" spans="1:23" x14ac:dyDescent="0.25">
      <c r="B6"/>
      <c r="M6" s="14" t="s">
        <v>492</v>
      </c>
      <c r="Q6">
        <v>960</v>
      </c>
      <c r="R6" s="14" t="s">
        <v>497</v>
      </c>
      <c r="S6">
        <v>0.4</v>
      </c>
      <c r="U6">
        <v>0.4</v>
      </c>
    </row>
    <row r="7" spans="1:23" x14ac:dyDescent="0.25">
      <c r="M7" s="14" t="s">
        <v>490</v>
      </c>
      <c r="P7">
        <v>3</v>
      </c>
      <c r="Q7">
        <v>2</v>
      </c>
    </row>
    <row r="8" spans="1:23" x14ac:dyDescent="0.25">
      <c r="M8" s="14" t="s">
        <v>488</v>
      </c>
      <c r="N8">
        <f>N3*N4</f>
        <v>210</v>
      </c>
      <c r="O8">
        <v>180</v>
      </c>
      <c r="P8">
        <v>37</v>
      </c>
      <c r="Q8" s="1">
        <f>Q4*Q3</f>
        <v>63.400937499999998</v>
      </c>
      <c r="R8" s="14" t="s">
        <v>488</v>
      </c>
      <c r="S8">
        <v>1.4</v>
      </c>
      <c r="T8">
        <v>1.4</v>
      </c>
      <c r="U8">
        <f>U3/1000*U5 + U4/1000*U6</f>
        <v>1.155</v>
      </c>
    </row>
    <row r="9" spans="1:23" x14ac:dyDescent="0.25">
      <c r="O9" s="51" t="s">
        <v>500</v>
      </c>
    </row>
    <row r="10" spans="1:23" s="130" customFormat="1" x14ac:dyDescent="0.25">
      <c r="A10" s="130" t="s">
        <v>411</v>
      </c>
      <c r="B10" s="131"/>
      <c r="C10" s="132"/>
      <c r="M10" s="131"/>
    </row>
    <row r="12" spans="1:23" x14ac:dyDescent="0.25">
      <c r="B12" s="95" t="s">
        <v>345</v>
      </c>
    </row>
    <row r="13" spans="1:23" x14ac:dyDescent="0.25">
      <c r="E13" s="6" t="s">
        <v>360</v>
      </c>
    </row>
    <row r="14" spans="1:23" x14ac:dyDescent="0.25">
      <c r="B14" s="11" t="s">
        <v>346</v>
      </c>
      <c r="C14" s="11" t="s">
        <v>356</v>
      </c>
      <c r="D14" t="s">
        <v>361</v>
      </c>
      <c r="E14" t="s">
        <v>39</v>
      </c>
      <c r="F14" t="s">
        <v>351</v>
      </c>
      <c r="G14" t="s">
        <v>353</v>
      </c>
      <c r="I14" t="s">
        <v>357</v>
      </c>
    </row>
    <row r="15" spans="1:23" s="11" customFormat="1" x14ac:dyDescent="0.25">
      <c r="B15" s="14"/>
      <c r="D15" s="11" t="s">
        <v>350</v>
      </c>
      <c r="E15" s="11" t="s">
        <v>349</v>
      </c>
      <c r="F15" s="11" t="s">
        <v>352</v>
      </c>
      <c r="G15" s="11" t="s">
        <v>354</v>
      </c>
      <c r="M15" s="14"/>
    </row>
    <row r="16" spans="1:23" x14ac:dyDescent="0.25">
      <c r="B16" s="14" t="s">
        <v>347</v>
      </c>
      <c r="C16" s="11" t="s">
        <v>51</v>
      </c>
      <c r="D16">
        <v>5.25</v>
      </c>
      <c r="E16">
        <v>0.82</v>
      </c>
      <c r="F16">
        <v>1</v>
      </c>
      <c r="G16">
        <v>0.4</v>
      </c>
      <c r="I16" t="s">
        <v>359</v>
      </c>
    </row>
    <row r="17" spans="2:9" x14ac:dyDescent="0.25">
      <c r="C17" s="11" t="s">
        <v>355</v>
      </c>
      <c r="D17">
        <v>8.8000000000000007</v>
      </c>
      <c r="E17">
        <v>1.52</v>
      </c>
      <c r="F17">
        <v>7</v>
      </c>
      <c r="G17">
        <v>1.5</v>
      </c>
    </row>
    <row r="19" spans="2:9" x14ac:dyDescent="0.25">
      <c r="B19" s="14" t="s">
        <v>348</v>
      </c>
      <c r="C19" s="11" t="s">
        <v>51</v>
      </c>
      <c r="D19">
        <v>4</v>
      </c>
      <c r="E19">
        <v>0.4</v>
      </c>
      <c r="F19">
        <v>-2</v>
      </c>
      <c r="G19">
        <v>1.2</v>
      </c>
      <c r="I19" t="s">
        <v>358</v>
      </c>
    </row>
    <row r="20" spans="2:9" x14ac:dyDescent="0.25">
      <c r="C20" s="11" t="s">
        <v>355</v>
      </c>
      <c r="D20">
        <v>11.8</v>
      </c>
      <c r="E20">
        <v>1.4</v>
      </c>
      <c r="F20">
        <v>-0.8</v>
      </c>
      <c r="G20">
        <v>1.7</v>
      </c>
    </row>
    <row r="23" spans="2:9" x14ac:dyDescent="0.25">
      <c r="B23" s="95" t="s">
        <v>380</v>
      </c>
    </row>
    <row r="24" spans="2:9" x14ac:dyDescent="0.25">
      <c r="D24" t="s">
        <v>361</v>
      </c>
      <c r="E24" t="s">
        <v>39</v>
      </c>
      <c r="F24" t="s">
        <v>351</v>
      </c>
      <c r="I24" t="s">
        <v>357</v>
      </c>
    </row>
    <row r="25" spans="2:9" x14ac:dyDescent="0.25">
      <c r="D25" s="11" t="s">
        <v>350</v>
      </c>
      <c r="E25" s="11" t="s">
        <v>349</v>
      </c>
      <c r="F25" s="11" t="s">
        <v>352</v>
      </c>
    </row>
    <row r="26" spans="2:9" x14ac:dyDescent="0.25">
      <c r="B26" s="14" t="s">
        <v>362</v>
      </c>
      <c r="D26">
        <v>5.3</v>
      </c>
      <c r="E26">
        <f>1.32-E29</f>
        <v>0.85000000000000009</v>
      </c>
      <c r="F26">
        <v>4.8</v>
      </c>
      <c r="I26" t="s">
        <v>366</v>
      </c>
    </row>
    <row r="27" spans="2:9" x14ac:dyDescent="0.25">
      <c r="B27" s="14" t="s">
        <v>363</v>
      </c>
      <c r="D27">
        <v>9.8000000000000007</v>
      </c>
      <c r="E27">
        <f>0.99-E29</f>
        <v>0.52</v>
      </c>
      <c r="F27" s="14" t="s">
        <v>3</v>
      </c>
      <c r="I27" t="s">
        <v>367</v>
      </c>
    </row>
    <row r="29" spans="2:9" x14ac:dyDescent="0.25">
      <c r="B29" s="98" t="s">
        <v>365</v>
      </c>
      <c r="C29" s="99"/>
      <c r="D29" s="100"/>
      <c r="E29" s="100">
        <f>0.47</f>
        <v>0.47</v>
      </c>
      <c r="F29" s="54"/>
    </row>
    <row r="33" spans="2:7" x14ac:dyDescent="0.25">
      <c r="B33" s="95" t="s">
        <v>369</v>
      </c>
    </row>
    <row r="34" spans="2:7" x14ac:dyDescent="0.25">
      <c r="D34" t="s">
        <v>361</v>
      </c>
      <c r="E34" t="s">
        <v>39</v>
      </c>
      <c r="F34" t="s">
        <v>351</v>
      </c>
    </row>
    <row r="35" spans="2:7" x14ac:dyDescent="0.25">
      <c r="D35" s="11" t="s">
        <v>350</v>
      </c>
      <c r="E35" s="11" t="s">
        <v>349</v>
      </c>
      <c r="F35" s="11" t="s">
        <v>352</v>
      </c>
    </row>
    <row r="36" spans="2:7" x14ac:dyDescent="0.25">
      <c r="B36" s="14" t="s">
        <v>368</v>
      </c>
      <c r="D36">
        <v>5.3</v>
      </c>
      <c r="E36">
        <f>1.3-E29</f>
        <v>0.83000000000000007</v>
      </c>
      <c r="F36">
        <f>4.8</f>
        <v>4.8</v>
      </c>
    </row>
    <row r="37" spans="2:7" x14ac:dyDescent="0.25">
      <c r="B37" s="14" t="s">
        <v>363</v>
      </c>
      <c r="D37">
        <v>9.8000000000000007</v>
      </c>
      <c r="E37">
        <f>0.99-E29</f>
        <v>0.52</v>
      </c>
      <c r="F37" s="14" t="s">
        <v>3</v>
      </c>
    </row>
    <row r="40" spans="2:7" x14ac:dyDescent="0.25">
      <c r="B40" s="95" t="s">
        <v>374</v>
      </c>
    </row>
    <row r="42" spans="2:7" x14ac:dyDescent="0.25">
      <c r="C42" s="11" t="s">
        <v>356</v>
      </c>
      <c r="D42" t="s">
        <v>361</v>
      </c>
      <c r="E42" t="s">
        <v>39</v>
      </c>
      <c r="F42" t="s">
        <v>351</v>
      </c>
      <c r="G42" t="s">
        <v>353</v>
      </c>
    </row>
    <row r="43" spans="2:7" x14ac:dyDescent="0.25">
      <c r="D43" s="11" t="s">
        <v>350</v>
      </c>
      <c r="E43" s="11" t="s">
        <v>349</v>
      </c>
      <c r="F43" s="11" t="s">
        <v>352</v>
      </c>
      <c r="G43" s="11" t="s">
        <v>354</v>
      </c>
    </row>
    <row r="44" spans="2:7" x14ac:dyDescent="0.25">
      <c r="B44" s="14" t="s">
        <v>370</v>
      </c>
      <c r="C44" s="11" t="s">
        <v>51</v>
      </c>
      <c r="D44">
        <f>D49/44*1000/1000</f>
        <v>3.4</v>
      </c>
      <c r="E44" s="4">
        <f>E49/44*1000/1000</f>
        <v>0.55000000000000004</v>
      </c>
      <c r="G44">
        <v>2.8000000000000001E-2</v>
      </c>
    </row>
    <row r="45" spans="2:7" x14ac:dyDescent="0.25">
      <c r="C45" s="11" t="s">
        <v>355</v>
      </c>
      <c r="D45" s="1">
        <f>D50/44*1000/1000</f>
        <v>7.2045454545454541</v>
      </c>
      <c r="E45" s="4">
        <f>E50/44*1000/1000</f>
        <v>1.0909090909090908</v>
      </c>
      <c r="G45">
        <v>2.8000000000000001E-2</v>
      </c>
    </row>
    <row r="46" spans="2:7" x14ac:dyDescent="0.25">
      <c r="G46" s="11" t="s">
        <v>371</v>
      </c>
    </row>
    <row r="48" spans="2:7" x14ac:dyDescent="0.25">
      <c r="B48" s="97"/>
      <c r="C48" s="96"/>
      <c r="D48" s="96" t="s">
        <v>378</v>
      </c>
      <c r="E48" s="96" t="s">
        <v>379</v>
      </c>
    </row>
    <row r="49" spans="2:9" x14ac:dyDescent="0.25">
      <c r="B49" s="97"/>
      <c r="C49" s="96" t="s">
        <v>51</v>
      </c>
      <c r="D49" s="54">
        <v>149.6</v>
      </c>
      <c r="E49" s="54">
        <f>42.2-E51</f>
        <v>24.200000000000003</v>
      </c>
      <c r="I49" t="s">
        <v>372</v>
      </c>
    </row>
    <row r="50" spans="2:9" x14ac:dyDescent="0.25">
      <c r="B50" s="97"/>
      <c r="C50" s="96" t="s">
        <v>355</v>
      </c>
      <c r="D50" s="54">
        <v>317</v>
      </c>
      <c r="E50" s="54">
        <f>66-E51</f>
        <v>48</v>
      </c>
    </row>
    <row r="51" spans="2:9" x14ac:dyDescent="0.25">
      <c r="B51" s="98" t="s">
        <v>364</v>
      </c>
      <c r="C51" s="99"/>
      <c r="D51" s="100"/>
      <c r="E51" s="100">
        <v>18</v>
      </c>
    </row>
    <row r="55" spans="2:9" x14ac:dyDescent="0.25">
      <c r="B55" s="95" t="s">
        <v>373</v>
      </c>
    </row>
    <row r="56" spans="2:9" x14ac:dyDescent="0.25">
      <c r="C56" s="11" t="s">
        <v>356</v>
      </c>
      <c r="D56" t="s">
        <v>361</v>
      </c>
      <c r="E56" t="s">
        <v>39</v>
      </c>
    </row>
    <row r="57" spans="2:9" x14ac:dyDescent="0.25">
      <c r="D57" s="11" t="s">
        <v>350</v>
      </c>
      <c r="E57" s="11" t="s">
        <v>349</v>
      </c>
    </row>
    <row r="58" spans="2:9" x14ac:dyDescent="0.25">
      <c r="B58" s="14" t="s">
        <v>370</v>
      </c>
      <c r="C58" s="11" t="s">
        <v>51</v>
      </c>
      <c r="D58">
        <f>D63*3600/1000000</f>
        <v>5.4</v>
      </c>
      <c r="E58">
        <f>E63*3600/1000000</f>
        <v>0.72</v>
      </c>
    </row>
    <row r="59" spans="2:9" x14ac:dyDescent="0.25">
      <c r="C59" s="11" t="s">
        <v>355</v>
      </c>
      <c r="D59">
        <f>D64*3600/1000000</f>
        <v>7.2</v>
      </c>
      <c r="E59">
        <f>E64*3600/1000000</f>
        <v>1.08</v>
      </c>
    </row>
    <row r="62" spans="2:9" x14ac:dyDescent="0.25">
      <c r="C62" s="96"/>
      <c r="D62" s="96" t="s">
        <v>377</v>
      </c>
      <c r="E62" s="96" t="s">
        <v>376</v>
      </c>
    </row>
    <row r="63" spans="2:9" x14ac:dyDescent="0.25">
      <c r="C63" s="96" t="s">
        <v>51</v>
      </c>
      <c r="D63" s="54">
        <v>1500</v>
      </c>
      <c r="E63" s="54">
        <v>200</v>
      </c>
    </row>
    <row r="64" spans="2:9" x14ac:dyDescent="0.25">
      <c r="C64" s="96" t="s">
        <v>355</v>
      </c>
      <c r="D64" s="54">
        <v>2000</v>
      </c>
      <c r="E64" s="54">
        <v>300</v>
      </c>
    </row>
    <row r="69" spans="2:5" x14ac:dyDescent="0.25">
      <c r="B69" s="95" t="s">
        <v>381</v>
      </c>
    </row>
    <row r="70" spans="2:5" x14ac:dyDescent="0.25">
      <c r="C70" s="11" t="s">
        <v>356</v>
      </c>
      <c r="D70" t="s">
        <v>361</v>
      </c>
      <c r="E70" t="s">
        <v>39</v>
      </c>
    </row>
    <row r="71" spans="2:5" x14ac:dyDescent="0.25">
      <c r="D71" s="11" t="s">
        <v>350</v>
      </c>
      <c r="E71" s="11" t="s">
        <v>349</v>
      </c>
    </row>
    <row r="72" spans="2:5" x14ac:dyDescent="0.25">
      <c r="B72" s="14" t="s">
        <v>362</v>
      </c>
      <c r="C72" s="11" t="s">
        <v>51</v>
      </c>
      <c r="D72">
        <f>D77/1000</f>
        <v>4.5</v>
      </c>
      <c r="E72">
        <f>E77*3600/1000000</f>
        <v>0.54</v>
      </c>
    </row>
    <row r="73" spans="2:5" x14ac:dyDescent="0.25">
      <c r="C73" s="11" t="s">
        <v>355</v>
      </c>
      <c r="D73">
        <f>D78/1000</f>
        <v>7</v>
      </c>
      <c r="E73">
        <f>E78*3600/1000000</f>
        <v>4.32</v>
      </c>
    </row>
    <row r="76" spans="2:5" x14ac:dyDescent="0.25">
      <c r="C76" s="96"/>
      <c r="D76" s="96" t="s">
        <v>375</v>
      </c>
      <c r="E76" s="96" t="s">
        <v>376</v>
      </c>
    </row>
    <row r="77" spans="2:5" x14ac:dyDescent="0.25">
      <c r="C77" s="96" t="s">
        <v>51</v>
      </c>
      <c r="D77" s="54">
        <v>4500</v>
      </c>
      <c r="E77" s="54">
        <v>150</v>
      </c>
    </row>
    <row r="78" spans="2:5" x14ac:dyDescent="0.25">
      <c r="C78" s="96" t="s">
        <v>355</v>
      </c>
      <c r="D78" s="54">
        <v>7000</v>
      </c>
      <c r="E78" s="54">
        <v>1200</v>
      </c>
    </row>
    <row r="80" spans="2:5" x14ac:dyDescent="0.25">
      <c r="B80" s="14" t="s">
        <v>370</v>
      </c>
      <c r="C80" s="11" t="s">
        <v>51</v>
      </c>
      <c r="D80">
        <f>D85/1000</f>
        <v>4</v>
      </c>
      <c r="E80">
        <f>E85*3600/1000000</f>
        <v>0.72</v>
      </c>
    </row>
    <row r="81" spans="2:7" x14ac:dyDescent="0.25">
      <c r="C81" s="11" t="s">
        <v>355</v>
      </c>
      <c r="D81">
        <f>D86/1000</f>
        <v>6.5</v>
      </c>
      <c r="E81">
        <f>E86*3600/1000000</f>
        <v>2.52</v>
      </c>
    </row>
    <row r="84" spans="2:7" x14ac:dyDescent="0.25">
      <c r="C84" s="96"/>
      <c r="D84" s="96" t="s">
        <v>375</v>
      </c>
      <c r="E84" s="96" t="s">
        <v>376</v>
      </c>
    </row>
    <row r="85" spans="2:7" x14ac:dyDescent="0.25">
      <c r="C85" s="96" t="s">
        <v>51</v>
      </c>
      <c r="D85" s="54">
        <v>4000</v>
      </c>
      <c r="E85" s="54">
        <v>200</v>
      </c>
    </row>
    <row r="86" spans="2:7" x14ac:dyDescent="0.25">
      <c r="C86" s="96" t="s">
        <v>355</v>
      </c>
      <c r="D86" s="54">
        <v>6500</v>
      </c>
      <c r="E86" s="54">
        <v>700</v>
      </c>
    </row>
    <row r="90" spans="2:7" x14ac:dyDescent="0.25">
      <c r="B90" s="14" t="s">
        <v>382</v>
      </c>
    </row>
    <row r="91" spans="2:7" x14ac:dyDescent="0.25">
      <c r="C91" s="11" t="s">
        <v>356</v>
      </c>
      <c r="D91" t="s">
        <v>361</v>
      </c>
      <c r="E91" t="s">
        <v>39</v>
      </c>
      <c r="F91" t="s">
        <v>351</v>
      </c>
      <c r="G91" t="s">
        <v>353</v>
      </c>
    </row>
    <row r="92" spans="2:7" x14ac:dyDescent="0.25">
      <c r="D92" s="11" t="s">
        <v>350</v>
      </c>
      <c r="E92" s="11" t="s">
        <v>349</v>
      </c>
      <c r="F92" s="11" t="s">
        <v>352</v>
      </c>
      <c r="G92" s="11" t="s">
        <v>354</v>
      </c>
    </row>
    <row r="93" spans="2:7" x14ac:dyDescent="0.25">
      <c r="B93" s="14" t="s">
        <v>362</v>
      </c>
      <c r="C93" s="11" t="s">
        <v>51</v>
      </c>
      <c r="D93" s="1">
        <f>5.5*90%</f>
        <v>4.95</v>
      </c>
      <c r="E93" s="1">
        <f>5.5*10%</f>
        <v>0.55000000000000004</v>
      </c>
      <c r="F93">
        <v>0</v>
      </c>
      <c r="G93">
        <v>0.4</v>
      </c>
    </row>
    <row r="94" spans="2:7" x14ac:dyDescent="0.25">
      <c r="C94" s="11" t="s">
        <v>355</v>
      </c>
      <c r="D94" s="1">
        <f>8.8*90%</f>
        <v>7.9200000000000008</v>
      </c>
      <c r="E94" s="1">
        <f>8.8*10%</f>
        <v>0.88000000000000012</v>
      </c>
      <c r="F94">
        <v>50</v>
      </c>
      <c r="G94">
        <v>0.4</v>
      </c>
    </row>
    <row r="95" spans="2:7" x14ac:dyDescent="0.25">
      <c r="D95" s="1"/>
      <c r="E95" s="1"/>
    </row>
    <row r="96" spans="2:7" x14ac:dyDescent="0.25">
      <c r="B96" s="14" t="s">
        <v>370</v>
      </c>
      <c r="C96" s="11" t="s">
        <v>51</v>
      </c>
      <c r="D96" s="1">
        <f>7.2*77.5%</f>
        <v>5.58</v>
      </c>
      <c r="E96" s="1">
        <f>7.2*22.5%</f>
        <v>1.62</v>
      </c>
      <c r="F96">
        <v>-2</v>
      </c>
      <c r="G96">
        <v>1.2</v>
      </c>
    </row>
    <row r="97" spans="3:7" x14ac:dyDescent="0.25">
      <c r="C97" s="11" t="s">
        <v>355</v>
      </c>
      <c r="D97" s="1">
        <f>9.5*77.5%</f>
        <v>7.3624999999999998</v>
      </c>
      <c r="E97" s="1">
        <f>9.5*22.5%</f>
        <v>2.1375000000000002</v>
      </c>
      <c r="F97">
        <v>0</v>
      </c>
      <c r="G97">
        <v>1.7</v>
      </c>
    </row>
  </sheetData>
  <hyperlinks>
    <hyperlink ref="W2" r:id="rId1" location=":~:text=NOAK%20DACCS%20costs%20in%20the,performance%20assumptions%20and%20favourable%20conditions."/>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
  <sheetViews>
    <sheetView workbookViewId="0">
      <selection activeCell="L21" sqref="L21"/>
    </sheetView>
  </sheetViews>
  <sheetFormatPr defaultColWidth="8.85546875" defaultRowHeight="15" x14ac:dyDescent="0.25"/>
  <cols>
    <col min="1" max="1" width="5.28515625" bestFit="1" customWidth="1"/>
    <col min="2" max="2" width="7.85546875" bestFit="1" customWidth="1"/>
    <col min="3" max="3" width="9.85546875" bestFit="1" customWidth="1"/>
    <col min="4" max="4" width="5.7109375" customWidth="1"/>
    <col min="5" max="5" width="8" bestFit="1" customWidth="1"/>
    <col min="6" max="6" width="11.42578125" bestFit="1" customWidth="1"/>
    <col min="7" max="8" width="8.140625" bestFit="1" customWidth="1"/>
    <col min="9" max="9" width="7.85546875" bestFit="1" customWidth="1"/>
    <col min="10" max="10" width="8" bestFit="1" customWidth="1"/>
    <col min="11" max="12" width="8.140625" bestFit="1" customWidth="1"/>
    <col min="13" max="13" width="9.7109375" customWidth="1"/>
    <col min="14" max="14" width="13.140625" customWidth="1"/>
    <col min="15" max="15" width="23.7109375" style="14" bestFit="1" customWidth="1"/>
    <col min="16" max="16" width="8.7109375" customWidth="1"/>
    <col min="17" max="17" width="9.7109375" bestFit="1" customWidth="1"/>
    <col min="18" max="18" width="10.42578125" customWidth="1"/>
    <col min="19" max="19" width="15.140625" customWidth="1"/>
  </cols>
  <sheetData>
    <row r="1" spans="1:20" ht="15.75" x14ac:dyDescent="0.25">
      <c r="A1" s="183" t="s">
        <v>388</v>
      </c>
      <c r="B1" s="183"/>
      <c r="C1" s="102">
        <v>100000</v>
      </c>
      <c r="D1" s="103" t="s">
        <v>389</v>
      </c>
      <c r="P1" s="11" t="s">
        <v>325</v>
      </c>
      <c r="Q1" s="11" t="s">
        <v>24</v>
      </c>
      <c r="R1" s="11" t="s">
        <v>23</v>
      </c>
      <c r="S1" s="11" t="s">
        <v>30</v>
      </c>
    </row>
    <row r="2" spans="1:20" x14ac:dyDescent="0.25">
      <c r="O2" s="14" t="s">
        <v>25</v>
      </c>
      <c r="P2">
        <v>32</v>
      </c>
      <c r="Q2">
        <v>44</v>
      </c>
      <c r="R2">
        <v>2</v>
      </c>
      <c r="S2">
        <v>18</v>
      </c>
      <c r="T2" t="s">
        <v>329</v>
      </c>
    </row>
    <row r="3" spans="1:20" x14ac:dyDescent="0.25">
      <c r="A3" s="32" t="s">
        <v>343</v>
      </c>
      <c r="B3" s="32" t="s">
        <v>344</v>
      </c>
      <c r="C3" s="32" t="s">
        <v>386</v>
      </c>
      <c r="D3" s="32" t="s">
        <v>387</v>
      </c>
      <c r="E3" s="32" t="s">
        <v>330</v>
      </c>
      <c r="F3" s="93" t="s">
        <v>331</v>
      </c>
      <c r="G3" s="93" t="s">
        <v>332</v>
      </c>
      <c r="H3" s="93" t="s">
        <v>333</v>
      </c>
      <c r="I3" s="93" t="s">
        <v>338</v>
      </c>
      <c r="J3" s="32" t="s">
        <v>334</v>
      </c>
      <c r="K3" s="94" t="s">
        <v>335</v>
      </c>
      <c r="L3" s="94" t="s">
        <v>336</v>
      </c>
      <c r="M3" s="11"/>
      <c r="N3" s="11"/>
    </row>
    <row r="4" spans="1:20" x14ac:dyDescent="0.25">
      <c r="A4" s="7">
        <v>1</v>
      </c>
      <c r="B4" s="14" t="s">
        <v>52</v>
      </c>
      <c r="C4" s="28">
        <v>40000</v>
      </c>
      <c r="D4" s="28">
        <f>C4/365</f>
        <v>109.58904109589041</v>
      </c>
      <c r="E4" s="28">
        <f>D4*1000/24</f>
        <v>4566.2100456621001</v>
      </c>
      <c r="F4" s="89">
        <f>C4*1000/$P$2</f>
        <v>1250000</v>
      </c>
      <c r="G4" s="90">
        <f>F4/365</f>
        <v>3424.6575342465753</v>
      </c>
      <c r="H4" s="90">
        <f>G4/24</f>
        <v>142.69406392694063</v>
      </c>
      <c r="I4" s="88"/>
      <c r="J4" s="28">
        <f>E4*P5/3600</f>
        <v>25.240994419076607</v>
      </c>
      <c r="P4" s="11" t="s">
        <v>325</v>
      </c>
      <c r="Q4" s="11" t="s">
        <v>23</v>
      </c>
      <c r="R4" s="11" t="s">
        <v>428</v>
      </c>
    </row>
    <row r="5" spans="1:20" x14ac:dyDescent="0.25">
      <c r="A5" s="7">
        <v>1</v>
      </c>
      <c r="B5" s="14" t="s">
        <v>24</v>
      </c>
      <c r="C5" s="28">
        <f>D5*365</f>
        <v>54999.999999999993</v>
      </c>
      <c r="D5" s="28">
        <f>E5*24/1000</f>
        <v>150.6849315068493</v>
      </c>
      <c r="E5" s="28">
        <f>H5*Q2</f>
        <v>6278.5388127853876</v>
      </c>
      <c r="F5" s="90">
        <f>F4</f>
        <v>1250000</v>
      </c>
      <c r="G5" s="90">
        <f t="shared" ref="G5:H5" si="0">G4</f>
        <v>3424.6575342465753</v>
      </c>
      <c r="H5" s="90">
        <f t="shared" si="0"/>
        <v>142.69406392694063</v>
      </c>
      <c r="I5" s="92">
        <f>H5*1000*8.314*273/101325</f>
        <v>3196.4061797619897</v>
      </c>
      <c r="J5" s="28"/>
      <c r="K5" s="28">
        <f>C5*Q14*1000/8760/3600</f>
        <v>1.7440385591070522</v>
      </c>
      <c r="L5" s="28">
        <f>C5*P14*1000/8760/3600</f>
        <v>17.44038559107052</v>
      </c>
      <c r="O5" s="14" t="s">
        <v>46</v>
      </c>
      <c r="P5" s="12">
        <v>19.899999999999999</v>
      </c>
      <c r="Q5" s="12">
        <v>120</v>
      </c>
      <c r="R5">
        <v>142</v>
      </c>
      <c r="S5" t="s">
        <v>326</v>
      </c>
    </row>
    <row r="6" spans="1:20" x14ac:dyDescent="0.25">
      <c r="A6" s="7">
        <v>1</v>
      </c>
      <c r="B6" s="14" t="s">
        <v>23</v>
      </c>
      <c r="C6" s="28">
        <f>D6*365</f>
        <v>7499.9999999999991</v>
      </c>
      <c r="D6" s="28">
        <f>E6*24/1000</f>
        <v>20.547945205479451</v>
      </c>
      <c r="E6" s="28">
        <f>H6*R2</f>
        <v>856.16438356164372</v>
      </c>
      <c r="F6" s="89">
        <f>F5*3</f>
        <v>3750000</v>
      </c>
      <c r="G6" s="89">
        <f t="shared" ref="G6:H6" si="1">G5*3</f>
        <v>10273.972602739726</v>
      </c>
      <c r="H6" s="89">
        <f t="shared" si="1"/>
        <v>428.08219178082186</v>
      </c>
      <c r="I6" s="92">
        <f>H6*1000*8.314*273/101325</f>
        <v>9589.2185392859665</v>
      </c>
      <c r="J6" s="28">
        <f>E6*Q5/3600</f>
        <v>28.538812785388124</v>
      </c>
      <c r="K6" s="28">
        <f>J6/Q10</f>
        <v>41.360598239692941</v>
      </c>
      <c r="P6" s="1">
        <f>P5*1000/3600</f>
        <v>5.5277777777777777</v>
      </c>
      <c r="Q6" s="1">
        <f>Q5*1000/3600</f>
        <v>33.333333333333336</v>
      </c>
      <c r="R6" s="1">
        <f>R5*1000/3600</f>
        <v>39.444444444444443</v>
      </c>
      <c r="S6" t="s">
        <v>328</v>
      </c>
    </row>
    <row r="7" spans="1:20" x14ac:dyDescent="0.25">
      <c r="F7" s="91"/>
      <c r="G7" s="91"/>
      <c r="H7" s="91"/>
      <c r="K7" s="101"/>
      <c r="L7" s="101"/>
      <c r="P7" s="12">
        <f>P5*P2</f>
        <v>636.79999999999995</v>
      </c>
      <c r="Q7">
        <f>Q5*R2</f>
        <v>240</v>
      </c>
      <c r="R7">
        <f>R5*R2</f>
        <v>284</v>
      </c>
      <c r="S7" t="s">
        <v>327</v>
      </c>
    </row>
    <row r="8" spans="1:20" x14ac:dyDescent="0.25">
      <c r="G8" s="6"/>
      <c r="H8" s="6"/>
      <c r="I8" s="6"/>
      <c r="J8" s="98" t="s">
        <v>390</v>
      </c>
      <c r="K8" s="104">
        <f>SUM(K4:K6)*8760</f>
        <v>377596.61835748795</v>
      </c>
      <c r="L8" s="104">
        <f>SUM(L4:L6)*8760</f>
        <v>152777.77777777775</v>
      </c>
      <c r="M8" s="100" t="s">
        <v>385</v>
      </c>
    </row>
    <row r="9" spans="1:20" x14ac:dyDescent="0.25">
      <c r="P9" s="11" t="s">
        <v>340</v>
      </c>
      <c r="Q9" s="11" t="s">
        <v>7</v>
      </c>
      <c r="R9" s="11" t="s">
        <v>20</v>
      </c>
    </row>
    <row r="10" spans="1:20" x14ac:dyDescent="0.25">
      <c r="A10" s="32" t="s">
        <v>343</v>
      </c>
      <c r="B10" s="32" t="s">
        <v>344</v>
      </c>
      <c r="C10" s="32" t="str">
        <f t="shared" ref="C10:I10" si="2">C3</f>
        <v>[t/a]</v>
      </c>
      <c r="D10" s="32" t="str">
        <f t="shared" si="2"/>
        <v>[t/d]</v>
      </c>
      <c r="E10" s="32" t="str">
        <f t="shared" si="2"/>
        <v>[kg/h]</v>
      </c>
      <c r="F10" s="93" t="str">
        <f t="shared" si="2"/>
        <v>[kmol/a]</v>
      </c>
      <c r="G10" s="93" t="str">
        <f t="shared" si="2"/>
        <v>[kmol/d]</v>
      </c>
      <c r="H10" s="93" t="str">
        <f t="shared" si="2"/>
        <v>[kmol/h]</v>
      </c>
      <c r="I10" s="93" t="str">
        <f t="shared" si="2"/>
        <v>[Nm3/h]</v>
      </c>
      <c r="J10" s="32" t="s">
        <v>334</v>
      </c>
      <c r="K10" s="94" t="s">
        <v>335</v>
      </c>
      <c r="L10" s="94" t="s">
        <v>336</v>
      </c>
      <c r="O10" s="14" t="s">
        <v>339</v>
      </c>
      <c r="P10" s="7">
        <v>0.66</v>
      </c>
      <c r="Q10" s="7">
        <v>0.69</v>
      </c>
      <c r="R10" s="7">
        <v>0.77</v>
      </c>
      <c r="S10" t="s">
        <v>342</v>
      </c>
      <c r="T10" s="6" t="s">
        <v>341</v>
      </c>
    </row>
    <row r="11" spans="1:20" x14ac:dyDescent="0.25">
      <c r="A11" s="7">
        <v>0.9</v>
      </c>
      <c r="B11" s="14" t="s">
        <v>52</v>
      </c>
      <c r="C11" s="28">
        <f t="shared" ref="C11:L11" si="3">C4/$A11</f>
        <v>44444.444444444445</v>
      </c>
      <c r="D11" s="28">
        <f t="shared" si="3"/>
        <v>121.76560121765601</v>
      </c>
      <c r="E11" s="28">
        <f t="shared" si="3"/>
        <v>5073.5667174023338</v>
      </c>
      <c r="F11" s="90">
        <f t="shared" si="3"/>
        <v>1388888.8888888888</v>
      </c>
      <c r="G11" s="90">
        <f t="shared" si="3"/>
        <v>3805.1750380517501</v>
      </c>
      <c r="H11" s="90">
        <f t="shared" si="3"/>
        <v>158.54895991882293</v>
      </c>
      <c r="I11" s="90">
        <f t="shared" si="3"/>
        <v>0</v>
      </c>
      <c r="J11" s="28">
        <f t="shared" si="3"/>
        <v>28.045549354529562</v>
      </c>
      <c r="K11" s="28">
        <f t="shared" si="3"/>
        <v>0</v>
      </c>
      <c r="L11" s="28">
        <f t="shared" si="3"/>
        <v>0</v>
      </c>
      <c r="P11" s="2">
        <f>P10*$R$5/$Q$5</f>
        <v>0.78100000000000003</v>
      </c>
      <c r="Q11" s="2">
        <f t="shared" ref="Q11:R11" si="4">Q10*$R$5/$Q$5</f>
        <v>0.81649999999999989</v>
      </c>
      <c r="R11" s="2">
        <f t="shared" si="4"/>
        <v>0.91116666666666668</v>
      </c>
      <c r="S11" t="s">
        <v>461</v>
      </c>
    </row>
    <row r="12" spans="1:20" x14ac:dyDescent="0.25">
      <c r="A12" s="7">
        <v>0.9</v>
      </c>
      <c r="B12" s="14" t="s">
        <v>24</v>
      </c>
      <c r="C12" s="28">
        <f t="shared" ref="C12:L12" si="5">C5/$A12</f>
        <v>61111.111111111102</v>
      </c>
      <c r="D12" s="28">
        <f t="shared" si="5"/>
        <v>167.42770167427699</v>
      </c>
      <c r="E12" s="28">
        <f t="shared" si="5"/>
        <v>6976.1542364282086</v>
      </c>
      <c r="F12" s="90">
        <f t="shared" si="5"/>
        <v>1388888.8888888888</v>
      </c>
      <c r="G12" s="90">
        <f t="shared" si="5"/>
        <v>3805.1750380517501</v>
      </c>
      <c r="H12" s="90">
        <f t="shared" si="5"/>
        <v>158.54895991882293</v>
      </c>
      <c r="I12" s="90">
        <f t="shared" si="5"/>
        <v>3551.5624219577662</v>
      </c>
      <c r="J12" s="28">
        <f t="shared" si="5"/>
        <v>0</v>
      </c>
      <c r="K12" s="28">
        <f t="shared" si="5"/>
        <v>1.9378206212300579</v>
      </c>
      <c r="L12" s="28">
        <f t="shared" si="5"/>
        <v>19.378206212300576</v>
      </c>
    </row>
    <row r="13" spans="1:20" x14ac:dyDescent="0.25">
      <c r="A13" s="7">
        <v>0.4</v>
      </c>
      <c r="B13" s="14" t="s">
        <v>23</v>
      </c>
      <c r="C13" s="28">
        <f t="shared" ref="C13:L13" si="6">C6/$A13</f>
        <v>18749.999999999996</v>
      </c>
      <c r="D13" s="28">
        <f t="shared" si="6"/>
        <v>51.369863013698627</v>
      </c>
      <c r="E13" s="28">
        <f t="shared" si="6"/>
        <v>2140.4109589041091</v>
      </c>
      <c r="F13" s="90">
        <f t="shared" si="6"/>
        <v>9375000</v>
      </c>
      <c r="G13" s="90">
        <f t="shared" si="6"/>
        <v>25684.931506849316</v>
      </c>
      <c r="H13" s="90">
        <f t="shared" si="6"/>
        <v>1070.2054794520545</v>
      </c>
      <c r="I13" s="90">
        <f t="shared" si="6"/>
        <v>23973.046348214913</v>
      </c>
      <c r="J13" s="28">
        <f t="shared" si="6"/>
        <v>71.3470319634703</v>
      </c>
      <c r="K13" s="28">
        <f t="shared" si="6"/>
        <v>103.40149559923235</v>
      </c>
      <c r="L13" s="28">
        <f t="shared" si="6"/>
        <v>0</v>
      </c>
      <c r="P13" t="s">
        <v>63</v>
      </c>
      <c r="Q13" t="s">
        <v>62</v>
      </c>
    </row>
    <row r="14" spans="1:20" x14ac:dyDescent="0.25">
      <c r="O14" s="14" t="s">
        <v>337</v>
      </c>
      <c r="P14">
        <f>10</f>
        <v>10</v>
      </c>
      <c r="Q14">
        <v>1</v>
      </c>
      <c r="R14" t="s">
        <v>383</v>
      </c>
      <c r="S14" s="6" t="s">
        <v>384</v>
      </c>
    </row>
  </sheetData>
  <mergeCells count="1">
    <mergeCell ref="A1:B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K53"/>
  <sheetViews>
    <sheetView tabSelected="1" topLeftCell="A19" workbookViewId="0">
      <selection activeCell="I45" sqref="I45"/>
    </sheetView>
  </sheetViews>
  <sheetFormatPr defaultRowHeight="15" x14ac:dyDescent="0.25"/>
  <cols>
    <col min="3" max="3" width="26.28515625" customWidth="1"/>
    <col min="4" max="4" width="14.42578125" bestFit="1" customWidth="1"/>
    <col min="5" max="5" width="13.28515625" bestFit="1" customWidth="1"/>
    <col min="6" max="6" width="15.7109375" customWidth="1"/>
    <col min="7" max="7" width="12.85546875" bestFit="1" customWidth="1"/>
    <col min="9" max="9" width="22.28515625" bestFit="1" customWidth="1"/>
    <col min="10" max="10" width="11" customWidth="1"/>
  </cols>
  <sheetData>
    <row r="1" spans="3:11" x14ac:dyDescent="0.25">
      <c r="I1" t="s">
        <v>910</v>
      </c>
      <c r="J1">
        <v>19.93</v>
      </c>
      <c r="K1" t="s">
        <v>47</v>
      </c>
    </row>
    <row r="2" spans="3:11" x14ac:dyDescent="0.25">
      <c r="C2" s="5" t="s">
        <v>891</v>
      </c>
    </row>
    <row r="3" spans="3:11" x14ac:dyDescent="0.25">
      <c r="C3" t="s">
        <v>894</v>
      </c>
    </row>
    <row r="4" spans="3:11" x14ac:dyDescent="0.25">
      <c r="D4" s="179">
        <v>2020</v>
      </c>
      <c r="E4" s="179">
        <v>2030</v>
      </c>
      <c r="F4" s="179">
        <v>2050</v>
      </c>
      <c r="H4" t="s">
        <v>892</v>
      </c>
    </row>
    <row r="5" spans="3:11" x14ac:dyDescent="0.25">
      <c r="C5" s="14" t="s">
        <v>890</v>
      </c>
      <c r="D5" s="14" t="s">
        <v>3</v>
      </c>
      <c r="E5">
        <v>660</v>
      </c>
      <c r="F5">
        <v>400</v>
      </c>
      <c r="H5" t="s">
        <v>893</v>
      </c>
    </row>
    <row r="6" spans="3:11" x14ac:dyDescent="0.25">
      <c r="C6" s="14" t="s">
        <v>454</v>
      </c>
      <c r="D6" s="14" t="s">
        <v>3</v>
      </c>
      <c r="E6" s="28">
        <v>500000</v>
      </c>
      <c r="F6" s="28">
        <v>3000000</v>
      </c>
      <c r="G6" t="s">
        <v>64</v>
      </c>
    </row>
    <row r="8" spans="3:11" x14ac:dyDescent="0.25">
      <c r="C8" s="179" t="s">
        <v>927</v>
      </c>
      <c r="D8" s="14"/>
    </row>
    <row r="9" spans="3:11" x14ac:dyDescent="0.25">
      <c r="C9" t="s">
        <v>928</v>
      </c>
      <c r="D9" s="14" t="s">
        <v>3</v>
      </c>
      <c r="E9">
        <v>1150</v>
      </c>
      <c r="F9">
        <v>900</v>
      </c>
      <c r="G9" t="s">
        <v>902</v>
      </c>
    </row>
    <row r="10" spans="3:11" x14ac:dyDescent="0.25">
      <c r="C10" t="s">
        <v>929</v>
      </c>
      <c r="D10" s="14" t="s">
        <v>3</v>
      </c>
      <c r="E10" s="14">
        <v>792</v>
      </c>
      <c r="F10" s="14">
        <v>238</v>
      </c>
      <c r="G10" t="s">
        <v>906</v>
      </c>
    </row>
    <row r="11" spans="3:11" x14ac:dyDescent="0.25">
      <c r="C11" t="s">
        <v>417</v>
      </c>
      <c r="D11" s="14" t="s">
        <v>3</v>
      </c>
      <c r="E11">
        <v>2378</v>
      </c>
      <c r="F11">
        <v>315</v>
      </c>
      <c r="G11" t="s">
        <v>903</v>
      </c>
    </row>
    <row r="12" spans="3:11" x14ac:dyDescent="0.25">
      <c r="C12" t="s">
        <v>68</v>
      </c>
      <c r="D12" s="14" t="s">
        <v>3</v>
      </c>
      <c r="E12">
        <v>660</v>
      </c>
      <c r="F12">
        <v>530</v>
      </c>
      <c r="G12" t="s">
        <v>924</v>
      </c>
    </row>
    <row r="13" spans="3:11" x14ac:dyDescent="0.25">
      <c r="C13" t="s">
        <v>930</v>
      </c>
      <c r="D13" s="14" t="s">
        <v>3</v>
      </c>
      <c r="E13">
        <v>493</v>
      </c>
      <c r="F13">
        <v>483</v>
      </c>
      <c r="G13" t="s">
        <v>925</v>
      </c>
    </row>
    <row r="14" spans="3:11" x14ac:dyDescent="0.25">
      <c r="C14" t="s">
        <v>931</v>
      </c>
      <c r="D14" s="14" t="s">
        <v>3</v>
      </c>
      <c r="E14">
        <v>22</v>
      </c>
      <c r="F14">
        <v>22</v>
      </c>
      <c r="G14" t="s">
        <v>926</v>
      </c>
    </row>
    <row r="15" spans="3:11" x14ac:dyDescent="0.25">
      <c r="C15" t="s">
        <v>932</v>
      </c>
      <c r="D15" s="14" t="s">
        <v>3</v>
      </c>
      <c r="E15">
        <v>234</v>
      </c>
      <c r="F15">
        <v>61</v>
      </c>
      <c r="G15" t="s">
        <v>34</v>
      </c>
    </row>
    <row r="17" spans="3:11" x14ac:dyDescent="0.25">
      <c r="D17" s="14"/>
    </row>
    <row r="18" spans="3:11" x14ac:dyDescent="0.25">
      <c r="C18" t="s">
        <v>904</v>
      </c>
      <c r="D18" s="14" t="s">
        <v>3</v>
      </c>
      <c r="E18">
        <v>3000</v>
      </c>
      <c r="F18">
        <v>981</v>
      </c>
      <c r="G18" t="s">
        <v>905</v>
      </c>
    </row>
    <row r="19" spans="3:11" x14ac:dyDescent="0.25">
      <c r="D19" s="14" t="s">
        <v>3</v>
      </c>
      <c r="E19">
        <f>E18*3600/1000000</f>
        <v>10.8</v>
      </c>
      <c r="F19" s="1">
        <f>F18*3600/1000000</f>
        <v>3.5316000000000001</v>
      </c>
      <c r="G19" t="s">
        <v>922</v>
      </c>
    </row>
    <row r="20" spans="3:11" x14ac:dyDescent="0.25">
      <c r="C20" t="s">
        <v>921</v>
      </c>
      <c r="D20" s="14" t="s">
        <v>3</v>
      </c>
      <c r="E20" s="7">
        <v>0.73</v>
      </c>
      <c r="F20" s="7">
        <v>0.82</v>
      </c>
    </row>
    <row r="22" spans="3:11" x14ac:dyDescent="0.25">
      <c r="C22" t="s">
        <v>895</v>
      </c>
    </row>
    <row r="23" spans="3:11" x14ac:dyDescent="0.25">
      <c r="C23" s="14" t="s">
        <v>897</v>
      </c>
      <c r="D23" s="28">
        <v>90000000</v>
      </c>
      <c r="E23" t="s">
        <v>41</v>
      </c>
      <c r="F23" t="s">
        <v>896</v>
      </c>
    </row>
    <row r="24" spans="3:11" x14ac:dyDescent="0.25">
      <c r="C24" s="14" t="s">
        <v>898</v>
      </c>
      <c r="D24" s="28">
        <v>110000</v>
      </c>
      <c r="E24" t="s">
        <v>9</v>
      </c>
    </row>
    <row r="25" spans="3:11" x14ac:dyDescent="0.25">
      <c r="D25" s="28">
        <f>D24/365</f>
        <v>301.36986301369865</v>
      </c>
      <c r="E25" t="s">
        <v>900</v>
      </c>
      <c r="I25" t="s">
        <v>916</v>
      </c>
      <c r="J25">
        <v>0.78</v>
      </c>
    </row>
    <row r="26" spans="3:11" x14ac:dyDescent="0.25">
      <c r="D26" s="28">
        <f>D25/24</f>
        <v>12.557077625570777</v>
      </c>
      <c r="E26" t="s">
        <v>901</v>
      </c>
      <c r="I26" t="s">
        <v>920</v>
      </c>
      <c r="J26">
        <v>0.9</v>
      </c>
    </row>
    <row r="28" spans="3:11" x14ac:dyDescent="0.25">
      <c r="C28" t="s">
        <v>918</v>
      </c>
      <c r="D28" s="12">
        <f>D23/D24</f>
        <v>818.18181818181813</v>
      </c>
      <c r="E28" t="s">
        <v>899</v>
      </c>
      <c r="I28" t="s">
        <v>917</v>
      </c>
    </row>
    <row r="29" spans="3:11" x14ac:dyDescent="0.25">
      <c r="D29" s="12">
        <f>D23/D25</f>
        <v>298636.36363636365</v>
      </c>
      <c r="E29" t="s">
        <v>907</v>
      </c>
      <c r="H29" s="37" t="s">
        <v>919</v>
      </c>
      <c r="I29" s="32" t="s">
        <v>41</v>
      </c>
      <c r="J29" s="32" t="s">
        <v>909</v>
      </c>
      <c r="K29" s="20" t="s">
        <v>914</v>
      </c>
    </row>
    <row r="30" spans="3:11" x14ac:dyDescent="0.25">
      <c r="D30" s="12">
        <f>D23/D26</f>
        <v>7167272.7272727266</v>
      </c>
      <c r="E30" t="s">
        <v>908</v>
      </c>
      <c r="H30">
        <v>110</v>
      </c>
      <c r="I30" s="28">
        <v>90000000</v>
      </c>
      <c r="J30" s="12">
        <f>I30/(H30*1000)*365*$J$26*24/1000</f>
        <v>6450.5454545454531</v>
      </c>
      <c r="K30" s="12">
        <f>J30/$J$1/1000*3600</f>
        <v>1165.1762988642063</v>
      </c>
    </row>
    <row r="31" spans="3:11" x14ac:dyDescent="0.25">
      <c r="H31" s="5">
        <v>330</v>
      </c>
      <c r="I31" s="16">
        <f>$I$30*(H31/$H$30)^$J$25</f>
        <v>212029890.04061991</v>
      </c>
      <c r="J31" s="21">
        <f>I31/(H31*1000)*365*$J$26*24/1000</f>
        <v>5065.5868275159009</v>
      </c>
      <c r="K31" s="21">
        <f t="shared" ref="K31:K35" si="0">J31/$J$1/1000*3600</f>
        <v>915.00815750412653</v>
      </c>
    </row>
    <row r="32" spans="3:11" x14ac:dyDescent="0.25">
      <c r="D32" s="12">
        <f>D30/1000</f>
        <v>7167.272727272727</v>
      </c>
      <c r="E32" t="s">
        <v>909</v>
      </c>
      <c r="H32">
        <v>500</v>
      </c>
      <c r="I32" s="28">
        <f>$I$30*(H32/$H$30)^$J$25</f>
        <v>293192474.17125666</v>
      </c>
      <c r="J32" s="12">
        <f>I32/(H32*1000)*365*$J$26*24/1000</f>
        <v>4623.0589327323751</v>
      </c>
      <c r="K32" s="12">
        <f t="shared" si="0"/>
        <v>835.07336466816605</v>
      </c>
    </row>
    <row r="33" spans="3:11" x14ac:dyDescent="0.25">
      <c r="H33">
        <v>1000</v>
      </c>
      <c r="I33" s="28">
        <f>$I$30*(H33/$H$30)^$J$25</f>
        <v>503449849.09421974</v>
      </c>
      <c r="J33" s="12">
        <f>I33/(H33*1000)*365*$J$26*24/1000</f>
        <v>3969.1986102588289</v>
      </c>
      <c r="K33" s="12">
        <f t="shared" si="0"/>
        <v>716.96512779386774</v>
      </c>
    </row>
    <row r="34" spans="3:11" x14ac:dyDescent="0.25">
      <c r="D34" s="12">
        <f>D32/J1</f>
        <v>359.62231446426125</v>
      </c>
      <c r="E34" t="s">
        <v>911</v>
      </c>
      <c r="H34">
        <v>2000</v>
      </c>
      <c r="I34" s="28">
        <f>$I$30*(H34/$H$30)^$J$25</f>
        <v>864489278.82420015</v>
      </c>
      <c r="J34" s="12">
        <f>I34/(H34*1000)*365*$J$26*24/1000</f>
        <v>3407.8167371249974</v>
      </c>
      <c r="K34" s="12">
        <f t="shared" si="0"/>
        <v>615.56147785499206</v>
      </c>
    </row>
    <row r="35" spans="3:11" x14ac:dyDescent="0.25">
      <c r="D35" s="4">
        <f>D34/1000</f>
        <v>0.35962231446426124</v>
      </c>
      <c r="E35" t="s">
        <v>912</v>
      </c>
      <c r="H35">
        <v>3000</v>
      </c>
      <c r="I35" s="28">
        <f>$I$30*(H35/$H$30)^$J$25</f>
        <v>1186071290.4934897</v>
      </c>
      <c r="J35" s="12">
        <f>I35/(H35*1000)*365*$J$26*24/1000</f>
        <v>3116.995351416891</v>
      </c>
      <c r="K35" s="12">
        <f t="shared" si="0"/>
        <v>563.02976744108423</v>
      </c>
    </row>
    <row r="36" spans="3:11" x14ac:dyDescent="0.25">
      <c r="D36" s="12">
        <f>D35*3600</f>
        <v>1294.6403320713405</v>
      </c>
      <c r="E36" t="s">
        <v>913</v>
      </c>
      <c r="F36" t="s">
        <v>914</v>
      </c>
      <c r="G36" t="s">
        <v>915</v>
      </c>
    </row>
    <row r="41" spans="3:11" x14ac:dyDescent="0.25">
      <c r="C41" s="5" t="s">
        <v>923</v>
      </c>
    </row>
    <row r="42" spans="3:11" x14ac:dyDescent="0.25">
      <c r="D42" s="179">
        <v>2020</v>
      </c>
      <c r="E42" s="179">
        <v>2030</v>
      </c>
      <c r="F42" s="179">
        <v>2050</v>
      </c>
    </row>
    <row r="43" spans="3:11" x14ac:dyDescent="0.25">
      <c r="C43" s="14" t="s">
        <v>890</v>
      </c>
      <c r="D43" s="14" t="s">
        <v>3</v>
      </c>
      <c r="E43" s="14" t="s">
        <v>3</v>
      </c>
      <c r="F43">
        <v>400</v>
      </c>
    </row>
    <row r="44" spans="3:11" x14ac:dyDescent="0.25">
      <c r="C44" s="14" t="s">
        <v>454</v>
      </c>
      <c r="D44" s="14" t="s">
        <v>3</v>
      </c>
      <c r="E44" s="14" t="s">
        <v>3</v>
      </c>
      <c r="F44" s="28" t="s">
        <v>17</v>
      </c>
      <c r="G44" t="s">
        <v>64</v>
      </c>
    </row>
    <row r="46" spans="3:11" x14ac:dyDescent="0.25">
      <c r="C46" s="179" t="s">
        <v>927</v>
      </c>
      <c r="D46" s="14"/>
    </row>
    <row r="47" spans="3:11" x14ac:dyDescent="0.25">
      <c r="C47" t="s">
        <v>928</v>
      </c>
      <c r="D47" s="14" t="s">
        <v>3</v>
      </c>
      <c r="E47" s="14" t="s">
        <v>3</v>
      </c>
      <c r="G47" t="s">
        <v>902</v>
      </c>
    </row>
    <row r="48" spans="3:11" x14ac:dyDescent="0.25">
      <c r="C48" t="s">
        <v>929</v>
      </c>
      <c r="D48" s="14" t="s">
        <v>3</v>
      </c>
      <c r="E48" s="14" t="s">
        <v>3</v>
      </c>
      <c r="F48" s="14"/>
      <c r="G48" t="s">
        <v>906</v>
      </c>
    </row>
    <row r="49" spans="3:7" x14ac:dyDescent="0.25">
      <c r="C49" t="s">
        <v>417</v>
      </c>
      <c r="D49" s="14" t="s">
        <v>3</v>
      </c>
      <c r="E49" s="14" t="s">
        <v>3</v>
      </c>
      <c r="G49" t="s">
        <v>903</v>
      </c>
    </row>
    <row r="50" spans="3:7" x14ac:dyDescent="0.25">
      <c r="C50" t="s">
        <v>68</v>
      </c>
      <c r="D50" s="14" t="s">
        <v>3</v>
      </c>
      <c r="E50" s="14" t="s">
        <v>3</v>
      </c>
      <c r="G50" t="s">
        <v>924</v>
      </c>
    </row>
    <row r="51" spans="3:7" x14ac:dyDescent="0.25">
      <c r="C51" t="s">
        <v>930</v>
      </c>
      <c r="D51" s="14" t="s">
        <v>3</v>
      </c>
      <c r="E51" s="14" t="s">
        <v>3</v>
      </c>
      <c r="G51" t="s">
        <v>925</v>
      </c>
    </row>
    <row r="52" spans="3:7" x14ac:dyDescent="0.25">
      <c r="C52" t="s">
        <v>931</v>
      </c>
      <c r="D52" s="14" t="s">
        <v>3</v>
      </c>
      <c r="E52" s="14" t="s">
        <v>3</v>
      </c>
      <c r="G52" t="s">
        <v>926</v>
      </c>
    </row>
    <row r="53" spans="3:7" x14ac:dyDescent="0.25">
      <c r="C53" t="s">
        <v>932</v>
      </c>
      <c r="D53" s="14" t="s">
        <v>3</v>
      </c>
      <c r="E53" s="14" t="s">
        <v>3</v>
      </c>
      <c r="G53" t="s">
        <v>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Note</vt:lpstr>
      <vt:lpstr>power_density</vt:lpstr>
      <vt:lpstr>costs_transmission</vt:lpstr>
      <vt:lpstr>costs_cable</vt:lpstr>
      <vt:lpstr>costs_summary_table</vt:lpstr>
      <vt:lpstr>costs_substation</vt:lpstr>
      <vt:lpstr>cost_scaling_PEM</vt:lpstr>
      <vt:lpstr>cost_scaling_MTS</vt:lpstr>
      <vt:lpstr>cost_scaling_maxCAP</vt:lpstr>
      <vt:lpstr>cost_scaling_DAC</vt:lpstr>
      <vt:lpstr>costs_DAC_future</vt:lpstr>
      <vt:lpstr>DAC_parameters</vt:lpstr>
      <vt:lpstr>capacity_overview</vt:lpstr>
      <vt:lpst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Tibor Svitnic</dc:creator>
  <cp:lastModifiedBy>Tibor Svitnic</cp:lastModifiedBy>
  <cp:lastPrinted>2023-09-19T08:36:24Z</cp:lastPrinted>
  <dcterms:created xsi:type="dcterms:W3CDTF">2021-05-11T12:56:00Z</dcterms:created>
  <dcterms:modified xsi:type="dcterms:W3CDTF">2025-04-30T10:39:59Z</dcterms:modified>
</cp:coreProperties>
</file>