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8.xml" ContentType="application/vnd.openxmlformats-officedocument.drawingml.chart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charts/chart9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770" windowHeight="8192" windowWidth="16384" xWindow="0" yWindow="0"/>
  </bookViews>
  <sheets>
    <sheet name="Panel Servicio" sheetId="1" state="visible" r:id="rId2"/>
    <sheet name="Datos costos" sheetId="2" state="visible" r:id="rId3"/>
    <sheet name="TI" sheetId="3" state="visible" r:id="rId4"/>
    <sheet name="Bitacora" sheetId="4" state="visible" r:id="rId5"/>
  </sheets>
  <definedNames>
    <definedName function="false" hidden="false" localSheetId="0" name="_xlnm.Print_Area" vbProcedure="false">'Panel Servicio'!$B$2:$AL$48</definedName>
    <definedName function="false" hidden="false" name="A" vbProcedure="false">'panel servicio'!#ref!</definedName>
    <definedName function="false" hidden="false" name="NombredelProyecto" vbProcedure="false">['file:///users/leonardoabarrientosc/google drive bc tic/proyectos/bc tic/paneles-bi-cam-4040-88-pc-011-02/panel v2 ssdnn ene2013.xlsx']'datos generales'!$c$9</definedName>
    <definedName function="false" hidden="false" name="PeriododeGestion" vbProcedure="false">['file:///users/leonardoabarrientosc/google drive bc tic/proyectos/bc tic/paneles-bi-cam-4040-88-pc-011-02/panel v2 ssdnn ene2013.xlsx']'datos generales'!$c$15</definedName>
    <definedName function="false" hidden="false" name="Programación" vbProcedure="false">'panel servicio'!#ref!</definedName>
    <definedName function="false" hidden="false" name="_Fill" vbProcedure="false">#ref!</definedName>
    <definedName function="false" hidden="false" name="_Order1" vbProcedure="false">255</definedName>
    <definedName function="false" hidden="false" name="_Order2" vbProcedure="false">255</definedName>
    <definedName function="false" hidden="false" localSheetId="0" name="_Fill" vbProcedure="false">#ref!</definedName>
    <definedName function="false" hidden="false" localSheetId="0" name="_xlnm.Print_Area" vbProcedure="false">'Panel Servicio'!$B$2:$AL$48</definedName>
    <definedName function="false" hidden="false" localSheetId="0" name="_xlnm.Print_Area_0" vbProcedure="false">'Panel Servicio'!$B$2:$AL$48</definedName>
    <definedName function="false" hidden="false" localSheetId="3" name="owssvr" vbProcedure="false">Bitacora!$A$1:$I$18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<sst xmlns="http://schemas.openxmlformats.org/spreadsheetml/2006/main" count="354" uniqueCount="140">
  <si>
    <t>PANEL GENERAL</t>
  </si>
  <si>
    <t>Responsable: Miguel Salas</t>
  </si>
  <si>
    <t>Revisión :</t>
  </si>
  <si>
    <t>Fecha :</t>
  </si>
  <si>
    <t>GESTIÓN ACUMULADA A LA FECHA</t>
  </si>
  <si>
    <t>GESTIÓN ANUAL</t>
  </si>
  <si>
    <t>Resultado Mes</t>
  </si>
  <si>
    <t>Ppto Mes</t>
  </si>
  <si>
    <t>Brechas</t>
  </si>
  <si>
    <t>Resultado Acumulado</t>
  </si>
  <si>
    <t>Ppto Acumulado</t>
  </si>
  <si>
    <t>Proyección Anual</t>
  </si>
  <si>
    <t>Ppto  Anual</t>
  </si>
  <si>
    <t>$</t>
  </si>
  <si>
    <t>(%)</t>
  </si>
  <si>
    <t>Remuneraciones</t>
  </si>
  <si>
    <t>Amortizaciones</t>
  </si>
  <si>
    <t>Gastos Generales</t>
  </si>
  <si>
    <t>Totales</t>
  </si>
  <si>
    <t>Dotacion</t>
  </si>
  <si>
    <t>Barras</t>
  </si>
  <si>
    <t>Costos Acumulado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</si>
  <si>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</si>
  <si>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</si>
  <si>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</si>
  <si>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</si>
  <si>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</si>
  <si>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</si>
  <si>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</si>
  <si>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</si>
  <si>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</si>
  <si>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</si>
  <si>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</si>
  <si>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</si>
  <si>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Presupuesto</t>
  </si>
  <si>
    <t>DEPRE</t>
  </si>
  <si>
    <t>G. GENERALES</t>
  </si>
  <si>
    <t>REMU</t>
  </si>
  <si>
    <t>Total</t>
  </si>
  <si>
    <t>Acumulado</t>
  </si>
  <si>
    <t>Real</t>
  </si>
  <si>
    <t>COMUNICACIONES</t>
  </si>
  <si>
    <t>COSTO DE OFICINA</t>
  </si>
  <si>
    <t>SOPORTE INFORMÁTICO</t>
  </si>
  <si>
    <t>Depreciación / Amortización</t>
  </si>
  <si>
    <t>DESARROLLO HUMANO</t>
  </si>
  <si>
    <t>GASTOS DE VIAJES POR NEGOCIO</t>
  </si>
  <si>
    <t>Proyectado</t>
  </si>
  <si>
    <t>Tickets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</si>
  <si>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</si>
  <si>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</si>
  <si>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</si>
  <si>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</si>
  <si>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</si>
  <si>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</si>
  <si>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</si>
  <si>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</si>
  <si>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</si>
  <si>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</si>
  <si>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</si>
  <si>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</si>
  <si>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</si>
  <si>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Acum</t>
  </si>
  <si>
    <t>Cumple</t>
  </si>
  <si>
    <t>No Cumple</t>
  </si>
  <si>
    <t>Total general</t>
  </si>
  <si>
    <t>Tickets Mesa de ayuda</t>
  </si>
  <si>
    <t>Cantidad de tickets</t>
  </si>
  <si>
    <t>Tiempo atención promedio (Horas)</t>
  </si>
  <si>
    <t>Meta</t>
  </si>
  <si>
    <t>Oracle</t>
  </si>
  <si>
    <t>UP TIME</t>
  </si>
  <si>
    <t>INCIDENCIAS</t>
  </si>
  <si>
    <t>META</t>
  </si>
  <si>
    <t>Correo</t>
  </si>
  <si>
    <t>Internet</t>
  </si>
  <si>
    <t>Redes</t>
  </si>
  <si>
    <t>SAMAC</t>
  </si>
  <si>
    <t>Título</t>
  </si>
  <si>
    <t>Sistema</t>
  </si>
  <si>
    <t>Fecha</t>
  </si>
  <si>
    <t>Duracion</t>
  </si>
  <si>
    <t>Observaciones</t>
  </si>
  <si>
    <t>Usuarios Afectados</t>
  </si>
  <si>
    <t>Tipo de elemento</t>
  </si>
  <si>
    <t>Ruta</t>
  </si>
  <si>
    <t>Sitio</t>
  </si>
  <si>
    <t>UP</t>
  </si>
  <si>
    <t>- all -</t>
  </si>
  <si>
    <t>Caida internet tarapaca</t>
  </si>
  <si>
    <t>se restituye el servicio despues de levantar el ticket con Movistar</t>
  </si>
  <si>
    <t>Elemento</t>
  </si>
  <si>
    <t>chile/ssn/rtt/Lists/Bitacora</t>
  </si>
  <si>
    <t>Tarapaca</t>
  </si>
  <si>
    <t>Caida enlace San bernardo</t>
  </si>
  <si>
    <t>Red</t>
  </si>
  <si>
    <t>Caida del enlace de san bernardo.</t>
  </si>
  <si>
    <t>San Bernardo</t>
  </si>
  <si>
    <t>Data</t>
  </si>
  <si>
    <t>Caida enlace con Tarapaca internacional</t>
  </si>
  <si>
    <t>Se restitu el servicio antes de levantar el ticket</t>
  </si>
  <si>
    <t>El cortijo</t>
  </si>
  <si>
    <t>Err:508</t>
  </si>
  <si>
    <t>Total Sum -  UP</t>
  </si>
  <si>
    <t>Total Count - Sitio</t>
  </si>
  <si>
    <t>Correo celulares</t>
  </si>
  <si>
    <t>Se repone el servicio 30 minutos después de reportado el error.</t>
  </si>
  <si>
    <t>Correo en celulaR</t>
  </si>
  <si>
    <t>Sum -  UP</t>
  </si>
  <si>
    <t>Count - Sitio</t>
  </si>
  <si>
    <t>Caida wifi Tarapaca</t>
  </si>
  <si>
    <t>Se cambia el switch y se restituye el servcio</t>
  </si>
  <si>
    <t>Caida oracle</t>
  </si>
  <si>
    <t>Se solicita bajar oracle</t>
  </si>
  <si>
    <t>Caida en Perú</t>
  </si>
  <si>
    <t>caida enlace zenteno</t>
  </si>
  <si>
    <t>Se cae el enlace de zeteno 1</t>
  </si>
  <si>
    <t>zenteno</t>
  </si>
  <si>
    <t>Caida internet</t>
  </si>
  <si>
    <t>Caida de internet producida en movistar</t>
  </si>
  <si>
    <t>todos</t>
  </si>
  <si>
    <t>caida internet</t>
  </si>
  <si>
    <t>Total Result</t>
  </si>
  <si>
    <t>naranjo</t>
  </si>
  <si>
    <t>tarapaca</t>
  </si>
  <si>
    <t>Enlace Caído Zenteno 1</t>
  </si>
  <si>
    <t>Corte de fibra produce caída del enlace corporativo de la sede.  Movistar repara la conexión a las 17:30 hrs. del mismo día.</t>
  </si>
  <si>
    <t>Zenteno 1</t>
  </si>
  <si>
    <t>Caída Enlace Datos Tarapacá</t>
  </si>
  <si>
    <t>Se cuelga SW Primer 1 y baja servicio de red de al menos 30 usuarios afectados, a las 09:30 hrs. se reinicia el servicio.</t>
  </si>
  <si>
    <t>Tarapacá 934 P1</t>
  </si>
  <si>
    <t>Caida Enlace Enersis</t>
  </si>
  <si>
    <t>caida de la fibra de Enersis por alrededor de 3:30</t>
  </si>
  <si>
    <t>CAM</t>
  </si>
  <si>
    <t>Wifi naranjo</t>
  </si>
  <si>
    <t>Caída Oracle R11</t>
  </si>
  <si>
    <t>Caída de servicios del ORACLE</t>
  </si>
  <si>
    <t>Todas las sedes</t>
  </si>
  <si>
    <t>Caída Internet CAM</t>
  </si>
  <si>
    <t>Caída en todas las sedes del servicio por 45 minutos apróx.</t>
  </si>
</sst>
</file>

<file path=xl/styles.xml><?xml version="1.0" encoding="utf-8"?>
<styleSheet xmlns="http://schemas.openxmlformats.org/spreadsheetml/2006/main">
  <numFmts count="16">
    <numFmt formatCode="GENERAL" numFmtId="164"/>
    <numFmt formatCode="_ * #,##0.00_ ;_ * \-#,##0.00_ ;_ * \-??_ ;_ @_ " numFmtId="165"/>
    <numFmt formatCode="_ * #,##0_ ;_ * \-#,##0_ ;_ * \-??_ ;_ @_ " numFmtId="166"/>
    <numFmt formatCode="DD/MM/YYYY" numFmtId="167"/>
    <numFmt formatCode="0.0%" numFmtId="168"/>
    <numFmt formatCode="0%" numFmtId="169"/>
    <numFmt formatCode="_-* #,##0_-;\-* #,##0_-;_-* \-??_-;_-@_-" numFmtId="170"/>
    <numFmt formatCode="#,##0" numFmtId="171"/>
    <numFmt formatCode="_ * #,##0.0000_ ;_ * \-#,##0.0000_ ;_ * \-??_ ;_ @_ " numFmtId="172"/>
    <numFmt formatCode="_ * #,##0.000_ ;_ * \-#,##0.000_ ;_ * \-??_ ;_ @_ " numFmtId="173"/>
    <numFmt formatCode="_-* #,##0.0_-;\-* #,##0.0_-;_-* \-??_-;_-@_-" numFmtId="174"/>
    <numFmt formatCode="_-* #,##0.0_-;\-* #,##0.0_-;_-* \-?_-;_-@_-" numFmtId="175"/>
    <numFmt formatCode="0" numFmtId="176"/>
    <numFmt formatCode="0.000%" numFmtId="177"/>
    <numFmt formatCode="_-* #,##0.0000000_-;\-* #,##0.0000000_-;_-* \-??_-;_-@_-" numFmtId="178"/>
    <numFmt formatCode="@" numFmtId="179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name val="Calibri"/>
      <family val="2"/>
      <charset val="1"/>
    </font>
    <font>
      <b val="true"/>
      <sz val="28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36"/>
      <name val="Calibri"/>
      <family val="2"/>
      <charset val="1"/>
    </font>
    <font>
      <sz val="20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sz val="26"/>
      <color rgb="FFFFFFFF"/>
      <name val="Calibri"/>
      <family val="2"/>
      <charset val="1"/>
    </font>
    <font>
      <b val="true"/>
      <sz val="18"/>
      <color rgb="FF000000"/>
      <name val="Arial"/>
      <family val="2"/>
      <charset val="1"/>
    </font>
    <font>
      <sz val="10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0"/>
      <name val="Calibri"/>
      <family val="2"/>
      <charset val="1"/>
    </font>
    <font>
      <sz val="16"/>
      <color rgb="FFFF0000"/>
      <name val="Calibri"/>
      <family val="2"/>
      <charset val="1"/>
    </font>
    <font>
      <b val="true"/>
      <sz val="15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4"/>
      <color rgb="FFFFFFFF"/>
      <name val="Arial"/>
      <family val="2"/>
      <charset val="1"/>
    </font>
    <font>
      <sz val="16"/>
      <color rgb="FFFFFFFF"/>
      <name val="Calibri"/>
      <family val="2"/>
      <charset val="1"/>
    </font>
    <font>
      <b val="true"/>
      <sz val="12"/>
      <color rgb="FFFFFFFF"/>
      <name val="Calibri"/>
      <family val="2"/>
    </font>
    <font>
      <sz val="10"/>
      <name val="Arial"/>
      <family val="2"/>
    </font>
    <font>
      <b val="true"/>
      <sz val="18"/>
      <color rgb="FF000000"/>
      <name val="Calibri"/>
      <family val="2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58ED5"/>
        <bgColor rgb="FF4F81BD"/>
      </patternFill>
    </fill>
    <fill>
      <patternFill patternType="solid">
        <fgColor rgb="FFC4BD97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B9CDE5"/>
        <bgColor rgb="FFC4BD97"/>
      </patternFill>
    </fill>
  </fills>
  <borders count="42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medium"/>
      <top/>
      <bottom style="medium"/>
      <diagonal/>
    </border>
    <border diagonalDown="false" diagonalUp="false">
      <left/>
      <right style="thick"/>
      <top/>
      <bottom style="medium"/>
      <diagonal/>
    </border>
    <border diagonalDown="false" diagonalUp="false">
      <left style="thick"/>
      <right style="medium"/>
      <top style="medium"/>
      <bottom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medium"/>
      <right style="thick"/>
      <top/>
      <bottom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thick"/>
      <right style="medium"/>
      <top/>
      <bottom style="thick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</borders>
  <cellStyleXfs count="29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29" numFmtId="16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29" numFmtId="164">
      <alignment horizontal="general" indent="0" shrinkToFit="false" textRotation="0" vertical="bottom" wrapText="false"/>
      <protection hidden="false" locked="true"/>
    </xf>
  </cellStyleXfs>
  <cellXfs count="16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2" fontId="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0" fontId="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2" fillId="2" fontId="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3" fillId="2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4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3" fillId="0" fontId="4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4" fillId="2" fontId="5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5" fillId="2" fontId="6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6" fillId="2" fontId="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2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7" numFmtId="166" xfId="2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2" fontId="4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7" fillId="2" fontId="6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4" fillId="2" fontId="6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8" fillId="0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9" fillId="2" fontId="6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2" fontId="6" numFmtId="167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0" fillId="0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3" fillId="0" fontId="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1" fillId="2" fontId="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1" fillId="0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9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" fontId="9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2" fillId="2" fontId="4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2" fontId="4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2" fontId="9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2" fontId="1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2" fontId="11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2" fillId="0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6" xfId="2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12" numFmtId="168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12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2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2" fillId="2" fontId="13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2" fontId="14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3" fillId="3" fontId="15" numFmtId="166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2" fontId="15" numFmtId="166" xfId="2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4" fillId="2" fontId="14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4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2" fillId="2" fontId="13" numFmtId="166" xfId="2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6" fillId="2" fontId="13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3" fillId="3" fontId="15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15" numFmtId="166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5" fillId="3" fontId="15" numFmtId="166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2" fontId="14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6" fillId="3" fontId="15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5" fillId="3" fontId="15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2" fillId="2" fontId="16" numFmtId="169" xfId="21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6" fillId="2" fontId="16" numFmtId="166" xfId="20">
      <alignment horizontal="right" indent="0" shrinkToFit="false" textRotation="0" vertical="center" wrapText="false"/>
      <protection hidden="false" locked="true"/>
    </xf>
    <xf applyAlignment="true" applyBorder="true" applyFont="true" applyProtection="true" borderId="13" fillId="3" fontId="15" numFmtId="166" xfId="2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7" fillId="2" fontId="14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7" fillId="2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14" numFmtId="171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5" fillId="2" fontId="14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4" fillId="2" fontId="14" numFmtId="171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8" fillId="3" fontId="15" numFmtId="166" xfId="2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8" fillId="2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9" fillId="3" fontId="15" numFmtId="166" xfId="2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3" fillId="2" fontId="14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3" fillId="2" fontId="16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71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12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2" fillId="2" fontId="16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17" numFmtId="166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" fillId="0" fontId="16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2" fillId="2" fontId="18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9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72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2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2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2" fontId="21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6" fillId="2" fontId="14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22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2" fontId="0" numFmtId="165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2" fillId="0" fontId="0" numFmtId="173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" fontId="23" numFmtId="166" xfId="2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2" fontId="15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15" numFmtId="166" xfId="20">
      <alignment horizontal="right" indent="0" shrinkToFit="false" textRotation="0" vertical="center" wrapText="false"/>
      <protection hidden="false" locked="true"/>
    </xf>
    <xf applyAlignment="true" applyBorder="true" applyFont="true" applyProtection="true" borderId="6" fillId="2" fontId="12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2" fontId="24" numFmtId="166" xfId="2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6" fillId="0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2" fillId="2" fontId="0" numFmtId="166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9" fillId="0" fontId="0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0" numFmtId="166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28" numFmtId="164" xfId="22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2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1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28" numFmtId="171" xfId="22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30" numFmtId="171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1" shrinkToFit="false" textRotation="0" vertical="bottom" wrapText="false"/>
      <protection hidden="false" locked="true"/>
    </xf>
    <xf applyAlignment="false" applyBorder="false" applyFont="false" applyProtection="false" borderId="0" fillId="0" fontId="0" numFmtId="17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7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7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7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3" fillId="6" fontId="0" numFmtId="178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7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3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4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79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7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25" fillId="0" fontId="0" numFmtId="164" xfId="24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6" fillId="0" fontId="0" numFmtId="164" xfId="23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7" fillId="0" fontId="0" numFmtId="164" xfId="23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7" fillId="0" fontId="0" numFmtId="164" xfId="24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8" fillId="0" fontId="0" numFmtId="164" xfId="24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9" fillId="0" fontId="0" numFmtId="164" xfId="24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25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5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29" numFmtId="164" xfId="26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30" fillId="0" fontId="29" numFmtId="164" xfId="26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31" fillId="0" fontId="0" numFmtId="164" xfId="23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25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25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" fillId="0" fontId="29" numFmtId="164" xfId="26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32" fillId="0" fontId="29" numFmtId="164" xfId="26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33" fillId="0" fontId="0" numFmtId="164" xfId="25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27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27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29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4" fillId="0" fontId="29" numFmtId="164" xfId="28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9" fillId="0" fontId="0" numFmtId="164" xfId="25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27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4" xfId="27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5" fillId="0" fontId="29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4" xfId="27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27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6" fillId="0" fontId="29" numFmtId="164" xfId="28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7" fillId="0" fontId="29" numFmtId="164" xfId="26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38" fillId="0" fontId="29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9" fillId="0" fontId="29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0" fillId="0" fontId="29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1" fillId="0" fontId="29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79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79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15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Millares 7" xfId="20"/>
    <cellStyle builtinId="54" customBuiltin="true" name="Excel Built-in Porcentual 6" xfId="21"/>
    <cellStyle builtinId="54" customBuiltin="true" name="Excel Built-in Normal 11" xfId="22"/>
    <cellStyle builtinId="54" customBuiltin="true" name="Excel Built-in Pivot Table Field" xfId="23"/>
    <cellStyle builtinId="54" customBuiltin="true" name="Excel Built-in Pivot Table Corner" xfId="24"/>
    <cellStyle builtinId="54" customBuiltin="true" name="Excel Built-in Pivot Table Category" xfId="25"/>
    <cellStyle builtinId="54" customBuiltin="true" name="Excel Built-in Pivot Table Title" xfId="26"/>
    <cellStyle builtinId="54" customBuiltin="true" name="Excel Built-in Pivot Table Value" xfId="27"/>
    <cellStyle builtinId="54" customBuiltin="true" name="Excel Built-in Pivot Table Result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78787"/>
      <rgbColor rgb="FF558ED5"/>
      <rgbColor rgb="FFBE4B48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4F81BD"/>
      <rgbColor rgb="FF46AAC4"/>
      <rgbColor rgb="FF99CC00"/>
      <rgbColor rgb="FFFFCC00"/>
      <rgbColor rgb="FFFF9900"/>
      <rgbColor rgb="FFFF6600"/>
      <rgbColor rgb="FF8064A2"/>
      <rgbColor rgb="FF969696"/>
      <rgbColor rgb="FF17375E"/>
      <rgbColor rgb="FF339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'Datos costos'!$A$3</c:f>
              <c:strCache>
                <c:ptCount val="1"/>
                <c:pt idx="0">
                  <c:v>Presupuesto</c:v>
                </c:pt>
              </c:strCache>
            </c:strRef>
          </c:tx>
          <c:spPr>
            <a:solidFill>
              <a:srgbClr val="17375e"/>
            </a:solidFill>
            <a:ln w="38160">
              <a:solidFill>
                <a:srgbClr val="17375e"/>
              </a:solidFill>
              <a:round/>
            </a:ln>
          </c:spPr>
          <c:marker>
            <c:size val="6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dLblPos val="b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dLblPos val="b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dLblPos val="b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dLblPos val="b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</c:dLbls>
          <c:cat>
            <c:strRef>
              <c:f>'Datos costos'!$B$1:$M$1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'Datos costos'!$B$13:$M$13</c:f>
              <c:numCache>
                <c:formatCode>General</c:formatCode>
                <c:ptCount val="12"/>
                <c:pt idx="0">
                  <c:v>22503.3594892868</c:v>
                </c:pt>
                <c:pt idx="1">
                  <c:v>46586.6276335945</c:v>
                </c:pt>
                <c:pt idx="2">
                  <c:v>70679.4957779022</c:v>
                </c:pt>
                <c:pt idx="3">
                  <c:v>94762.7639222098</c:v>
                </c:pt>
                <c:pt idx="4">
                  <c:v>118765.753018081</c:v>
                </c:pt>
                <c:pt idx="5">
                  <c:v>142859.421162389</c:v>
                </c:pt>
                <c:pt idx="6">
                  <c:v>168050.443242585</c:v>
                </c:pt>
                <c:pt idx="7">
                  <c:v>192133.711386892</c:v>
                </c:pt>
                <c:pt idx="8">
                  <c:v>216224.9795312</c:v>
                </c:pt>
                <c:pt idx="9">
                  <c:v>240308.247675508</c:v>
                </c:pt>
                <c:pt idx="10">
                  <c:v>264534.373819815</c:v>
                </c:pt>
                <c:pt idx="11">
                  <c:v>288625.641964123</c:v>
                </c:pt>
              </c:numCache>
            </c:numRef>
          </c:val>
        </c:ser>
        <c:ser>
          <c:idx val="1"/>
          <c:order val="1"/>
          <c:tx>
            <c:strRef>
              <c:f>'Datos costos'!$A$16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ff0000"/>
            </a:solidFill>
            <a:ln w="44280">
              <a:solidFill>
                <a:srgbClr val="ff0000"/>
              </a:solidFill>
              <a:round/>
            </a:ln>
          </c:spPr>
          <c:marker>
            <c:size val="6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</c:dLbls>
          <c:cat>
            <c:strRef>
              <c:f>'Datos costos'!$B$1:$M$1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'Datos costos'!$B$38:$G$38</c:f>
              <c:numCache>
                <c:formatCode>General</c:formatCode>
                <c:ptCount val="6"/>
                <c:pt idx="0">
                  <c:v>26538.471</c:v>
                </c:pt>
                <c:pt idx="1">
                  <c:v>50765.735</c:v>
                </c:pt>
                <c:pt idx="2">
                  <c:v>76457.529</c:v>
                </c:pt>
                <c:pt idx="3">
                  <c:v>77068.664</c:v>
                </c:pt>
                <c:pt idx="4">
                  <c:v>92962.599</c:v>
                </c:pt>
                <c:pt idx="5">
                  <c:v>124231.099</c:v>
                </c:pt>
              </c:numCache>
            </c:numRef>
          </c:val>
        </c:ser>
        <c:ser>
          <c:idx val="2"/>
          <c:order val="2"/>
          <c:tx>
            <c:strRef>
              <c:f>'Datos costos'!$A$28</c:f>
              <c:strCache>
                <c:ptCount val="1"/>
                <c:pt idx="0">
                  <c:v>Proyectado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'Datos costos'!$B$1:$M$1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'Datos costos'!$B$32:$M$32</c:f>
              <c:numCache>
                <c:formatCode>General</c:formatCode>
                <c:ptCount val="12"/>
                <c:pt idx="0">
                  <c:v>26538.471</c:v>
                </c:pt>
                <c:pt idx="1">
                  <c:v>50765.735</c:v>
                </c:pt>
                <c:pt idx="2">
                  <c:v>76457.529</c:v>
                </c:pt>
                <c:pt idx="3">
                  <c:v>77068.664</c:v>
                </c:pt>
                <c:pt idx="4">
                  <c:v>101071.653095871</c:v>
                </c:pt>
                <c:pt idx="5">
                  <c:v>125165.321240179</c:v>
                </c:pt>
                <c:pt idx="6">
                  <c:v>150356.343320375</c:v>
                </c:pt>
                <c:pt idx="7">
                  <c:v>174439.611464683</c:v>
                </c:pt>
                <c:pt idx="8">
                  <c:v>198530.87960899</c:v>
                </c:pt>
                <c:pt idx="9">
                  <c:v>222614.147753298</c:v>
                </c:pt>
                <c:pt idx="10">
                  <c:v>246840.273897606</c:v>
                </c:pt>
                <c:pt idx="11">
                  <c:v>270931.542041913</c:v>
                </c:pt>
              </c:numCache>
            </c:numRef>
          </c:val>
        </c:ser>
        <c:marker val="1"/>
        <c:axId val="77404327"/>
        <c:axId val="57298518"/>
      </c:lineChart>
      <c:catAx>
        <c:axId val="774043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7298518"/>
        <c:crossesAt val="0"/>
        <c:auto val="1"/>
        <c:lblAlgn val="ctr"/>
        <c:lblOffset val="100"/>
      </c:catAx>
      <c:valAx>
        <c:axId val="57298518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ffffff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7404327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% Cumplimiento Solicitudes de TI en plazo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TI!$A$16</c:f>
              <c:strCache>
                <c:ptCount val="1"/>
                <c:pt idx="0">
                  <c:v>Cumple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</c:spPr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TI!$B$16:$N$16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0.983580922595778</c:v>
                </c:pt>
              </c:numCache>
            </c:numRef>
          </c:val>
        </c:ser>
        <c:gapWidth val="150"/>
        <c:overlap val="100"/>
        <c:axId val="40007459"/>
        <c:axId val="44357324"/>
      </c:barChart>
      <c:lineChart>
        <c:grouping val="stacked"/>
        <c:ser>
          <c:idx val="0"/>
          <c:order val="0"/>
          <c:tx>
            <c:strRef>
              <c:f>TI!$A$18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ff0000"/>
            </a:solidFill>
            <a:ln w="38160">
              <a:solidFill>
                <a:srgbClr val="ff0000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TI!$B$18:$N$18</c:f>
              <c:numCache>
                <c:formatCode>General</c:formatCode>
                <c:ptCount val="13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</c:numCache>
            </c:numRef>
          </c:val>
        </c:ser>
        <c:marker val="1"/>
        <c:axId val="41605092"/>
        <c:axId val="21085258"/>
      </c:lineChart>
      <c:lineChart>
        <c:grouping val="stacked"/>
        <c:ser>
          <c:idx val="0"/>
          <c:order val="0"/>
          <c:tx>
            <c:strRef>
              <c:f>TI!$A$6</c:f>
              <c:strCache>
                <c:ptCount val="1"/>
                <c:pt idx="0">
                  <c:v>Total general</c:v>
                </c:pt>
              </c:strCache>
            </c:strRef>
          </c:tx>
          <c:spPr>
            <a:solidFill>
              <a:srgbClr val="8eb4e3"/>
            </a:solidFill>
            <a:ln w="63360">
              <a:solidFill>
                <a:srgbClr val="8eb4e3"/>
              </a:solidFill>
              <a:round/>
            </a:ln>
          </c:spPr>
          <c:marker>
            <c:size val="7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dLblPos val="b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dLblPos val="b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dLblPos val="b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</c:dLbls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TI!$B$6:$N$6</c:f>
              <c:numCache>
                <c:formatCode>General</c:formatCode>
                <c:ptCount val="13"/>
                <c:pt idx="0">
                  <c:v>275</c:v>
                </c:pt>
                <c:pt idx="1">
                  <c:v>297</c:v>
                </c:pt>
                <c:pt idx="2">
                  <c:v>306</c:v>
                </c:pt>
                <c:pt idx="3">
                  <c:v>401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319.75</c:v>
                </c:pt>
              </c:numCache>
            </c:numRef>
          </c:val>
        </c:ser>
        <c:marker val="1"/>
        <c:axId val="22689763"/>
        <c:axId val="92622286"/>
      </c:lineChart>
      <c:catAx>
        <c:axId val="400074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4357324"/>
        <c:crossesAt val="0"/>
        <c:auto val="1"/>
        <c:lblAlgn val="ctr"/>
        <c:lblOffset val="100"/>
      </c:catAx>
      <c:valAx>
        <c:axId val="44357324"/>
        <c:scaling>
          <c:orientation val="minMax"/>
          <c:max val="1"/>
          <c:min val="0.9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0007459"/>
        <c:crossesAt val="0"/>
      </c:valAx>
      <c:catAx>
        <c:axId val="416050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1085258"/>
        <c:crossesAt val="0"/>
        <c:auto val="1"/>
        <c:lblAlgn val="ctr"/>
        <c:lblOffset val="100"/>
      </c:catAx>
      <c:valAx>
        <c:axId val="21085258"/>
        <c:scaling>
          <c:orientation val="minMax"/>
          <c:max val="1"/>
          <c:min val="0.9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1605092"/>
        <c:crossesAt val="0"/>
      </c:valAx>
      <c:catAx>
        <c:axId val="226897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2622286"/>
        <c:crossesAt val="0"/>
        <c:auto val="1"/>
        <c:lblAlgn val="ctr"/>
        <c:lblOffset val="100"/>
      </c:catAx>
      <c:valAx>
        <c:axId val="92622286"/>
        <c:scaling>
          <c:orientation val="minMax"/>
          <c:max val="1"/>
          <c:min val="0.9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2689763"/>
        <c:crossesAt val="0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UP TIME ORACLE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"UP TIME"</c:f>
              <c:strCache>
                <c:ptCount val="1"/>
                <c:pt idx="0">
                  <c:v>UP TIME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</c:spPr>
          <c:cat>
            <c:strRef>
              <c:f>TI!$B$25:$N$25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TI!$B$26:$N$26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0.998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0.9995</c:v>
                </c:pt>
              </c:numCache>
            </c:numRef>
          </c:val>
        </c:ser>
        <c:gapWidth val="150"/>
        <c:overlap val="100"/>
        <c:axId val="24600374"/>
        <c:axId val="59794704"/>
      </c:barChart>
      <c:lineChart>
        <c:grouping val="stacked"/>
        <c:ser>
          <c:idx val="0"/>
          <c:order val="0"/>
          <c:tx>
            <c:strRef>
              <c:f>"META"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ff0000"/>
            </a:solidFill>
            <a:ln w="381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TI!$B$25:$N$25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TI!$B$28:$N$28</c:f>
              <c:numCache>
                <c:formatCode>General</c:formatCode>
                <c:ptCount val="13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</c:numCache>
            </c:numRef>
          </c:val>
        </c:ser>
        <c:marker val="0"/>
        <c:axId val="48618754"/>
        <c:axId val="88101907"/>
      </c:lineChart>
      <c:lineChart>
        <c:grouping val="stacked"/>
        <c:ser>
          <c:idx val="0"/>
          <c:order val="0"/>
          <c:tx>
            <c:strRef>
              <c:f>TI!$A$27</c:f>
              <c:strCache>
                <c:ptCount val="1"/>
                <c:pt idx="0">
                  <c:v>INCIDENCIAS</c:v>
                </c:pt>
              </c:strCache>
            </c:strRef>
          </c:tx>
          <c:spPr>
            <a:solidFill>
              <a:srgbClr val="46aac4"/>
            </a:solidFill>
            <a:ln w="4428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TI!$B$25:$N$25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TI!$B$27:$N$27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1</c:v>
                </c:pt>
              </c:numCache>
            </c:numRef>
          </c:val>
        </c:ser>
        <c:marker val="0"/>
        <c:axId val="34197987"/>
        <c:axId val="12624292"/>
      </c:lineChart>
      <c:catAx>
        <c:axId val="2460037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9794704"/>
        <c:crossesAt val="0"/>
        <c:auto val="1"/>
        <c:lblAlgn val="ctr"/>
        <c:lblOffset val="100"/>
      </c:catAx>
      <c:valAx>
        <c:axId val="59794704"/>
        <c:scaling>
          <c:orientation val="minMax"/>
          <c:max val="1"/>
          <c:min val="0.97000000000000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4600374"/>
        <c:crossesAt val="0"/>
      </c:valAx>
      <c:catAx>
        <c:axId val="4861875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8101907"/>
        <c:crossesAt val="0"/>
        <c:auto val="1"/>
        <c:lblAlgn val="ctr"/>
        <c:lblOffset val="100"/>
      </c:catAx>
      <c:valAx>
        <c:axId val="88101907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8618754"/>
        <c:crossesAt val="0"/>
      </c:valAx>
      <c:catAx>
        <c:axId val="341979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2624292"/>
        <c:crossesAt val="0"/>
        <c:auto val="1"/>
        <c:lblAlgn val="ctr"/>
        <c:lblOffset val="100"/>
      </c:catAx>
      <c:valAx>
        <c:axId val="12624292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4197987"/>
        <c:crossesAt val="0"/>
      </c:valAx>
      <c:spPr>
        <a:noFill/>
        <a:ln>
          <a:solidFill>
            <a:srgbClr val="8eb4e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UP TIME CORREO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TI!$A$33</c:f>
              <c:strCache>
                <c:ptCount val="1"/>
                <c:pt idx="0">
                  <c:v>UP TIME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</c:spPr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TI!$B$33:$N$33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1</c:v>
                </c:pt>
              </c:numCache>
            </c:numRef>
          </c:val>
        </c:ser>
        <c:gapWidth val="150"/>
        <c:overlap val="100"/>
        <c:axId val="27964371"/>
        <c:axId val="63917461"/>
      </c:barChart>
      <c:lineChart>
        <c:grouping val="stacked"/>
        <c:ser>
          <c:idx val="0"/>
          <c:order val="0"/>
          <c:tx>
            <c:strRef>
              <c:f>TI!$A$35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ff0000"/>
            </a:solidFill>
            <a:ln w="381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TI!$B$35:$N$35</c:f>
              <c:numCache>
                <c:formatCode>General</c:formatCode>
                <c:ptCount val="13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</c:numCache>
            </c:numRef>
          </c:val>
        </c:ser>
        <c:marker val="0"/>
        <c:axId val="4900683"/>
        <c:axId val="67662150"/>
      </c:lineChart>
      <c:lineChart>
        <c:grouping val="stacked"/>
        <c:ser>
          <c:idx val="0"/>
          <c:order val="0"/>
          <c:tx>
            <c:strRef>
              <c:f>TI!$A$34</c:f>
              <c:strCache>
                <c:ptCount val="1"/>
                <c:pt idx="0">
                  <c:v>INCIDENCIAS</c:v>
                </c:pt>
              </c:strCache>
            </c:strRef>
          </c:tx>
          <c:spPr>
            <a:solidFill>
              <a:srgbClr val="46aac4"/>
            </a:solidFill>
            <a:ln w="4428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TI!$B$34:$N$34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0</c:v>
                </c:pt>
              </c:numCache>
            </c:numRef>
          </c:val>
        </c:ser>
        <c:marker val="0"/>
        <c:axId val="20890007"/>
        <c:axId val="46605633"/>
      </c:lineChart>
      <c:catAx>
        <c:axId val="279643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3917461"/>
        <c:crossesAt val="0"/>
        <c:auto val="1"/>
        <c:lblAlgn val="ctr"/>
        <c:lblOffset val="100"/>
      </c:catAx>
      <c:valAx>
        <c:axId val="63917461"/>
        <c:scaling>
          <c:orientation val="minMax"/>
          <c:max val="1"/>
          <c:min val="0.97000000000000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7964371"/>
        <c:crossesAt val="0"/>
      </c:valAx>
      <c:catAx>
        <c:axId val="49006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7662150"/>
        <c:crossesAt val="0"/>
        <c:auto val="1"/>
        <c:lblAlgn val="ctr"/>
        <c:lblOffset val="100"/>
      </c:catAx>
      <c:valAx>
        <c:axId val="67662150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900683"/>
        <c:crossesAt val="0"/>
      </c:valAx>
      <c:catAx>
        <c:axId val="20890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6605633"/>
        <c:crossesAt val="0"/>
        <c:auto val="1"/>
        <c:lblAlgn val="ctr"/>
        <c:lblOffset val="100"/>
      </c:catAx>
      <c:valAx>
        <c:axId val="46605633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0890007"/>
        <c:crossesAt val="0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UP TIME  INTERNET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TI!$A$40</c:f>
              <c:strCache>
                <c:ptCount val="1"/>
                <c:pt idx="0">
                  <c:v>UP TIME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</c:spPr>
          <c:cat>
            <c:strRef>
              <c:f>TI!$B$25:$N$25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TI!$B$40:$N$40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0.333333333333333</c:v>
                </c:pt>
              </c:numCache>
            </c:numRef>
          </c:val>
        </c:ser>
        <c:gapWidth val="150"/>
        <c:overlap val="100"/>
        <c:axId val="26598589"/>
        <c:axId val="51843903"/>
      </c:barChart>
      <c:lineChart>
        <c:grouping val="stacked"/>
        <c:ser>
          <c:idx val="0"/>
          <c:order val="0"/>
          <c:tx>
            <c:strRef>
              <c:f>TI!$A$42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ff0000"/>
            </a:solidFill>
            <a:ln w="381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TI!$B$25:$N$25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TI!$B$42:$N$42</c:f>
              <c:numCache>
                <c:formatCode>General</c:formatCode>
                <c:ptCount val="13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</c:numCache>
            </c:numRef>
          </c:val>
        </c:ser>
        <c:marker val="0"/>
        <c:axId val="27769796"/>
        <c:axId val="20874684"/>
      </c:lineChart>
      <c:lineChart>
        <c:grouping val="stacked"/>
        <c:ser>
          <c:idx val="0"/>
          <c:order val="0"/>
          <c:tx>
            <c:strRef>
              <c:f>TI!$A$41</c:f>
              <c:strCache>
                <c:ptCount val="1"/>
                <c:pt idx="0">
                  <c:v>INCIDENCIAS</c:v>
                </c:pt>
              </c:strCache>
            </c:strRef>
          </c:tx>
          <c:spPr>
            <a:solidFill>
              <a:srgbClr val="46aac4"/>
            </a:solidFill>
            <a:ln w="4428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TI!$B$25:$N$25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TI!$B$41:$N$41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marker val="0"/>
        <c:axId val="31056192"/>
        <c:axId val="99077613"/>
      </c:lineChart>
      <c:catAx>
        <c:axId val="2659858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1843903"/>
        <c:crossesAt val="0"/>
        <c:auto val="1"/>
        <c:lblAlgn val="ctr"/>
        <c:lblOffset val="100"/>
      </c:catAx>
      <c:valAx>
        <c:axId val="51843903"/>
        <c:scaling>
          <c:orientation val="minMax"/>
          <c:max val="1"/>
          <c:min val="0.97000000000000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6598589"/>
        <c:crossesAt val="0"/>
      </c:valAx>
      <c:catAx>
        <c:axId val="277697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0874684"/>
        <c:crossesAt val="0"/>
        <c:auto val="1"/>
        <c:lblAlgn val="ctr"/>
        <c:lblOffset val="100"/>
      </c:catAx>
      <c:valAx>
        <c:axId val="20874684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7769796"/>
        <c:crossesAt val="0"/>
      </c:valAx>
      <c:catAx>
        <c:axId val="310561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9077613"/>
        <c:crossesAt val="0"/>
        <c:auto val="1"/>
        <c:lblAlgn val="ctr"/>
        <c:lblOffset val="100"/>
      </c:catAx>
      <c:valAx>
        <c:axId val="99077613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056192"/>
        <c:crossesAt val="0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UP TIME RED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"UP TIME"</c:f>
              <c:strCache>
                <c:ptCount val="1"/>
                <c:pt idx="0">
                  <c:v>UP TIME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</c:spPr>
          <c:cat>
            <c:strRef>
              <c:f>TI!$B$60:$N$60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TI!$B$47:$N$47</c:f>
              <c:numCache>
                <c:formatCode>General</c:formatCode>
                <c:ptCount val="13"/>
                <c:pt idx="0">
                  <c:v>0.999905303030303</c:v>
                </c:pt>
                <c:pt idx="1">
                  <c:v>0.996590909090909</c:v>
                </c:pt>
                <c:pt idx="2">
                  <c:v>0.997727272727273</c:v>
                </c:pt>
                <c:pt idx="3">
                  <c:v>0.999905303030303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0.998532196969697</c:v>
                </c:pt>
              </c:numCache>
            </c:numRef>
          </c:val>
        </c:ser>
        <c:gapWidth val="150"/>
        <c:overlap val="100"/>
        <c:axId val="31202642"/>
        <c:axId val="4582272"/>
      </c:barChart>
      <c:lineChart>
        <c:grouping val="stacked"/>
        <c:ser>
          <c:idx val="0"/>
          <c:order val="0"/>
          <c:tx>
            <c:strRef>
              <c:f>TI!$A$49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ff0000"/>
            </a:solidFill>
            <a:ln w="381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TI!$B$60:$N$60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TI!$B$49:$N$49</c:f>
              <c:numCache>
                <c:formatCode>General</c:formatCode>
                <c:ptCount val="13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</c:numCache>
            </c:numRef>
          </c:val>
        </c:ser>
        <c:marker val="0"/>
        <c:axId val="2698923"/>
        <c:axId val="48224008"/>
      </c:lineChart>
      <c:lineChart>
        <c:grouping val="stacked"/>
        <c:ser>
          <c:idx val="0"/>
          <c:order val="0"/>
          <c:tx>
            <c:strRef>
              <c:f>TI!$A$48</c:f>
              <c:strCache>
                <c:ptCount val="1"/>
                <c:pt idx="0">
                  <c:v>INCIDENCIAS</c:v>
                </c:pt>
              </c:strCache>
            </c:strRef>
          </c:tx>
          <c:spPr>
            <a:solidFill>
              <a:srgbClr val="46aac4"/>
            </a:solidFill>
            <a:ln w="4428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TI!$B$60:$N$60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TI!$B$48:$N$48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5</c:v>
                </c:pt>
              </c:numCache>
            </c:numRef>
          </c:val>
        </c:ser>
        <c:marker val="0"/>
        <c:axId val="33154913"/>
        <c:axId val="56662617"/>
      </c:lineChart>
      <c:catAx>
        <c:axId val="3120264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582272"/>
        <c:crossesAt val="0"/>
        <c:auto val="1"/>
        <c:lblAlgn val="ctr"/>
        <c:lblOffset val="100"/>
      </c:catAx>
      <c:valAx>
        <c:axId val="4582272"/>
        <c:scaling>
          <c:orientation val="minMax"/>
          <c:max val="1"/>
          <c:min val="0.97000000000000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202642"/>
        <c:crossesAt val="0"/>
      </c:valAx>
      <c:catAx>
        <c:axId val="26989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8224008"/>
        <c:crossesAt val="0"/>
        <c:auto val="1"/>
        <c:lblAlgn val="ctr"/>
        <c:lblOffset val="100"/>
      </c:catAx>
      <c:valAx>
        <c:axId val="48224008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698923"/>
        <c:crossesAt val="0"/>
      </c:valAx>
      <c:catAx>
        <c:axId val="3315491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6662617"/>
        <c:crossesAt val="0"/>
        <c:auto val="1"/>
        <c:lblAlgn val="ctr"/>
        <c:lblOffset val="100"/>
      </c:catAx>
      <c:valAx>
        <c:axId val="56662617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3154913"/>
        <c:crossesAt val="0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'Datos costos'!$A$3</c:f>
              <c:strCache>
                <c:ptCount val="1"/>
                <c:pt idx="0">
                  <c:v>Presupuesto</c:v>
                </c:pt>
              </c:strCache>
            </c:strRef>
          </c:tx>
          <c:spPr>
            <a:solidFill>
              <a:srgbClr val="4f81bd"/>
            </a:solidFill>
            <a:ln w="38160">
              <a:noFill/>
            </a:ln>
          </c:spPr>
          <c:cat>
            <c:strRef>
              <c:f>'Datos costos'!$B$1:$M$1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'Datos costos'!$B$7:$M$7</c:f>
              <c:numCache>
                <c:formatCode>General</c:formatCode>
                <c:ptCount val="12"/>
                <c:pt idx="0">
                  <c:v>22503.3594892868</c:v>
                </c:pt>
                <c:pt idx="1">
                  <c:v>24083.2681443077</c:v>
                </c:pt>
                <c:pt idx="2">
                  <c:v>24092.8681443077</c:v>
                </c:pt>
                <c:pt idx="3">
                  <c:v>24083.2681443077</c:v>
                </c:pt>
                <c:pt idx="4">
                  <c:v>24002.9890958713</c:v>
                </c:pt>
                <c:pt idx="5">
                  <c:v>24093.6681443077</c:v>
                </c:pt>
                <c:pt idx="6">
                  <c:v>25191.0220801959</c:v>
                </c:pt>
                <c:pt idx="7">
                  <c:v>24083.2681443077</c:v>
                </c:pt>
                <c:pt idx="8">
                  <c:v>24091.2681443077</c:v>
                </c:pt>
                <c:pt idx="9">
                  <c:v>24083.2681443077</c:v>
                </c:pt>
                <c:pt idx="10">
                  <c:v>24226.1261443077</c:v>
                </c:pt>
                <c:pt idx="11">
                  <c:v>24091.2681443077</c:v>
                </c:pt>
              </c:numCache>
            </c:numRef>
          </c:val>
        </c:ser>
        <c:ser>
          <c:idx val="1"/>
          <c:order val="1"/>
          <c:tx>
            <c:strRef>
              <c:f>'Datos costos'!$A$16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8064a2"/>
            </a:solidFill>
            <a:ln w="44280">
              <a:noFill/>
            </a:ln>
          </c:spPr>
          <c:cat>
            <c:strRef>
              <c:f>'Datos costos'!$B$1:$M$1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'Datos costos'!$B$26:$G$26</c:f>
              <c:numCache>
                <c:formatCode>General</c:formatCode>
                <c:ptCount val="6"/>
                <c:pt idx="0">
                  <c:v>26538.471</c:v>
                </c:pt>
                <c:pt idx="1">
                  <c:v>24227.264</c:v>
                </c:pt>
                <c:pt idx="2">
                  <c:v>25691.794</c:v>
                </c:pt>
                <c:pt idx="3">
                  <c:v>11611.135</c:v>
                </c:pt>
                <c:pt idx="4">
                  <c:v>15893.935</c:v>
                </c:pt>
                <c:pt idx="5">
                  <c:v>31268.5</c:v>
                </c:pt>
              </c:numCache>
            </c:numRef>
          </c:val>
        </c:ser>
        <c:gapWidth val="150"/>
        <c:axId val="81440743"/>
        <c:axId val="16952329"/>
      </c:barChart>
      <c:catAx>
        <c:axId val="814407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6952329"/>
        <c:crossesAt val="0"/>
        <c:auto val="1"/>
        <c:lblAlgn val="ctr"/>
        <c:lblOffset val="100"/>
      </c:catAx>
      <c:valAx>
        <c:axId val="16952329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ffffff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1440743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UP TIME GENERAL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TI!$A$61</c:f>
              <c:strCache>
                <c:ptCount val="1"/>
                <c:pt idx="0">
                  <c:v>UP TIME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</c:spPr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TI!$B$61:$N$61</c:f>
              <c:numCache>
                <c:formatCode>General</c:formatCode>
                <c:ptCount val="13"/>
                <c:pt idx="0">
                  <c:v>0.999976325757576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</c:ser>
        <c:gapWidth val="150"/>
        <c:overlap val="100"/>
        <c:axId val="88425608"/>
        <c:axId val="15396065"/>
      </c:barChart>
      <c:lineChart>
        <c:grouping val="stacked"/>
        <c:ser>
          <c:idx val="0"/>
          <c:order val="0"/>
          <c:tx>
            <c:strRef>
              <c:f>TI!$A$63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ff0000"/>
            </a:solidFill>
            <a:ln w="381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TI!$B$63:$N$63</c:f>
              <c:numCache>
                <c:formatCode>General</c:formatCode>
                <c:ptCount val="13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</c:numCache>
            </c:numRef>
          </c:val>
        </c:ser>
        <c:marker val="0"/>
        <c:axId val="72023659"/>
        <c:axId val="73229685"/>
      </c:lineChart>
      <c:lineChart>
        <c:grouping val="stacked"/>
        <c:ser>
          <c:idx val="0"/>
          <c:order val="0"/>
          <c:tx>
            <c:strRef>
              <c:f>TI!$A$62</c:f>
              <c:strCache>
                <c:ptCount val="1"/>
                <c:pt idx="0">
                  <c:v>INCIDENCIAS</c:v>
                </c:pt>
              </c:strCache>
            </c:strRef>
          </c:tx>
          <c:spPr>
            <a:solidFill>
              <a:srgbClr val="46aac4"/>
            </a:solidFill>
            <a:ln w="4428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TI!$B$62:$N$62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6</c:v>
                </c:pt>
              </c:numCache>
            </c:numRef>
          </c:val>
        </c:ser>
        <c:marker val="0"/>
        <c:axId val="72958330"/>
        <c:axId val="61767208"/>
      </c:lineChart>
      <c:catAx>
        <c:axId val="884256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5396065"/>
        <c:crossesAt val="0"/>
        <c:auto val="1"/>
        <c:lblAlgn val="ctr"/>
        <c:lblOffset val="100"/>
      </c:catAx>
      <c:valAx>
        <c:axId val="15396065"/>
        <c:scaling>
          <c:orientation val="minMax"/>
          <c:max val="1"/>
          <c:min val="0.97000000000000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8425608"/>
        <c:crossesAt val="0"/>
      </c:valAx>
      <c:catAx>
        <c:axId val="720236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3229685"/>
        <c:crossesAt val="0"/>
        <c:auto val="1"/>
        <c:lblAlgn val="ctr"/>
        <c:lblOffset val="100"/>
      </c:catAx>
      <c:valAx>
        <c:axId val="73229685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2023659"/>
        <c:crossesAt val="0"/>
      </c:valAx>
      <c:catAx>
        <c:axId val="7295833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1767208"/>
        <c:crossesAt val="0"/>
        <c:auto val="1"/>
        <c:lblAlgn val="ctr"/>
        <c:lblOffset val="100"/>
      </c:catAx>
      <c:valAx>
        <c:axId val="61767208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2958330"/>
        <c:crossesAt val="0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UP TIME  SAMAC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TI!$A$54</c:f>
              <c:strCache>
                <c:ptCount val="1"/>
                <c:pt idx="0">
                  <c:v>UP TIME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</c:spPr>
          <c:cat>
            <c:strRef>
              <c:f>TI!$B$25:$N$25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TI!$B$54:$N$54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1</c:v>
                </c:pt>
              </c:numCache>
            </c:numRef>
          </c:val>
        </c:ser>
        <c:gapWidth val="150"/>
        <c:overlap val="100"/>
        <c:axId val="16940020"/>
        <c:axId val="39564025"/>
      </c:barChart>
      <c:lineChart>
        <c:grouping val="stacked"/>
        <c:ser>
          <c:idx val="0"/>
          <c:order val="0"/>
          <c:tx>
            <c:strRef>
              <c:f>TI!$A$56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ff0000"/>
            </a:solidFill>
            <a:ln w="381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TI!$B$25:$N$25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TI!$B$56:$N$56</c:f>
              <c:numCache>
                <c:formatCode>General</c:formatCode>
                <c:ptCount val="13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</c:numCache>
            </c:numRef>
          </c:val>
        </c:ser>
        <c:marker val="0"/>
        <c:axId val="89893518"/>
        <c:axId val="89429850"/>
      </c:lineChart>
      <c:lineChart>
        <c:grouping val="stacked"/>
        <c:ser>
          <c:idx val="0"/>
          <c:order val="0"/>
          <c:tx>
            <c:strRef>
              <c:f>TI!$A$55</c:f>
              <c:strCache>
                <c:ptCount val="1"/>
                <c:pt idx="0">
                  <c:v>INCIDENCIAS</c:v>
                </c:pt>
              </c:strCache>
            </c:strRef>
          </c:tx>
          <c:spPr>
            <a:solidFill>
              <a:srgbClr val="46aac4"/>
            </a:solidFill>
            <a:ln w="4428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TI!$B$25:$N$25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TI!$B$55:$N$55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0</c:v>
                </c:pt>
              </c:numCache>
            </c:numRef>
          </c:val>
        </c:ser>
        <c:marker val="0"/>
        <c:axId val="93517784"/>
        <c:axId val="79947818"/>
      </c:lineChart>
      <c:catAx>
        <c:axId val="169400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9564025"/>
        <c:crossesAt val="0"/>
        <c:auto val="1"/>
        <c:lblAlgn val="ctr"/>
        <c:lblOffset val="100"/>
      </c:catAx>
      <c:valAx>
        <c:axId val="39564025"/>
        <c:scaling>
          <c:orientation val="minMax"/>
          <c:max val="1"/>
          <c:min val="0.97000000000000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6940020"/>
        <c:crossesAt val="0"/>
      </c:valAx>
      <c:catAx>
        <c:axId val="8989351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9429850"/>
        <c:crossesAt val="0"/>
        <c:auto val="1"/>
        <c:lblAlgn val="ctr"/>
        <c:lblOffset val="100"/>
      </c:catAx>
      <c:valAx>
        <c:axId val="89429850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9893518"/>
        <c:crossesAt val="0"/>
      </c:valAx>
      <c:catAx>
        <c:axId val="935177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9947818"/>
        <c:crossesAt val="0"/>
        <c:auto val="1"/>
        <c:lblAlgn val="ctr"/>
        <c:lblOffset val="100"/>
      </c:catAx>
      <c:valAx>
        <c:axId val="79947818"/>
        <c:scaling>
          <c:orientation val="minMax"/>
          <c:max val="1"/>
          <c:min val="0.970000000000001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3517784"/>
        <c:crossesAt val="0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Ticket de mesa de ayuda (2222)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TI!$A$12</c:f>
              <c:strCache>
                <c:ptCount val="1"/>
                <c:pt idx="0">
                  <c:v>Tiempo atención promedio (Horas)</c:v>
                </c:pt>
              </c:strCache>
            </c:strRef>
          </c:tx>
          <c:spPr>
            <a:solidFill>
              <a:srgbClr val="ff0000"/>
            </a:solidFill>
            <a:ln w="633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</c:dLbls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TI!$B$12:$N$12</c:f>
              <c:numCache>
                <c:formatCode>General</c:formatCode>
                <c:ptCount val="13"/>
                <c:pt idx="0">
                  <c:v>5.4</c:v>
                </c:pt>
                <c:pt idx="1">
                  <c:v>3.6</c:v>
                </c:pt>
                <c:pt idx="2">
                  <c:v>4.9</c:v>
                </c:pt>
                <c:pt idx="3">
                  <c:v>4.28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4.545</c:v>
                </c:pt>
              </c:numCache>
            </c:numRef>
          </c:val>
        </c:ser>
        <c:marker val="0"/>
        <c:axId val="42795838"/>
        <c:axId val="18508012"/>
      </c:lineChart>
      <c:lineChart>
        <c:grouping val="standard"/>
        <c:ser>
          <c:idx val="0"/>
          <c:order val="0"/>
          <c:tx>
            <c:strRef>
              <c:f>TI!$A$11</c:f>
              <c:strCache>
                <c:ptCount val="1"/>
                <c:pt idx="0">
                  <c:v>Cantidad de tickets</c:v>
                </c:pt>
              </c:strCache>
            </c:strRef>
          </c:tx>
          <c:spPr>
            <a:solidFill>
              <a:srgbClr val="46aac4"/>
            </a:solidFill>
            <a:ln w="6336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</c:dLbls>
          <c:cat>
            <c:strRef>
              <c:f>TI!$B$15:$N$15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Acum</c:v>
                </c:pt>
              </c:strCache>
            </c:strRef>
          </c:cat>
          <c:val>
            <c:numRef>
              <c:f>TI!$B$11:$N$11</c:f>
              <c:numCache>
                <c:formatCode>General</c:formatCode>
                <c:ptCount val="13"/>
                <c:pt idx="0">
                  <c:v>310</c:v>
                </c:pt>
                <c:pt idx="1">
                  <c:v>289</c:v>
                </c:pt>
                <c:pt idx="2">
                  <c:v>286</c:v>
                </c:pt>
                <c:pt idx="3">
                  <c:v>365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312.5</c:v>
                </c:pt>
              </c:numCache>
            </c:numRef>
          </c:val>
        </c:ser>
        <c:marker val="0"/>
        <c:axId val="76893580"/>
        <c:axId val="29520901"/>
      </c:lineChart>
      <c:catAx>
        <c:axId val="4279583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8508012"/>
        <c:crossesAt val="0"/>
        <c:auto val="1"/>
        <c:lblAlgn val="ctr"/>
        <c:lblOffset val="100"/>
      </c:catAx>
      <c:valAx>
        <c:axId val="185080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2795838"/>
        <c:crossesAt val="0"/>
      </c:valAx>
      <c:catAx>
        <c:axId val="768935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9520901"/>
        <c:crossesAt val="0"/>
        <c:auto val="1"/>
        <c:lblAlgn val="ctr"/>
        <c:lblOffset val="100"/>
      </c:catAx>
      <c:valAx>
        <c:axId val="29520901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6893580"/>
        <c:crosses val="max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Relationship Id="rId3" Type="http://schemas.openxmlformats.org/officeDocument/2006/relationships/image" Target="../media/image2.png"/><Relationship Id="rId4" Type="http://schemas.openxmlformats.org/officeDocument/2006/relationships/chart" Target="../charts/chart2.xml"/><Relationship Id="rId5" Type="http://schemas.openxmlformats.org/officeDocument/2006/relationships/chart" Target="../charts/chart3.xml"/><Relationship Id="rId6" Type="http://schemas.openxmlformats.org/officeDocument/2006/relationships/chart" Target="../charts/chart4.xml"/><Relationship Id="rId7" Type="http://schemas.openxmlformats.org/officeDocument/2006/relationships/chart" Target="../charts/chart5.xml"/><Relationship Id="rId8" Type="http://schemas.openxmlformats.org/officeDocument/2006/relationships/chart" Target="../charts/chart6.xml"/><Relationship Id="rId9" Type="http://schemas.openxmlformats.org/officeDocument/2006/relationships/chart" Target="../charts/chart7.xml"/><Relationship Id="rId10" Type="http://schemas.openxmlformats.org/officeDocument/2006/relationships/chart" Target="../charts/chart8.xml"/><Relationship Id="rId11" Type="http://schemas.openxmlformats.org/officeDocument/2006/relationships/chart" Target="../charts/chart9.xml"/><Relationship Id="rId12" Type="http://schemas.openxmlformats.org/officeDocument/2006/relationships/chart" Target="../charts/chart10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60840</xdr:colOff>
      <xdr:row>4</xdr:row>
      <xdr:rowOff>250200</xdr:rowOff>
    </xdr:from>
    <xdr:to>
      <xdr:col>18</xdr:col>
      <xdr:colOff>278280</xdr:colOff>
      <xdr:row>5</xdr:row>
      <xdr:rowOff>358920</xdr:rowOff>
    </xdr:to>
    <xdr:sp>
      <xdr:nvSpPr>
        <xdr:cNvPr id="0" name="CustomShape 1"/>
        <xdr:cNvSpPr/>
      </xdr:nvSpPr>
      <xdr:spPr>
        <a:xfrm>
          <a:off x="393480" y="1697760"/>
          <a:ext cx="20406600" cy="480240"/>
        </a:xfrm>
        <a:prstGeom prst="rect">
          <a:avLst/>
        </a:prstGeom>
        <a:solidFill>
          <a:srgbClr val="e46c0a"/>
        </a:solidFill>
        <a:ln>
          <a:solidFill>
            <a:srgbClr val="a6a6a6"/>
          </a:solidFill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b="1" lang="es-CL">
              <a:solidFill>
                <a:srgbClr val="ffffff"/>
              </a:solidFill>
              <a:latin typeface="Calibri"/>
            </a:rPr>
            <a:t>1) RESULTADOS DE SERVICIOS  en M$</a:t>
          </a:r>
          <a:endParaRPr/>
        </a:p>
      </xdr:txBody>
    </xdr:sp>
    <xdr:clientData/>
  </xdr:twoCellAnchor>
  <xdr:twoCellAnchor editAs="oneCell">
    <xdr:from>
      <xdr:col>2</xdr:col>
      <xdr:colOff>885240</xdr:colOff>
      <xdr:row>33</xdr:row>
      <xdr:rowOff>94680</xdr:rowOff>
    </xdr:from>
    <xdr:to>
      <xdr:col>18</xdr:col>
      <xdr:colOff>503640</xdr:colOff>
      <xdr:row>34</xdr:row>
      <xdr:rowOff>212040</xdr:rowOff>
    </xdr:to>
    <xdr:sp>
      <xdr:nvSpPr>
        <xdr:cNvPr id="1" name="CustomShape 1"/>
        <xdr:cNvSpPr/>
      </xdr:nvSpPr>
      <xdr:spPr>
        <a:xfrm>
          <a:off x="1217880" y="12076920"/>
          <a:ext cx="19807560" cy="498240"/>
        </a:xfrm>
        <a:prstGeom prst="rect">
          <a:avLst/>
        </a:prstGeom>
        <a:solidFill>
          <a:srgbClr val="e46c0a"/>
        </a:solidFill>
        <a:ln>
          <a:solidFill>
            <a:srgbClr val="a6a6a6"/>
          </a:solidFill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b="1" lang="es-CL">
              <a:solidFill>
                <a:srgbClr val="ffffff"/>
              </a:solidFill>
              <a:latin typeface="Calibri"/>
            </a:rPr>
            <a:t>2) GRÁFICA COSTOS ACUMULADOS  en MM$</a:t>
          </a:r>
          <a:endParaRPr/>
        </a:p>
      </xdr:txBody>
    </xdr:sp>
    <xdr:clientData/>
  </xdr:twoCellAnchor>
  <xdr:twoCellAnchor editAs="oneCell">
    <xdr:from>
      <xdr:col>22</xdr:col>
      <xdr:colOff>92160</xdr:colOff>
      <xdr:row>4</xdr:row>
      <xdr:rowOff>219960</xdr:rowOff>
    </xdr:from>
    <xdr:to>
      <xdr:col>36</xdr:col>
      <xdr:colOff>1386720</xdr:colOff>
      <xdr:row>5</xdr:row>
      <xdr:rowOff>304920</xdr:rowOff>
    </xdr:to>
    <xdr:sp>
      <xdr:nvSpPr>
        <xdr:cNvPr id="2" name="CustomShape 1"/>
        <xdr:cNvSpPr/>
      </xdr:nvSpPr>
      <xdr:spPr>
        <a:xfrm>
          <a:off x="21974040" y="1667520"/>
          <a:ext cx="19314720" cy="456480"/>
        </a:xfrm>
        <a:prstGeom prst="rect">
          <a:avLst/>
        </a:prstGeom>
        <a:solidFill>
          <a:srgbClr val="e46c0a"/>
        </a:solidFill>
        <a:ln>
          <a:solidFill>
            <a:srgbClr val="a6a6a6"/>
          </a:solidFill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b="1" lang="es-CL">
              <a:solidFill>
                <a:srgbClr val="ffffff"/>
              </a:solidFill>
              <a:latin typeface="Calibri"/>
            </a:rPr>
            <a:t>2) INDICADORES DE SERVICIO</a:t>
          </a:r>
          <a:endParaRPr/>
        </a:p>
      </xdr:txBody>
    </xdr:sp>
    <xdr:clientData/>
  </xdr:twoCellAnchor>
  <xdr:twoCellAnchor editAs="oneCell">
    <xdr:from>
      <xdr:col>32</xdr:col>
      <xdr:colOff>335160</xdr:colOff>
      <xdr:row>1</xdr:row>
      <xdr:rowOff>112320</xdr:rowOff>
    </xdr:from>
    <xdr:to>
      <xdr:col>33</xdr:col>
      <xdr:colOff>1108080</xdr:colOff>
      <xdr:row>3</xdr:row>
      <xdr:rowOff>62640</xdr:rowOff>
    </xdr:to>
    <xdr:pic>
      <xdr:nvPicPr>
        <xdr:cNvPr descr="" id="3" name="Picture 3"/>
        <xdr:cNvPicPr/>
      </xdr:nvPicPr>
      <xdr:blipFill>
        <a:blip r:embed="rId1"/>
        <a:srcRect b="37946" l="54683" r="12592" t="47316"/>
        <a:stretch>
          <a:fillRect/>
        </a:stretch>
      </xdr:blipFill>
      <xdr:spPr>
        <a:xfrm>
          <a:off x="34028640" y="464400"/>
          <a:ext cx="2334960" cy="684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867960</xdr:colOff>
      <xdr:row>34</xdr:row>
      <xdr:rowOff>270000</xdr:rowOff>
    </xdr:from>
    <xdr:to>
      <xdr:col>18</xdr:col>
      <xdr:colOff>486360</xdr:colOff>
      <xdr:row>45</xdr:row>
      <xdr:rowOff>36000</xdr:rowOff>
    </xdr:to>
    <xdr:graphicFrame>
      <xdr:nvGraphicFramePr>
        <xdr:cNvPr id="4" name="1 Gráfico"/>
        <xdr:cNvGraphicFramePr/>
      </xdr:nvGraphicFramePr>
      <xdr:xfrm>
        <a:off x="1200600" y="12633120"/>
        <a:ext cx="19807560" cy="395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149400</xdr:colOff>
      <xdr:row>25</xdr:row>
      <xdr:rowOff>439200</xdr:rowOff>
    </xdr:from>
    <xdr:to>
      <xdr:col>29</xdr:col>
      <xdr:colOff>205920</xdr:colOff>
      <xdr:row>27</xdr:row>
      <xdr:rowOff>95760</xdr:rowOff>
    </xdr:to>
    <xdr:sp>
      <xdr:nvSpPr>
        <xdr:cNvPr id="5" name="CustomShape 1"/>
        <xdr:cNvSpPr/>
      </xdr:nvSpPr>
      <xdr:spPr>
        <a:xfrm>
          <a:off x="22031280" y="9601920"/>
          <a:ext cx="9288720" cy="4662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2</xdr:col>
      <xdr:colOff>54000</xdr:colOff>
      <xdr:row>1</xdr:row>
      <xdr:rowOff>29520</xdr:rowOff>
    </xdr:from>
    <xdr:to>
      <xdr:col>3</xdr:col>
      <xdr:colOff>310680</xdr:colOff>
      <xdr:row>3</xdr:row>
      <xdr:rowOff>314640</xdr:rowOff>
    </xdr:to>
    <xdr:pic>
      <xdr:nvPicPr>
        <xdr:cNvPr descr="" id="6" name="Imagen 1"/>
        <xdr:cNvPicPr/>
      </xdr:nvPicPr>
      <xdr:blipFill>
        <a:blip r:embed="rId3"/>
        <a:srcRect b="8613253" l="0" r="0" t="0"/>
        <a:stretch>
          <a:fillRect/>
        </a:stretch>
      </xdr:blipFill>
      <xdr:spPr>
        <a:xfrm>
          <a:off x="386640" y="381600"/>
          <a:ext cx="2221920" cy="1018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22</xdr:col>
      <xdr:colOff>130320</xdr:colOff>
      <xdr:row>6</xdr:row>
      <xdr:rowOff>153360</xdr:rowOff>
    </xdr:from>
    <xdr:to>
      <xdr:col>28</xdr:col>
      <xdr:colOff>1265760</xdr:colOff>
      <xdr:row>18</xdr:row>
      <xdr:rowOff>119880</xdr:rowOff>
    </xdr:to>
    <xdr:graphicFrame>
      <xdr:nvGraphicFramePr>
        <xdr:cNvPr id="7" name="40 Gráfico"/>
        <xdr:cNvGraphicFramePr/>
      </xdr:nvGraphicFramePr>
      <xdr:xfrm>
        <a:off x="22012200" y="2439360"/>
        <a:ext cx="9047520" cy="43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23</xdr:col>
      <xdr:colOff>54000</xdr:colOff>
      <xdr:row>19</xdr:row>
      <xdr:rowOff>325080</xdr:rowOff>
    </xdr:from>
    <xdr:to>
      <xdr:col>28</xdr:col>
      <xdr:colOff>1253520</xdr:colOff>
      <xdr:row>31</xdr:row>
      <xdr:rowOff>305280</xdr:rowOff>
    </xdr:to>
    <xdr:graphicFrame>
      <xdr:nvGraphicFramePr>
        <xdr:cNvPr id="8" name="30 Gráfico"/>
        <xdr:cNvGraphicFramePr/>
      </xdr:nvGraphicFramePr>
      <xdr:xfrm>
        <a:off x="22157640" y="7373520"/>
        <a:ext cx="8889840" cy="415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30</xdr:col>
      <xdr:colOff>348480</xdr:colOff>
      <xdr:row>19</xdr:row>
      <xdr:rowOff>334440</xdr:rowOff>
    </xdr:from>
    <xdr:to>
      <xdr:col>36</xdr:col>
      <xdr:colOff>742680</xdr:colOff>
      <xdr:row>31</xdr:row>
      <xdr:rowOff>286200</xdr:rowOff>
    </xdr:to>
    <xdr:graphicFrame>
      <xdr:nvGraphicFramePr>
        <xdr:cNvPr id="9" name="34 Gráfico"/>
        <xdr:cNvGraphicFramePr/>
      </xdr:nvGraphicFramePr>
      <xdr:xfrm>
        <a:off x="31704120" y="7382880"/>
        <a:ext cx="8940600" cy="412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22</xdr:col>
      <xdr:colOff>209880</xdr:colOff>
      <xdr:row>33</xdr:row>
      <xdr:rowOff>328320</xdr:rowOff>
    </xdr:from>
    <xdr:to>
      <xdr:col>28</xdr:col>
      <xdr:colOff>1201320</xdr:colOff>
      <xdr:row>44</xdr:row>
      <xdr:rowOff>222120</xdr:rowOff>
    </xdr:to>
    <xdr:graphicFrame>
      <xdr:nvGraphicFramePr>
        <xdr:cNvPr id="10" name="20 Gráfico"/>
        <xdr:cNvGraphicFramePr/>
      </xdr:nvGraphicFramePr>
      <xdr:xfrm>
        <a:off x="22091760" y="12310560"/>
        <a:ext cx="8903520" cy="408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30</xdr:col>
      <xdr:colOff>175320</xdr:colOff>
      <xdr:row>33</xdr:row>
      <xdr:rowOff>362880</xdr:rowOff>
    </xdr:from>
    <xdr:to>
      <xdr:col>36</xdr:col>
      <xdr:colOff>578160</xdr:colOff>
      <xdr:row>44</xdr:row>
      <xdr:rowOff>256680</xdr:rowOff>
    </xdr:to>
    <xdr:graphicFrame>
      <xdr:nvGraphicFramePr>
        <xdr:cNvPr id="11" name="21 Gráfico"/>
        <xdr:cNvGraphicFramePr/>
      </xdr:nvGraphicFramePr>
      <xdr:xfrm>
        <a:off x="31530960" y="12345120"/>
        <a:ext cx="8949240" cy="408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</xdr:col>
      <xdr:colOff>992520</xdr:colOff>
      <xdr:row>18</xdr:row>
      <xdr:rowOff>14400</xdr:rowOff>
    </xdr:from>
    <xdr:to>
      <xdr:col>18</xdr:col>
      <xdr:colOff>416880</xdr:colOff>
      <xdr:row>19</xdr:row>
      <xdr:rowOff>200880</xdr:rowOff>
    </xdr:to>
    <xdr:sp>
      <xdr:nvSpPr>
        <xdr:cNvPr id="12" name="CustomShape 1"/>
        <xdr:cNvSpPr/>
      </xdr:nvSpPr>
      <xdr:spPr>
        <a:xfrm>
          <a:off x="1325160" y="6710400"/>
          <a:ext cx="19613520" cy="538920"/>
        </a:xfrm>
        <a:prstGeom prst="rect">
          <a:avLst/>
        </a:prstGeom>
        <a:solidFill>
          <a:srgbClr val="e46c0a"/>
        </a:solidFill>
        <a:ln>
          <a:solidFill>
            <a:srgbClr val="a6a6a6"/>
          </a:solidFill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b="1" lang="es-CL">
              <a:solidFill>
                <a:srgbClr val="ffffff"/>
              </a:solidFill>
              <a:latin typeface="Calibri"/>
            </a:rPr>
            <a:t>1) GRÁFICA COSTOS MM$</a:t>
          </a:r>
          <a:endParaRPr/>
        </a:p>
      </xdr:txBody>
    </xdr:sp>
    <xdr:clientData/>
  </xdr:twoCellAnchor>
  <xdr:twoCellAnchor editAs="oneCell">
    <xdr:from>
      <xdr:col>2</xdr:col>
      <xdr:colOff>954720</xdr:colOff>
      <xdr:row>19</xdr:row>
      <xdr:rowOff>270000</xdr:rowOff>
    </xdr:from>
    <xdr:to>
      <xdr:col>18</xdr:col>
      <xdr:colOff>362880</xdr:colOff>
      <xdr:row>30</xdr:row>
      <xdr:rowOff>331200</xdr:rowOff>
    </xdr:to>
    <xdr:graphicFrame>
      <xdr:nvGraphicFramePr>
        <xdr:cNvPr id="13" name="1 Gráfico"/>
        <xdr:cNvGraphicFramePr/>
      </xdr:nvGraphicFramePr>
      <xdr:xfrm>
        <a:off x="1287360" y="7318440"/>
        <a:ext cx="19597320" cy="385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30</xdr:col>
      <xdr:colOff>271800</xdr:colOff>
      <xdr:row>45</xdr:row>
      <xdr:rowOff>226800</xdr:rowOff>
    </xdr:from>
    <xdr:to>
      <xdr:col>36</xdr:col>
      <xdr:colOff>666000</xdr:colOff>
      <xdr:row>57</xdr:row>
      <xdr:rowOff>215280</xdr:rowOff>
    </xdr:to>
    <xdr:graphicFrame>
      <xdr:nvGraphicFramePr>
        <xdr:cNvPr id="14" name="18 Gráfico"/>
        <xdr:cNvGraphicFramePr/>
      </xdr:nvGraphicFramePr>
      <xdr:xfrm>
        <a:off x="31627440" y="16781040"/>
        <a:ext cx="8940600" cy="414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23</xdr:col>
      <xdr:colOff>38880</xdr:colOff>
      <xdr:row>45</xdr:row>
      <xdr:rowOff>195840</xdr:rowOff>
    </xdr:from>
    <xdr:to>
      <xdr:col>28</xdr:col>
      <xdr:colOff>1207800</xdr:colOff>
      <xdr:row>57</xdr:row>
      <xdr:rowOff>303840</xdr:rowOff>
    </xdr:to>
    <xdr:graphicFrame>
      <xdr:nvGraphicFramePr>
        <xdr:cNvPr id="15" name="22 Gráfico"/>
        <xdr:cNvGraphicFramePr/>
      </xdr:nvGraphicFramePr>
      <xdr:xfrm>
        <a:off x="22142520" y="16750080"/>
        <a:ext cx="8859240" cy="426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30</xdr:col>
      <xdr:colOff>244440</xdr:colOff>
      <xdr:row>6</xdr:row>
      <xdr:rowOff>182520</xdr:rowOff>
    </xdr:from>
    <xdr:to>
      <xdr:col>36</xdr:col>
      <xdr:colOff>777240</xdr:colOff>
      <xdr:row>18</xdr:row>
      <xdr:rowOff>149040</xdr:rowOff>
    </xdr:to>
    <xdr:graphicFrame>
      <xdr:nvGraphicFramePr>
        <xdr:cNvPr id="16" name="23 Gráfico"/>
        <xdr:cNvGraphicFramePr/>
      </xdr:nvGraphicFramePr>
      <xdr:xfrm>
        <a:off x="31600080" y="2468520"/>
        <a:ext cx="9079200" cy="43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0"/>
  <sheetViews>
    <sheetView colorId="64" defaultGridColor="true" rightToLeft="false" showFormulas="false" showGridLines="false" showOutlineSymbols="true" showRowColHeaders="true" showZeros="true" tabSelected="false" topLeftCell="L1" view="normal" windowProtection="false" workbookViewId="0" zoomScale="55" zoomScaleNormal="55" zoomScalePageLayoutView="100">
      <selection activeCell="P16" activeCellId="0" pane="topLeft" sqref="P16"/>
    </sheetView>
  </sheetViews>
  <sheetFormatPr defaultRowHeight="27.75"/>
  <cols>
    <col collapsed="false" hidden="false" max="1" min="1" style="1" width="2.57142857142857"/>
    <col collapsed="false" hidden="false" max="2" min="2" style="1" width="2.14285714285714"/>
    <col collapsed="false" hidden="false" max="3" min="3" style="1" width="27.8520408163265"/>
    <col collapsed="false" hidden="false" max="4" min="4" style="1" width="36.2857142857143"/>
    <col collapsed="false" hidden="false" max="5" min="5" style="1" width="16.8571428571429"/>
    <col collapsed="false" hidden="false" max="6" min="6" style="1" width="18.7091836734694"/>
    <col collapsed="false" hidden="false" max="7" min="7" style="1" width="13.0051020408163"/>
    <col collapsed="false" hidden="false" max="8" min="8" style="1" width="16.1428571428571"/>
    <col collapsed="false" hidden="false" max="9" min="9" style="1" width="9.28571428571429"/>
    <col collapsed="false" hidden="false" max="10" min="10" style="1" width="19.9948979591837"/>
    <col collapsed="false" hidden="false" max="11" min="11" style="1" width="21.7091836734694"/>
    <col collapsed="false" hidden="false" max="12" min="12" style="1" width="16"/>
    <col collapsed="false" hidden="false" max="13" min="13" style="1" width="16.4234693877551"/>
    <col collapsed="false" hidden="false" max="14" min="14" style="1" width="9.28571428571429"/>
    <col collapsed="false" hidden="false" max="15" min="15" style="1" width="17.4234693877551"/>
    <col collapsed="false" hidden="false" max="16" min="16" style="1" width="17"/>
    <col collapsed="false" hidden="false" max="17" min="17" style="1" width="14.8571428571429"/>
    <col collapsed="false" hidden="false" max="18" min="18" style="1" width="15.2908163265306"/>
    <col collapsed="false" hidden="false" max="19" min="19" style="1" width="9.28571428571429"/>
    <col collapsed="false" hidden="false" max="20" min="20" style="1" width="2.28571428571429"/>
    <col collapsed="false" hidden="false" max="21" min="21" style="1" width="3.99489795918367"/>
    <col collapsed="false" hidden="false" max="22" min="22" style="1" width="3.70918367346939"/>
    <col collapsed="false" hidden="false" max="23" min="23" style="1" width="3.14285714285714"/>
    <col collapsed="false" hidden="false" max="24" min="24" style="1" width="8.70918367346939"/>
    <col collapsed="false" hidden="false" max="25" min="25" style="1" width="39.8571428571429"/>
    <col collapsed="false" hidden="false" max="26" min="26" style="1" width="23.0051020408163"/>
    <col collapsed="false" hidden="false" max="29" min="27" style="1" width="18.7091836734694"/>
    <col collapsed="false" hidden="false" max="30" min="30" style="1" width="3.41836734693878"/>
    <col collapsed="false" hidden="false" max="31" min="31" style="1" width="13.4285714285714"/>
    <col collapsed="false" hidden="false" max="32" min="32" style="1" width="19.7091836734694"/>
    <col collapsed="false" hidden="false" max="35" min="33" style="1" width="22.1377551020408"/>
    <col collapsed="false" hidden="false" max="36" min="36" style="1" width="21.5714285714286"/>
    <col collapsed="false" hidden="false" max="37" min="37" style="1" width="27.2857142857143"/>
    <col collapsed="false" hidden="false" max="38" min="38" style="1" width="3.14285714285714"/>
    <col collapsed="false" hidden="false" max="39" min="39" style="1" width="11.4183673469388"/>
    <col collapsed="false" hidden="false" max="40" min="40" style="1" width="16"/>
    <col collapsed="false" hidden="false" max="41" min="41" style="1" width="24.5663265306122"/>
    <col collapsed="false" hidden="false" max="45" min="42" style="1" width="11.4183673469388"/>
    <col collapsed="false" hidden="false" max="47" min="46" style="1" width="26"/>
    <col collapsed="false" hidden="false" max="1025" min="48" style="1" width="11.4183673469388"/>
  </cols>
  <sheetData>
    <row collapsed="false" customFormat="false" customHeight="true" hidden="false" ht="27.75" outlineLevel="0" r="1">
      <c r="A1" s="0"/>
      <c r="B1" s="2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true" hidden="false" ht="33" outlineLevel="0" r="2">
      <c r="A2" s="0"/>
      <c r="B2" s="5"/>
      <c r="C2" s="6"/>
      <c r="D2" s="7" t="s">
        <v>0</v>
      </c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7"/>
      <c r="U2" s="7"/>
      <c r="V2" s="7"/>
      <c r="W2" s="7"/>
      <c r="X2" s="7"/>
      <c r="Y2" s="9" t="s">
        <v>1</v>
      </c>
      <c r="Z2" s="9"/>
      <c r="AA2" s="9"/>
      <c r="AB2" s="9"/>
      <c r="AC2" s="9"/>
      <c r="AD2" s="7"/>
      <c r="AE2" s="7"/>
      <c r="AF2" s="7"/>
      <c r="AG2" s="7"/>
      <c r="AH2" s="7"/>
      <c r="AI2" s="7"/>
      <c r="AJ2" s="10"/>
      <c r="AK2" s="10"/>
      <c r="AL2" s="1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false" customHeight="true" hidden="false" ht="24.75" outlineLevel="0" r="3">
      <c r="A3" s="0"/>
      <c r="B3" s="11"/>
      <c r="C3" s="12"/>
      <c r="D3" s="13" t="n">
        <f aca="false">CONCATENATE("TI,"," Junio ","2014")</f>
        <v>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14"/>
      <c r="W3" s="14"/>
      <c r="X3" s="14"/>
      <c r="Y3" s="9"/>
      <c r="Z3" s="9"/>
      <c r="AA3" s="9"/>
      <c r="AB3" s="9"/>
      <c r="AC3" s="9"/>
      <c r="AD3" s="14"/>
      <c r="AE3" s="14"/>
      <c r="AF3" s="14"/>
      <c r="AG3" s="14"/>
      <c r="AH3" s="14"/>
      <c r="AI3" s="14"/>
      <c r="AJ3" s="15" t="s">
        <v>2</v>
      </c>
      <c r="AK3" s="16" t="n">
        <v>1</v>
      </c>
      <c r="AL3" s="17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collapsed="false" customFormat="false" customHeight="true" hidden="false" ht="28.5" outlineLevel="0" r="4">
      <c r="A4" s="0"/>
      <c r="B4" s="11"/>
      <c r="C4" s="18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9"/>
      <c r="V4" s="19"/>
      <c r="W4" s="19"/>
      <c r="X4" s="19"/>
      <c r="Y4" s="9"/>
      <c r="Z4" s="9"/>
      <c r="AA4" s="9"/>
      <c r="AB4" s="9"/>
      <c r="AC4" s="9"/>
      <c r="AD4" s="19"/>
      <c r="AE4" s="19"/>
      <c r="AF4" s="19"/>
      <c r="AG4" s="19"/>
      <c r="AH4" s="19"/>
      <c r="AI4" s="19"/>
      <c r="AJ4" s="20" t="s">
        <v>3</v>
      </c>
      <c r="AK4" s="21" t="inlineStr">
        <f aca="true">TODAY()</f>
        <is>
          <t/>
        </is>
      </c>
      <c r="AL4" s="22"/>
      <c r="AM4" s="0"/>
      <c r="AN4" s="0"/>
      <c r="AO4" s="0"/>
      <c r="AP4" s="23"/>
      <c r="AQ4" s="23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collapsed="false" customFormat="false" customHeight="true" hidden="false" ht="29.25" outlineLevel="0" r="5">
      <c r="A5" s="0"/>
      <c r="B5" s="5"/>
      <c r="C5" s="24"/>
      <c r="D5" s="24"/>
      <c r="E5" s="24"/>
      <c r="F5" s="24"/>
      <c r="G5" s="24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4"/>
      <c r="U5" s="26"/>
      <c r="V5" s="5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7"/>
      <c r="AM5" s="0"/>
      <c r="AN5" s="0"/>
      <c r="AO5" s="23"/>
      <c r="AP5" s="23"/>
      <c r="AQ5" s="23"/>
      <c r="AR5" s="0"/>
      <c r="AS5" s="0"/>
      <c r="AT5" s="28"/>
      <c r="AU5" s="23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collapsed="false" customFormat="true" customHeight="true" hidden="false" ht="36.75" outlineLevel="0" r="6" s="29">
      <c r="B6" s="3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31"/>
      <c r="V6" s="32"/>
      <c r="W6" s="33"/>
      <c r="X6" s="34"/>
      <c r="Y6" s="34"/>
      <c r="Z6" s="34"/>
      <c r="AA6" s="34"/>
      <c r="AB6" s="34"/>
      <c r="AD6" s="34"/>
      <c r="AE6" s="34"/>
      <c r="AF6" s="33"/>
      <c r="AG6" s="35"/>
      <c r="AH6" s="35"/>
      <c r="AI6" s="35"/>
      <c r="AJ6" s="35"/>
      <c r="AK6" s="35"/>
      <c r="AL6" s="36"/>
      <c r="AM6" s="1"/>
      <c r="AO6" s="23"/>
      <c r="AP6" s="23"/>
      <c r="AQ6" s="23"/>
      <c r="AT6" s="37"/>
      <c r="AU6" s="23"/>
    </row>
    <row collapsed="false" customFormat="false" customHeight="true" hidden="false" ht="28.5" outlineLevel="0" r="7">
      <c r="A7" s="0"/>
      <c r="B7" s="11"/>
      <c r="C7" s="38"/>
      <c r="D7" s="39"/>
      <c r="E7" s="39"/>
      <c r="F7" s="40"/>
      <c r="G7" s="4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0"/>
      <c r="U7" s="42"/>
      <c r="V7" s="11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6"/>
      <c r="AM7" s="0"/>
      <c r="AN7" s="0"/>
      <c r="AO7" s="23"/>
      <c r="AP7" s="23"/>
      <c r="AQ7" s="23"/>
      <c r="AT7" s="28"/>
      <c r="AU7" s="23"/>
    </row>
    <row collapsed="false" customFormat="false" customHeight="true" hidden="false" ht="28.5" outlineLevel="0" r="8">
      <c r="A8" s="0"/>
      <c r="B8" s="11"/>
      <c r="C8" s="38"/>
      <c r="D8" s="43"/>
      <c r="E8" s="44" t="n">
        <f aca="false">"GESTION MENSUAL"&amp;" "&amp;AS6</f>
        <v>0</v>
      </c>
      <c r="F8" s="44"/>
      <c r="G8" s="44"/>
      <c r="H8" s="44"/>
      <c r="I8" s="45"/>
      <c r="J8" s="44" t="s">
        <v>4</v>
      </c>
      <c r="K8" s="44"/>
      <c r="L8" s="44"/>
      <c r="M8" s="44"/>
      <c r="N8" s="46"/>
      <c r="O8" s="44" t="s">
        <v>5</v>
      </c>
      <c r="P8" s="44"/>
      <c r="Q8" s="44"/>
      <c r="R8" s="44"/>
      <c r="S8" s="47"/>
      <c r="T8" s="40"/>
      <c r="U8" s="48"/>
      <c r="V8" s="49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6"/>
      <c r="AM8" s="0"/>
      <c r="AN8" s="0"/>
      <c r="AO8" s="23"/>
      <c r="AP8" s="23"/>
      <c r="AQ8" s="23"/>
      <c r="AT8" s="28"/>
      <c r="AU8" s="23"/>
    </row>
    <row collapsed="false" customFormat="false" customHeight="true" hidden="false" ht="28.5" outlineLevel="0" r="9">
      <c r="A9" s="0"/>
      <c r="B9" s="11"/>
      <c r="C9" s="38"/>
      <c r="D9" s="43"/>
      <c r="E9" s="44" t="s">
        <v>6</v>
      </c>
      <c r="F9" s="44" t="s">
        <v>7</v>
      </c>
      <c r="G9" s="50" t="s">
        <v>8</v>
      </c>
      <c r="H9" s="50"/>
      <c r="I9" s="51"/>
      <c r="J9" s="52" t="s">
        <v>9</v>
      </c>
      <c r="K9" s="52" t="s">
        <v>10</v>
      </c>
      <c r="L9" s="50" t="s">
        <v>8</v>
      </c>
      <c r="M9" s="50"/>
      <c r="N9" s="53"/>
      <c r="O9" s="52" t="s">
        <v>11</v>
      </c>
      <c r="P9" s="52" t="s">
        <v>12</v>
      </c>
      <c r="Q9" s="50" t="s">
        <v>8</v>
      </c>
      <c r="R9" s="50"/>
      <c r="S9" s="47"/>
      <c r="T9" s="0"/>
      <c r="U9" s="48"/>
      <c r="V9" s="11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6"/>
      <c r="AM9" s="0"/>
      <c r="AN9" s="0"/>
      <c r="AO9" s="23"/>
      <c r="AP9" s="23"/>
      <c r="AQ9" s="23"/>
    </row>
    <row collapsed="false" customFormat="false" customHeight="true" hidden="false" ht="39.75" outlineLevel="0" r="10">
      <c r="A10" s="0"/>
      <c r="B10" s="11"/>
      <c r="C10" s="38"/>
      <c r="D10" s="38"/>
      <c r="E10" s="44"/>
      <c r="F10" s="44"/>
      <c r="G10" s="50" t="s">
        <v>13</v>
      </c>
      <c r="H10" s="54" t="s">
        <v>14</v>
      </c>
      <c r="I10" s="51"/>
      <c r="J10" s="52"/>
      <c r="K10" s="52"/>
      <c r="L10" s="55" t="s">
        <v>13</v>
      </c>
      <c r="M10" s="54" t="s">
        <v>14</v>
      </c>
      <c r="N10" s="53"/>
      <c r="O10" s="52"/>
      <c r="P10" s="52"/>
      <c r="Q10" s="50" t="s">
        <v>13</v>
      </c>
      <c r="R10" s="54" t="s">
        <v>14</v>
      </c>
      <c r="S10" s="47"/>
      <c r="T10" s="0"/>
      <c r="U10" s="56"/>
      <c r="V10" s="57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6"/>
      <c r="AM10" s="0"/>
      <c r="AN10" s="0"/>
      <c r="AO10" s="23"/>
      <c r="AP10" s="23"/>
      <c r="AQ10" s="23"/>
    </row>
    <row collapsed="false" customFormat="false" customHeight="true" hidden="false" ht="27.75" outlineLevel="0" r="11">
      <c r="A11" s="0"/>
      <c r="B11" s="11"/>
      <c r="C11" s="38"/>
      <c r="D11" s="58" t="s">
        <v>15</v>
      </c>
      <c r="E11" s="59" t="n">
        <f aca="false">'Datos costos'!G25</f>
        <v>5079.749</v>
      </c>
      <c r="F11" s="59" t="n">
        <f aca="false">'Datos costos'!G6</f>
        <v>5486.88535813862</v>
      </c>
      <c r="G11" s="59" t="n">
        <f aca="false">E11-F11</f>
        <v>-407.13635813862</v>
      </c>
      <c r="H11" s="60" t="n">
        <f aca="false">G11/F11</f>
        <v>-0.0742017249430446</v>
      </c>
      <c r="I11" s="61"/>
      <c r="J11" s="62" t="n">
        <f aca="false">'Datos costos'!G37</f>
        <v>29392.944</v>
      </c>
      <c r="K11" s="62" t="n">
        <f aca="false">'Datos costos'!G12</f>
        <v>30110.9705094863</v>
      </c>
      <c r="L11" s="62" t="n">
        <f aca="false">J11-K11</f>
        <v>-718.026509486266</v>
      </c>
      <c r="M11" s="60" t="n">
        <f aca="false">L11/K11</f>
        <v>-0.0238460101862229</v>
      </c>
      <c r="N11" s="63"/>
      <c r="O11" s="62" t="n">
        <f aca="false">J11*12/6</f>
        <v>58785.888</v>
      </c>
      <c r="P11" s="62" t="n">
        <f aca="false">'Datos costos'!M12</f>
        <v>63128.740658318</v>
      </c>
      <c r="Q11" s="59" t="n">
        <f aca="false">O11-P11</f>
        <v>-4342.85265831799</v>
      </c>
      <c r="R11" s="60" t="n">
        <f aca="false">Q11/P11</f>
        <v>-0.0687935893070245</v>
      </c>
      <c r="S11" s="47"/>
      <c r="T11" s="0"/>
      <c r="U11" s="56"/>
      <c r="V11" s="57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6"/>
      <c r="AM11" s="0"/>
      <c r="AN11" s="0"/>
      <c r="AO11" s="23"/>
      <c r="AP11" s="23"/>
      <c r="AQ11" s="23"/>
    </row>
    <row collapsed="false" customFormat="false" customHeight="true" hidden="false" ht="27.75" outlineLevel="0" r="12">
      <c r="A12" s="0"/>
      <c r="B12" s="11"/>
      <c r="C12" s="38"/>
      <c r="D12" s="64" t="s">
        <v>16</v>
      </c>
      <c r="E12" s="59" t="n">
        <f aca="false">'Datos costos'!G23</f>
        <v>3956.297</v>
      </c>
      <c r="F12" s="59" t="n">
        <f aca="false">'Datos costos'!D4</f>
        <v>0</v>
      </c>
      <c r="G12" s="59" t="n">
        <f aca="false">E12-F12</f>
        <v>3956.297</v>
      </c>
      <c r="H12" s="60" t="n">
        <f aca="false">IFERROR(G12/F12,0)</f>
        <v>0</v>
      </c>
      <c r="I12" s="61"/>
      <c r="J12" s="59" t="n">
        <f aca="false">'Datos costos'!G35</f>
        <v>23738.817</v>
      </c>
      <c r="K12" s="59" t="n">
        <f aca="false">'Datos costos'!B10</f>
        <v>0</v>
      </c>
      <c r="L12" s="59" t="n">
        <f aca="false">J12-K12</f>
        <v>23738.817</v>
      </c>
      <c r="M12" s="60" t="n">
        <f aca="false">IFERROR(L12/K12,0)</f>
        <v>0</v>
      </c>
      <c r="N12" s="63"/>
      <c r="O12" s="59" t="n">
        <f aca="false">J12*12/6</f>
        <v>47477.634</v>
      </c>
      <c r="P12" s="59"/>
      <c r="Q12" s="59" t="n">
        <f aca="false">O12-P12</f>
        <v>47477.634</v>
      </c>
      <c r="R12" s="60"/>
      <c r="S12" s="47"/>
      <c r="T12" s="0"/>
      <c r="U12" s="56"/>
      <c r="V12" s="57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6"/>
      <c r="AM12" s="0"/>
      <c r="AN12" s="0"/>
      <c r="AO12" s="23"/>
      <c r="AP12" s="23"/>
      <c r="AQ12" s="23"/>
    </row>
    <row collapsed="false" customFormat="false" customHeight="true" hidden="false" ht="27.75" outlineLevel="0" r="13">
      <c r="A13" s="0"/>
      <c r="B13" s="11"/>
      <c r="C13" s="38"/>
      <c r="D13" s="58" t="s">
        <v>17</v>
      </c>
      <c r="E13" s="59" t="n">
        <f aca="false">'Datos costos'!G24</f>
        <v>22232.454</v>
      </c>
      <c r="F13" s="59" t="n">
        <f aca="false">'Datos costos'!G5</f>
        <v>18606.7827861691</v>
      </c>
      <c r="G13" s="59" t="n">
        <f aca="false">E13-F13</f>
        <v>3625.67121383095</v>
      </c>
      <c r="H13" s="60" t="n">
        <f aca="false">G13/F13</f>
        <v>0.194857501992554</v>
      </c>
      <c r="I13" s="61"/>
      <c r="J13" s="59" t="n">
        <f aca="false">'Datos costos'!G36</f>
        <v>71099.338</v>
      </c>
      <c r="K13" s="59" t="n">
        <f aca="false">'Datos costos'!G11</f>
        <v>112748.450652903</v>
      </c>
      <c r="L13" s="59" t="n">
        <f aca="false">J13-K13</f>
        <v>-41649.1126529026</v>
      </c>
      <c r="M13" s="65" t="n">
        <f aca="false">L13/K13</f>
        <v>-0.369398536403128</v>
      </c>
      <c r="N13" s="63"/>
      <c r="O13" s="59" t="n">
        <f aca="false">J13*12/6</f>
        <v>142198.676</v>
      </c>
      <c r="P13" s="59" t="n">
        <f aca="false">'Datos costos'!M11</f>
        <v>225496.901305805</v>
      </c>
      <c r="Q13" s="59" t="n">
        <f aca="false">O13-P13</f>
        <v>-83298.2253058052</v>
      </c>
      <c r="R13" s="60" t="n">
        <f aca="false">Q13/P13</f>
        <v>-0.369398536403129</v>
      </c>
      <c r="S13" s="47"/>
      <c r="T13" s="0"/>
      <c r="U13" s="56"/>
      <c r="V13" s="57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6"/>
      <c r="AM13" s="0"/>
      <c r="AN13" s="0"/>
      <c r="AO13" s="23"/>
      <c r="AP13" s="23"/>
      <c r="AQ13" s="23"/>
    </row>
    <row collapsed="false" customFormat="false" customHeight="true" hidden="false" ht="27.75" outlineLevel="0" r="14">
      <c r="A14" s="0"/>
      <c r="B14" s="11"/>
      <c r="C14" s="38"/>
      <c r="D14" s="66" t="s">
        <v>18</v>
      </c>
      <c r="E14" s="67" t="n">
        <f aca="false">SUM(E11:E13)</f>
        <v>31268.5</v>
      </c>
      <c r="F14" s="67" t="n">
        <f aca="false">SUM(F11:F13)</f>
        <v>24093.6681443077</v>
      </c>
      <c r="G14" s="67" t="n">
        <f aca="false">E14-F14</f>
        <v>7174.83185569233</v>
      </c>
      <c r="H14" s="68" t="n">
        <f aca="false">G14/F14</f>
        <v>0.297789104287445</v>
      </c>
      <c r="I14" s="69"/>
      <c r="J14" s="67" t="n">
        <f aca="false">SUM(J11:J13)</f>
        <v>124231.099</v>
      </c>
      <c r="K14" s="67" t="n">
        <f aca="false">SUM(K11:K13)</f>
        <v>142859.421162389</v>
      </c>
      <c r="L14" s="67" t="n">
        <f aca="false">J14-K14</f>
        <v>-18628.3221623888</v>
      </c>
      <c r="M14" s="68" t="n">
        <f aca="false">L14/K14</f>
        <v>-0.130396175560686</v>
      </c>
      <c r="N14" s="69"/>
      <c r="O14" s="67" t="n">
        <f aca="false">SUM(O11:O13)</f>
        <v>248462.198</v>
      </c>
      <c r="P14" s="67" t="n">
        <f aca="false">SUM(P11:P13)</f>
        <v>288625.641964123</v>
      </c>
      <c r="Q14" s="67" t="n">
        <f aca="false">O14-P14</f>
        <v>-40163.4439641231</v>
      </c>
      <c r="R14" s="68" t="n">
        <f aca="false">Q14/P14</f>
        <v>-0.139154108729936</v>
      </c>
      <c r="S14" s="38"/>
      <c r="T14" s="0"/>
      <c r="U14" s="56"/>
      <c r="V14" s="57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6"/>
      <c r="AM14" s="0"/>
      <c r="AN14" s="0"/>
      <c r="AO14" s="23"/>
      <c r="AP14" s="23"/>
      <c r="AQ14" s="23"/>
    </row>
    <row collapsed="false" customFormat="false" customHeight="true" hidden="false" ht="27.75" outlineLevel="0" r="15">
      <c r="A15" s="0"/>
      <c r="B15" s="11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0"/>
      <c r="U15" s="56"/>
      <c r="V15" s="57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6"/>
      <c r="AM15" s="0"/>
      <c r="AN15" s="0"/>
      <c r="AO15" s="23"/>
      <c r="AP15" s="23"/>
      <c r="AQ15" s="23"/>
    </row>
    <row collapsed="false" customFormat="false" customHeight="true" hidden="false" ht="27.75" outlineLevel="0" r="16">
      <c r="A16" s="0"/>
      <c r="B16" s="11"/>
      <c r="C16" s="38"/>
      <c r="D16" s="66" t="s">
        <v>19</v>
      </c>
      <c r="E16" s="67" t="n">
        <v>2</v>
      </c>
      <c r="F16" s="67" t="n">
        <v>2</v>
      </c>
      <c r="G16" s="38"/>
      <c r="H16" s="38"/>
      <c r="I16" s="69"/>
      <c r="J16" s="67" t="n">
        <v>2</v>
      </c>
      <c r="K16" s="67" t="n">
        <v>2</v>
      </c>
      <c r="L16" s="38"/>
      <c r="M16" s="38"/>
      <c r="N16" s="69"/>
      <c r="O16" s="67" t="n">
        <v>2</v>
      </c>
      <c r="P16" s="67" t="n">
        <v>2</v>
      </c>
      <c r="Q16" s="38"/>
      <c r="R16" s="70"/>
      <c r="S16" s="38"/>
      <c r="T16" s="71"/>
      <c r="U16" s="56"/>
      <c r="V16" s="57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6"/>
      <c r="AM16" s="0"/>
      <c r="AN16" s="0"/>
      <c r="AO16" s="23"/>
      <c r="AP16" s="23"/>
      <c r="AQ16" s="23"/>
    </row>
    <row collapsed="false" customFormat="false" customHeight="true" hidden="false" ht="27.75" outlineLevel="0" r="17">
      <c r="A17" s="0"/>
      <c r="B17" s="11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0"/>
      <c r="U17" s="56"/>
      <c r="V17" s="57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6"/>
      <c r="AM17" s="0"/>
      <c r="AN17" s="0"/>
      <c r="AO17" s="23"/>
      <c r="AP17" s="23"/>
      <c r="AQ17" s="23"/>
    </row>
    <row collapsed="false" customFormat="false" customHeight="true" hidden="false" ht="27.75" outlineLevel="0" r="18">
      <c r="A18" s="0"/>
      <c r="B18" s="11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0"/>
      <c r="U18" s="56"/>
      <c r="V18" s="57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6"/>
      <c r="AM18" s="0"/>
      <c r="AN18" s="0"/>
      <c r="AO18" s="23"/>
      <c r="AP18" s="23"/>
      <c r="AQ18" s="23"/>
    </row>
    <row collapsed="false" customFormat="false" customHeight="true" hidden="false" ht="27.75" outlineLevel="0" r="19">
      <c r="A19" s="0"/>
      <c r="B19" s="11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0"/>
      <c r="U19" s="56"/>
      <c r="V19" s="57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6"/>
      <c r="AM19" s="0"/>
      <c r="AN19" s="0"/>
      <c r="AO19" s="23"/>
      <c r="AP19" s="23"/>
      <c r="AQ19" s="23"/>
    </row>
    <row collapsed="false" customFormat="false" customHeight="true" hidden="false" ht="27.75" outlineLevel="0" r="20">
      <c r="A20" s="0"/>
      <c r="B20" s="11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56"/>
      <c r="V20" s="57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6"/>
      <c r="AM20" s="0"/>
      <c r="AN20" s="0"/>
      <c r="AO20" s="23"/>
      <c r="AP20" s="23"/>
      <c r="AQ20" s="23"/>
    </row>
    <row collapsed="false" customFormat="false" customHeight="true" hidden="false" ht="27.75" outlineLevel="0" r="21">
      <c r="A21" s="0"/>
      <c r="B21" s="11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56"/>
      <c r="V21" s="57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6"/>
      <c r="AM21" s="0"/>
      <c r="AN21" s="0"/>
      <c r="AO21" s="23"/>
      <c r="AP21" s="23"/>
      <c r="AQ21" s="23"/>
    </row>
    <row collapsed="false" customFormat="false" customHeight="true" hidden="false" ht="27.75" outlineLevel="0" r="22">
      <c r="A22" s="0"/>
      <c r="B22" s="11"/>
      <c r="C22" s="12"/>
      <c r="D22" s="12"/>
      <c r="E22" s="12"/>
      <c r="F22" s="12"/>
      <c r="G22" s="12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38"/>
      <c r="U22" s="56"/>
      <c r="V22" s="57"/>
      <c r="W22" s="38"/>
      <c r="X22" s="38"/>
      <c r="Y22" s="38"/>
      <c r="Z22" s="38"/>
      <c r="AA22" s="38"/>
      <c r="AB22" s="38"/>
      <c r="AC22" s="38"/>
      <c r="AD22" s="0"/>
      <c r="AE22" s="23"/>
      <c r="AF22" s="0"/>
      <c r="AG22" s="23"/>
      <c r="AH22" s="0"/>
      <c r="AI22" s="23"/>
      <c r="AJ22" s="0"/>
      <c r="AK22" s="23"/>
      <c r="AL22" s="36"/>
      <c r="AM22" s="0"/>
      <c r="AN22" s="0"/>
      <c r="AO22" s="23"/>
      <c r="AP22" s="23"/>
      <c r="AQ22" s="23"/>
    </row>
    <row collapsed="false" customFormat="false" customHeight="true" hidden="false" ht="27.75" outlineLevel="0" r="23">
      <c r="A23" s="0"/>
      <c r="B23" s="11"/>
      <c r="C23" s="12"/>
      <c r="D23" s="12"/>
      <c r="E23" s="12"/>
      <c r="F23" s="12"/>
      <c r="G23" s="12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38"/>
      <c r="U23" s="56"/>
      <c r="V23" s="57"/>
      <c r="W23" s="38"/>
      <c r="X23" s="38"/>
      <c r="Y23" s="38"/>
      <c r="Z23" s="38"/>
      <c r="AA23" s="38"/>
      <c r="AB23" s="38"/>
      <c r="AC23" s="38"/>
      <c r="AD23" s="0"/>
      <c r="AE23" s="0"/>
      <c r="AF23" s="0"/>
      <c r="AG23" s="0"/>
      <c r="AH23" s="0"/>
      <c r="AI23" s="0"/>
      <c r="AJ23" s="0"/>
      <c r="AK23" s="0"/>
      <c r="AL23" s="36"/>
      <c r="AM23" s="0"/>
      <c r="AN23" s="0"/>
      <c r="AO23" s="23"/>
      <c r="AP23" s="23"/>
      <c r="AQ23" s="23"/>
    </row>
    <row collapsed="false" customFormat="false" customHeight="true" hidden="false" ht="27.75" outlineLevel="0" r="24">
      <c r="A24" s="0"/>
      <c r="B24" s="11"/>
      <c r="C24" s="12"/>
      <c r="D24" s="12"/>
      <c r="E24" s="12"/>
      <c r="F24" s="12"/>
      <c r="G24" s="12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38"/>
      <c r="U24" s="56"/>
      <c r="V24" s="57"/>
      <c r="W24" s="38"/>
      <c r="X24" s="38"/>
      <c r="Y24" s="38"/>
      <c r="Z24" s="38"/>
      <c r="AA24" s="38"/>
      <c r="AB24" s="38"/>
      <c r="AC24" s="38"/>
      <c r="AD24" s="0"/>
      <c r="AE24" s="0"/>
      <c r="AF24" s="0"/>
      <c r="AG24" s="0"/>
      <c r="AH24" s="0"/>
      <c r="AI24" s="0"/>
      <c r="AJ24" s="0"/>
      <c r="AK24" s="0"/>
      <c r="AL24" s="36"/>
      <c r="AM24" s="0"/>
      <c r="AN24" s="0"/>
      <c r="AO24" s="23"/>
      <c r="AP24" s="23"/>
      <c r="AQ24" s="23"/>
    </row>
    <row collapsed="false" customFormat="false" customHeight="true" hidden="false" ht="27.75" outlineLevel="0" r="25">
      <c r="A25" s="0"/>
      <c r="B25" s="11"/>
      <c r="C25" s="12"/>
      <c r="D25" s="12"/>
      <c r="E25" s="12"/>
      <c r="F25" s="12"/>
      <c r="G25" s="12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38"/>
      <c r="U25" s="56"/>
      <c r="V25" s="57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6"/>
      <c r="AM25" s="0"/>
      <c r="AN25" s="0"/>
      <c r="AO25" s="0"/>
    </row>
    <row collapsed="false" customFormat="false" customHeight="true" hidden="false" ht="36" outlineLevel="0" r="26">
      <c r="A26" s="0"/>
      <c r="B26" s="11"/>
      <c r="C26" s="12"/>
      <c r="D26" s="12"/>
      <c r="E26" s="12"/>
      <c r="F26" s="12"/>
      <c r="G26" s="12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38"/>
      <c r="U26" s="56"/>
      <c r="V26" s="57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6"/>
      <c r="AM26" s="0"/>
      <c r="AN26" s="0"/>
      <c r="AO26" s="0"/>
    </row>
    <row collapsed="false" customFormat="false" customHeight="true" hidden="false" ht="27.75" outlineLevel="0" r="27">
      <c r="A27" s="0"/>
      <c r="B27" s="11"/>
      <c r="C27" s="12"/>
      <c r="D27" s="12"/>
      <c r="E27" s="12"/>
      <c r="F27" s="12"/>
      <c r="G27" s="12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38"/>
      <c r="U27" s="72"/>
      <c r="V27" s="57"/>
      <c r="W27" s="0"/>
      <c r="X27" s="0"/>
      <c r="Y27" s="0"/>
      <c r="Z27" s="0"/>
      <c r="AA27" s="0"/>
      <c r="AB27" s="0"/>
      <c r="AC27" s="0"/>
      <c r="AD27" s="73"/>
      <c r="AE27" s="73"/>
      <c r="AF27" s="73"/>
      <c r="AG27" s="73"/>
      <c r="AH27" s="73"/>
      <c r="AI27" s="73"/>
      <c r="AJ27" s="73"/>
      <c r="AK27" s="73"/>
      <c r="AL27" s="36"/>
      <c r="AM27" s="0"/>
      <c r="AN27" s="0"/>
      <c r="AO27" s="0"/>
    </row>
    <row collapsed="false" customFormat="false" customHeight="true" hidden="false" ht="12.75" outlineLevel="0" r="28">
      <c r="A28" s="0"/>
      <c r="B28" s="11"/>
      <c r="C28" s="12"/>
      <c r="D28" s="12"/>
      <c r="E28" s="12"/>
      <c r="F28" s="12"/>
      <c r="G28" s="12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31"/>
      <c r="V28" s="74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6"/>
      <c r="AM28" s="0"/>
      <c r="AN28" s="0"/>
      <c r="AO28" s="0"/>
    </row>
    <row collapsed="false" customFormat="false" customHeight="true" hidden="false" ht="27.75" outlineLevel="0" r="29">
      <c r="A29" s="0"/>
      <c r="B29" s="11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75"/>
      <c r="V29" s="3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36"/>
      <c r="AM29" s="0"/>
      <c r="AN29" s="0"/>
      <c r="AO29" s="0"/>
    </row>
    <row collapsed="false" customFormat="false" customHeight="true" hidden="false" ht="27.75" outlineLevel="0" r="30">
      <c r="A30" s="0"/>
      <c r="B30" s="11"/>
      <c r="C30" s="0"/>
      <c r="D30" s="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0"/>
      <c r="U30" s="75"/>
      <c r="V30" s="3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77"/>
      <c r="AL30" s="36"/>
      <c r="AM30" s="0"/>
      <c r="AN30" s="0"/>
      <c r="AO30" s="0"/>
    </row>
    <row collapsed="false" customFormat="false" customHeight="true" hidden="false" ht="30" outlineLevel="0" r="31">
      <c r="A31" s="0"/>
      <c r="B31" s="11"/>
      <c r="C31" s="0"/>
      <c r="D31" s="0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0"/>
      <c r="U31" s="75"/>
      <c r="V31" s="3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36"/>
      <c r="AM31" s="0"/>
      <c r="AN31" s="0"/>
      <c r="AO31" s="0"/>
    </row>
    <row collapsed="false" customFormat="false" customHeight="true" hidden="false" ht="30" outlineLevel="0" r="32">
      <c r="A32" s="0"/>
      <c r="B32" s="11"/>
      <c r="C32" s="0"/>
      <c r="D32" s="1" t="s">
        <v>20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0"/>
      <c r="U32" s="75"/>
      <c r="V32" s="3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6"/>
      <c r="AM32" s="0"/>
      <c r="AN32" s="0"/>
      <c r="AO32" s="0"/>
    </row>
    <row collapsed="false" customFormat="false" customHeight="true" hidden="false" ht="30" outlineLevel="0" r="33">
      <c r="A33" s="0"/>
      <c r="B33" s="11"/>
      <c r="C33" s="0"/>
      <c r="D33" s="0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0"/>
      <c r="U33" s="75"/>
      <c r="V33" s="3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36"/>
      <c r="AM33" s="0"/>
      <c r="AN33" s="0"/>
      <c r="AO33" s="0"/>
    </row>
    <row collapsed="false" customFormat="false" customHeight="true" hidden="false" ht="30" outlineLevel="0" r="34">
      <c r="A34" s="0"/>
      <c r="B34" s="11"/>
      <c r="C34" s="0"/>
      <c r="D34" s="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0"/>
      <c r="U34" s="75"/>
      <c r="V34" s="3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6"/>
      <c r="AM34" s="0"/>
      <c r="AN34" s="0"/>
      <c r="AO34" s="0"/>
    </row>
    <row collapsed="false" customFormat="false" customHeight="true" hidden="false" ht="30" outlineLevel="0" r="35">
      <c r="A35" s="0"/>
      <c r="B35" s="11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36"/>
      <c r="V35" s="78"/>
      <c r="W35" s="79"/>
      <c r="X35" s="1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36"/>
      <c r="AM35" s="0"/>
      <c r="AN35" s="0"/>
    </row>
    <row collapsed="false" customFormat="false" customHeight="true" hidden="false" ht="30" outlineLevel="0" r="36">
      <c r="A36" s="0"/>
      <c r="B36" s="11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36"/>
      <c r="V36" s="80"/>
      <c r="W36" s="12"/>
      <c r="X36" s="12"/>
      <c r="Y36" s="12"/>
      <c r="Z36" s="1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36"/>
      <c r="AM36" s="12"/>
      <c r="AN36" s="12"/>
    </row>
    <row collapsed="false" customFormat="false" customHeight="true" hidden="false" ht="30" outlineLevel="0" r="37">
      <c r="A37" s="0"/>
      <c r="B37" s="11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36"/>
      <c r="V37" s="81"/>
      <c r="W37" s="12"/>
      <c r="X37" s="12"/>
      <c r="Y37" s="12"/>
      <c r="Z37" s="1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36"/>
      <c r="AM37" s="12"/>
      <c r="AN37" s="12"/>
    </row>
    <row collapsed="false" customFormat="false" customHeight="true" hidden="false" ht="30" outlineLevel="0" r="38">
      <c r="B38" s="11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36"/>
      <c r="V38" s="81"/>
      <c r="W38" s="82"/>
      <c r="X38" s="1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83"/>
      <c r="AJ38" s="2"/>
      <c r="AK38" s="2"/>
      <c r="AL38" s="36"/>
      <c r="AM38" s="0"/>
    </row>
    <row collapsed="false" customFormat="false" customHeight="true" hidden="false" ht="30" outlineLevel="0" r="39">
      <c r="B39" s="11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36"/>
      <c r="V39" s="81"/>
      <c r="W39" s="82"/>
      <c r="X39" s="1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84"/>
      <c r="AM39" s="0"/>
    </row>
    <row collapsed="false" customFormat="false" customHeight="true" hidden="false" ht="30" outlineLevel="0" r="40">
      <c r="B40" s="11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36"/>
      <c r="V40" s="81"/>
      <c r="W40" s="71"/>
      <c r="X40" s="12"/>
      <c r="Y40" s="0"/>
      <c r="Z40" s="0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36"/>
      <c r="AM40" s="0"/>
    </row>
    <row collapsed="false" customFormat="false" customHeight="true" hidden="false" ht="30" outlineLevel="0" r="41">
      <c r="B41" s="11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36"/>
      <c r="V41" s="81"/>
      <c r="W41" s="40"/>
      <c r="X41" s="1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6"/>
      <c r="AM41" s="0"/>
    </row>
    <row collapsed="false" customFormat="false" customHeight="true" hidden="false" ht="30" outlineLevel="0" r="42">
      <c r="B42" s="11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36"/>
      <c r="V42" s="85"/>
      <c r="W42" s="40"/>
      <c r="X42" s="86"/>
      <c r="Y42" s="86"/>
      <c r="Z42" s="86"/>
      <c r="AA42" s="2"/>
      <c r="AB42" s="86"/>
      <c r="AC42" s="86"/>
      <c r="AD42" s="86"/>
      <c r="AE42" s="86"/>
      <c r="AF42" s="2"/>
      <c r="AG42" s="87"/>
      <c r="AH42" s="87"/>
      <c r="AI42" s="87"/>
      <c r="AJ42" s="2"/>
      <c r="AK42" s="0"/>
      <c r="AL42" s="36"/>
      <c r="AM42" s="0"/>
    </row>
    <row collapsed="false" customFormat="false" customHeight="true" hidden="false" ht="30" outlineLevel="0" r="43">
      <c r="B43" s="11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36"/>
      <c r="V43" s="85"/>
      <c r="W43" s="40"/>
      <c r="X43" s="1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36"/>
      <c r="AM43" s="0"/>
    </row>
    <row collapsed="false" customFormat="false" customHeight="true" hidden="false" ht="30" outlineLevel="0" r="44">
      <c r="B44" s="11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36"/>
      <c r="V44" s="85"/>
      <c r="W44" s="40"/>
      <c r="X44" s="12"/>
      <c r="Y44" s="2"/>
      <c r="Z44" s="2"/>
      <c r="AA44" s="2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6"/>
      <c r="AM44" s="0"/>
    </row>
    <row collapsed="false" customFormat="false" customHeight="true" hidden="false" ht="30" outlineLevel="0" r="45">
      <c r="B45" s="11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36"/>
      <c r="V45" s="88"/>
      <c r="W45" s="71"/>
      <c r="X45" s="12"/>
      <c r="Y45" s="2"/>
      <c r="Z45" s="2"/>
      <c r="AA45" s="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36"/>
      <c r="AM45" s="0"/>
    </row>
    <row collapsed="false" customFormat="false" customHeight="true" hidden="false" ht="35.1" outlineLevel="0" r="46">
      <c r="B46" s="11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36"/>
      <c r="V46" s="89"/>
      <c r="W46" s="2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2"/>
      <c r="AK46" s="2"/>
      <c r="AL46" s="36"/>
      <c r="AM46" s="0"/>
    </row>
    <row collapsed="false" customFormat="false" customHeight="true" hidden="false" ht="30" outlineLevel="0" r="47">
      <c r="B47" s="9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36"/>
      <c r="V47" s="88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36"/>
      <c r="AM47" s="0"/>
    </row>
    <row collapsed="false" customFormat="false" customHeight="true" hidden="false" ht="12.75" outlineLevel="0" r="48">
      <c r="B48" s="9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91"/>
      <c r="V48" s="11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36"/>
    </row>
    <row collapsed="false" customFormat="false" customHeight="true" hidden="false" ht="27.75" outlineLevel="0" r="49">
      <c r="B49" s="9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91"/>
      <c r="V49" s="11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36"/>
    </row>
    <row collapsed="false" customFormat="false" customHeight="true" hidden="false" ht="27.75" outlineLevel="0" r="50">
      <c r="B50" s="9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91"/>
      <c r="V50" s="11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36"/>
    </row>
    <row collapsed="false" customFormat="false" customHeight="true" hidden="false" ht="27.75" outlineLevel="0" r="51">
      <c r="B51" s="9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36"/>
      <c r="V51" s="9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36"/>
    </row>
    <row collapsed="false" customFormat="false" customHeight="true" hidden="false" ht="27.75" outlineLevel="0" r="52">
      <c r="B52" s="9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36"/>
      <c r="V52" s="9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36"/>
    </row>
    <row collapsed="false" customFormat="false" customHeight="true" hidden="false" ht="27.75" outlineLevel="0" r="53">
      <c r="B53" s="9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36"/>
      <c r="V53" s="9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36"/>
    </row>
    <row collapsed="false" customFormat="false" customHeight="true" hidden="false" ht="27.75" outlineLevel="0" r="54">
      <c r="B54" s="9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36"/>
      <c r="V54" s="9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36"/>
    </row>
    <row collapsed="false" customFormat="false" customHeight="true" hidden="false" ht="27.75" outlineLevel="0" r="55">
      <c r="B55" s="9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36"/>
      <c r="V55" s="9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36"/>
    </row>
    <row collapsed="false" customFormat="false" customHeight="true" hidden="false" ht="27.75" outlineLevel="0" r="56">
      <c r="B56" s="9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36"/>
      <c r="V56" s="9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36"/>
    </row>
    <row collapsed="false" customFormat="false" customHeight="true" hidden="false" ht="27.75" outlineLevel="0" r="57">
      <c r="B57" s="9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36"/>
      <c r="V57" s="9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36"/>
    </row>
    <row collapsed="false" customFormat="false" customHeight="true" hidden="false" ht="27.75" outlineLevel="0" r="58">
      <c r="B58" s="9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36"/>
      <c r="V58" s="9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36"/>
    </row>
    <row collapsed="false" customFormat="false" customHeight="true" hidden="false" ht="27.75" outlineLevel="0" r="59">
      <c r="B59" s="9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36"/>
      <c r="V59" s="9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36"/>
    </row>
    <row collapsed="false" customFormat="false" customHeight="true" hidden="false" ht="27.75" outlineLevel="0" r="60">
      <c r="B60" s="92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22"/>
      <c r="V60" s="92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22"/>
    </row>
  </sheetData>
  <mergeCells count="18">
    <mergeCell ref="Y2:AC4"/>
    <mergeCell ref="AJ2:AL2"/>
    <mergeCell ref="D3:T4"/>
    <mergeCell ref="E8:H8"/>
    <mergeCell ref="J8:M8"/>
    <mergeCell ref="O8:R8"/>
    <mergeCell ref="E9:E10"/>
    <mergeCell ref="F9:F10"/>
    <mergeCell ref="G9:H9"/>
    <mergeCell ref="J9:J10"/>
    <mergeCell ref="K9:K10"/>
    <mergeCell ref="L9:M9"/>
    <mergeCell ref="O9:O10"/>
    <mergeCell ref="P9:P10"/>
    <mergeCell ref="Q9:R9"/>
    <mergeCell ref="X42:Z42"/>
    <mergeCell ref="AB42:AE42"/>
    <mergeCell ref="AG42:AI42"/>
  </mergeCells>
  <printOptions headings="false" gridLines="false" gridLinesSet="true" horizontalCentered="true" verticalCentered="true"/>
  <pageMargins left="0" right="0" top="0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colBreaks count="1" manualBreakCount="1">
    <brk id="21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C9" activeCellId="0" pane="topLeft" sqref="C9"/>
    </sheetView>
  </sheetViews>
  <sheetFormatPr defaultRowHeight="15"/>
  <cols>
    <col collapsed="false" hidden="false" max="1" min="1" style="0" width="26"/>
    <col collapsed="false" hidden="false" max="2" min="2" style="0" width="18.8520408163265"/>
    <col collapsed="false" hidden="false" max="6" min="3" style="0" width="15"/>
    <col collapsed="false" hidden="false" max="7" min="7" style="0" width="13.8571428571429"/>
    <col collapsed="false" hidden="false" max="9" min="8" style="0" width="15"/>
    <col collapsed="false" hidden="false" max="13" min="10" style="0" width="13.8571428571429"/>
    <col collapsed="false" hidden="false" max="14" min="14" style="0" width="10.5765306122449"/>
    <col collapsed="false" hidden="false" max="15" min="15" style="0" width="8.85714285714286"/>
    <col collapsed="false" hidden="false" max="16" min="16" style="0" width="17.1428571428571"/>
    <col collapsed="false" hidden="false" max="17" min="17" style="0" width="15"/>
    <col collapsed="false" hidden="false" max="1025" min="18" style="0" width="10.5765306122449"/>
  </cols>
  <sheetData>
    <row collapsed="false" customFormat="false" customHeight="false" hidden="false" ht="15" outlineLevel="0" r="1">
      <c r="A1" s="0" t="s">
        <v>21</v>
      </c>
      <c r="B1" s="94" t="s">
        <v>22</v>
      </c>
      <c r="C1" s="94" t="s">
        <v>23</v>
      </c>
      <c r="D1" s="94" t="s">
        <v>24</v>
      </c>
      <c r="E1" s="94" t="s">
        <v>25</v>
      </c>
      <c r="F1" s="94" t="s">
        <v>26</v>
      </c>
      <c r="G1" s="94" t="s">
        <v>27</v>
      </c>
      <c r="H1" s="94" t="s">
        <v>28</v>
      </c>
      <c r="I1" s="94" t="s">
        <v>29</v>
      </c>
      <c r="J1" s="94" t="s">
        <v>30</v>
      </c>
      <c r="K1" s="94" t="s">
        <v>31</v>
      </c>
      <c r="L1" s="94" t="s">
        <v>32</v>
      </c>
      <c r="M1" s="94" t="s">
        <v>33</v>
      </c>
    </row>
    <row collapsed="false" customFormat="false" customHeight="false" hidden="false" ht="15" outlineLevel="0" r="2"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</row>
    <row collapsed="false" customFormat="false" customHeight="false" hidden="false" ht="15" outlineLevel="0" r="3">
      <c r="A3" s="95" t="s">
        <v>34</v>
      </c>
    </row>
    <row collapsed="false" customFormat="false" customHeight="false" hidden="false" ht="15" outlineLevel="0" r="4">
      <c r="A4" s="96" t="s">
        <v>35</v>
      </c>
      <c r="B4" s="97" t="n">
        <v>0</v>
      </c>
      <c r="C4" s="97" t="n">
        <v>0</v>
      </c>
      <c r="D4" s="97" t="n">
        <v>0</v>
      </c>
      <c r="E4" s="97" t="n">
        <v>0</v>
      </c>
      <c r="F4" s="97" t="n">
        <v>0</v>
      </c>
      <c r="G4" s="97" t="n">
        <v>0</v>
      </c>
      <c r="H4" s="97" t="n">
        <v>0</v>
      </c>
      <c r="I4" s="97" t="n">
        <v>0</v>
      </c>
      <c r="J4" s="97" t="n">
        <v>0</v>
      </c>
      <c r="K4" s="97" t="n">
        <v>0</v>
      </c>
      <c r="L4" s="97" t="n">
        <v>0</v>
      </c>
      <c r="M4" s="97" t="n">
        <v>0</v>
      </c>
    </row>
    <row collapsed="false" customFormat="false" customHeight="false" hidden="false" ht="15" outlineLevel="0" r="5">
      <c r="A5" s="96" t="s">
        <v>36</v>
      </c>
      <c r="B5" s="98" t="n">
        <v>19714.5367220573</v>
      </c>
      <c r="C5" s="98" t="n">
        <v>18606.7827861691</v>
      </c>
      <c r="D5" s="98" t="n">
        <v>18606.7827861691</v>
      </c>
      <c r="E5" s="98" t="n">
        <v>18606.7827861691</v>
      </c>
      <c r="F5" s="98" t="n">
        <v>18606.7827861691</v>
      </c>
      <c r="G5" s="98" t="n">
        <v>18606.7827861691</v>
      </c>
      <c r="H5" s="98" t="n">
        <v>19714.5367220573</v>
      </c>
      <c r="I5" s="98" t="n">
        <v>18606.7827861691</v>
      </c>
      <c r="J5" s="98" t="n">
        <v>18606.7827861691</v>
      </c>
      <c r="K5" s="98" t="n">
        <v>18606.7827861691</v>
      </c>
      <c r="L5" s="98" t="n">
        <v>18606.7827861691</v>
      </c>
      <c r="M5" s="98" t="n">
        <v>18606.7827861691</v>
      </c>
      <c r="N5" s="0" t="n">
        <v>216773</v>
      </c>
      <c r="O5" s="99" t="n">
        <f aca="false">N5/12</f>
        <v>18064.4166666667</v>
      </c>
    </row>
    <row collapsed="false" customFormat="false" customHeight="false" hidden="false" ht="15" outlineLevel="0" r="6">
      <c r="A6" s="96" t="s">
        <v>37</v>
      </c>
      <c r="B6" s="0" t="n">
        <v>2788.82276722953</v>
      </c>
      <c r="C6" s="0" t="n">
        <v>5476.48535813862</v>
      </c>
      <c r="D6" s="0" t="n">
        <v>5486.08535813862</v>
      </c>
      <c r="E6" s="0" t="n">
        <v>5476.48535813862</v>
      </c>
      <c r="F6" s="0" t="n">
        <v>5396.20630970226</v>
      </c>
      <c r="G6" s="0" t="n">
        <v>5486.88535813862</v>
      </c>
      <c r="H6" s="0" t="n">
        <v>5476.48535813862</v>
      </c>
      <c r="I6" s="0" t="n">
        <v>5476.48535813862</v>
      </c>
      <c r="J6" s="0" t="n">
        <v>5484.48535813862</v>
      </c>
      <c r="K6" s="0" t="n">
        <v>5476.48535813862</v>
      </c>
      <c r="L6" s="0" t="n">
        <v>5619.34335813862</v>
      </c>
      <c r="M6" s="0" t="n">
        <v>5484.48535813862</v>
      </c>
      <c r="N6" s="100" t="n">
        <v>55633</v>
      </c>
      <c r="O6" s="99" t="n">
        <f aca="false">N6/12</f>
        <v>4636.08333333333</v>
      </c>
    </row>
    <row collapsed="false" customFormat="false" customHeight="false" hidden="false" ht="15" outlineLevel="0" r="7">
      <c r="A7" s="101" t="s">
        <v>38</v>
      </c>
      <c r="B7" s="102" t="n">
        <f aca="false">SUM(B4:B6)</f>
        <v>22503.3594892868</v>
      </c>
      <c r="C7" s="102" t="n">
        <f aca="false">SUM(C4:C6)</f>
        <v>24083.2681443077</v>
      </c>
      <c r="D7" s="102" t="n">
        <f aca="false">SUM(D4:D6)</f>
        <v>24092.8681443077</v>
      </c>
      <c r="E7" s="102" t="n">
        <f aca="false">SUM(E4:E6)</f>
        <v>24083.2681443077</v>
      </c>
      <c r="F7" s="102" t="n">
        <f aca="false">SUM(F4:F6)</f>
        <v>24002.9890958713</v>
      </c>
      <c r="G7" s="102" t="n">
        <f aca="false">SUM(G4:G6)</f>
        <v>24093.6681443077</v>
      </c>
      <c r="H7" s="102" t="n">
        <f aca="false">SUM(H4:H6)</f>
        <v>25191.0220801959</v>
      </c>
      <c r="I7" s="102" t="n">
        <f aca="false">SUM(I4:I6)</f>
        <v>24083.2681443077</v>
      </c>
      <c r="J7" s="102" t="n">
        <f aca="false">SUM(J4:J6)</f>
        <v>24091.2681443077</v>
      </c>
      <c r="K7" s="102" t="n">
        <f aca="false">SUM(K4:K6)</f>
        <v>24083.2681443077</v>
      </c>
      <c r="L7" s="102" t="n">
        <f aca="false">SUM(L4:L6)</f>
        <v>24226.1261443077</v>
      </c>
      <c r="M7" s="102" t="n">
        <f aca="false">SUM(M4:M6)</f>
        <v>24091.2681443077</v>
      </c>
      <c r="Q7" s="102" t="n">
        <v>59648</v>
      </c>
    </row>
    <row collapsed="false" customFormat="false" customHeight="false" hidden="false" ht="15" outlineLevel="0" r="8">
      <c r="Q8" s="102" t="n">
        <v>3957145</v>
      </c>
    </row>
    <row collapsed="false" customFormat="false" customHeight="false" hidden="false" ht="15" outlineLevel="0" r="9">
      <c r="A9" s="95" t="s">
        <v>39</v>
      </c>
      <c r="Q9" s="102" t="n">
        <v>-3039078</v>
      </c>
    </row>
    <row collapsed="false" customFormat="false" customHeight="false" hidden="false" ht="15" outlineLevel="0" r="10">
      <c r="A10" s="96" t="s">
        <v>35</v>
      </c>
      <c r="B10" s="99" t="n">
        <f aca="false">B4</f>
        <v>0</v>
      </c>
      <c r="C10" s="99" t="n">
        <f aca="false">C4+B10</f>
        <v>0</v>
      </c>
      <c r="D10" s="99" t="n">
        <f aca="false">D4+C10</f>
        <v>0</v>
      </c>
      <c r="E10" s="99" t="n">
        <f aca="false">E4+D10</f>
        <v>0</v>
      </c>
      <c r="F10" s="99" t="n">
        <f aca="false">F4+E10</f>
        <v>0</v>
      </c>
      <c r="G10" s="99" t="n">
        <f aca="false">G4+F10</f>
        <v>0</v>
      </c>
      <c r="H10" s="99" t="n">
        <f aca="false">H4+G10</f>
        <v>0</v>
      </c>
      <c r="I10" s="99" t="n">
        <f aca="false">I4+H10</f>
        <v>0</v>
      </c>
      <c r="J10" s="99" t="n">
        <f aca="false">J4+I10</f>
        <v>0</v>
      </c>
      <c r="K10" s="99" t="n">
        <f aca="false">K4+J10</f>
        <v>0</v>
      </c>
      <c r="L10" s="99" t="n">
        <f aca="false">L4+K10</f>
        <v>0</v>
      </c>
      <c r="M10" s="99" t="n">
        <f aca="false">M4+L10</f>
        <v>0</v>
      </c>
      <c r="Q10" s="102" t="n">
        <v>5220130</v>
      </c>
    </row>
    <row collapsed="false" customFormat="false" customHeight="false" hidden="false" ht="15" outlineLevel="0" r="11">
      <c r="A11" s="96" t="s">
        <v>36</v>
      </c>
      <c r="B11" s="99" t="n">
        <f aca="false">B5</f>
        <v>19714.5367220573</v>
      </c>
      <c r="C11" s="99" t="n">
        <f aca="false">C5+B11</f>
        <v>38321.3195082263</v>
      </c>
      <c r="D11" s="99" t="n">
        <f aca="false">D5+C11</f>
        <v>56928.1022943954</v>
      </c>
      <c r="E11" s="99" t="n">
        <f aca="false">E5+D11</f>
        <v>75534.8850805645</v>
      </c>
      <c r="F11" s="99" t="n">
        <f aca="false">F5+E11</f>
        <v>94141.6678667335</v>
      </c>
      <c r="G11" s="99" t="n">
        <f aca="false">G5+F11</f>
        <v>112748.450652903</v>
      </c>
      <c r="H11" s="99" t="n">
        <f aca="false">H5+G11</f>
        <v>132462.98737496</v>
      </c>
      <c r="I11" s="99" t="n">
        <f aca="false">I5+H11</f>
        <v>151069.770161129</v>
      </c>
      <c r="J11" s="99" t="n">
        <f aca="false">J5+I11</f>
        <v>169676.552947298</v>
      </c>
      <c r="K11" s="99" t="n">
        <f aca="false">K5+J11</f>
        <v>188283.335733467</v>
      </c>
      <c r="L11" s="99" t="n">
        <f aca="false">L5+K11</f>
        <v>206890.118519636</v>
      </c>
      <c r="M11" s="99" t="n">
        <f aca="false">M5+L11</f>
        <v>225496.901305805</v>
      </c>
    </row>
    <row collapsed="false" customFormat="false" customHeight="false" hidden="false" ht="15" outlineLevel="0" r="12">
      <c r="A12" s="96" t="s">
        <v>37</v>
      </c>
      <c r="B12" s="99" t="n">
        <f aca="false">B6</f>
        <v>2788.82276722953</v>
      </c>
      <c r="C12" s="99" t="n">
        <f aca="false">C6+B12</f>
        <v>8265.30812536815</v>
      </c>
      <c r="D12" s="99" t="n">
        <f aca="false">D6+C12</f>
        <v>13751.3934835068</v>
      </c>
      <c r="E12" s="99" t="n">
        <f aca="false">E6+D12</f>
        <v>19227.8788416454</v>
      </c>
      <c r="F12" s="99" t="n">
        <f aca="false">F6+E12</f>
        <v>24624.0851513476</v>
      </c>
      <c r="G12" s="99" t="n">
        <f aca="false">G6+F12</f>
        <v>30110.9705094863</v>
      </c>
      <c r="H12" s="99" t="n">
        <f aca="false">H6+G12</f>
        <v>35587.4558676249</v>
      </c>
      <c r="I12" s="99" t="n">
        <f aca="false">I6+H12</f>
        <v>41063.9412257635</v>
      </c>
      <c r="J12" s="99" t="n">
        <f aca="false">J6+I12</f>
        <v>46548.4265839021</v>
      </c>
      <c r="K12" s="99" t="n">
        <f aca="false">K6+J12</f>
        <v>52024.9119420407</v>
      </c>
      <c r="L12" s="99" t="n">
        <f aca="false">L6+K12</f>
        <v>57644.2553001794</v>
      </c>
      <c r="M12" s="99" t="n">
        <f aca="false">M6+L12</f>
        <v>63128.740658318</v>
      </c>
    </row>
    <row collapsed="false" customFormat="false" customHeight="false" hidden="false" ht="15" outlineLevel="0" r="13">
      <c r="A13" s="101" t="s">
        <v>38</v>
      </c>
      <c r="B13" s="99" t="n">
        <f aca="false">SUM(B10:B12)</f>
        <v>22503.3594892868</v>
      </c>
      <c r="C13" s="99" t="n">
        <f aca="false">SUM(C10:C12)</f>
        <v>46586.6276335945</v>
      </c>
      <c r="D13" s="99" t="n">
        <f aca="false">SUM(D10:D12)</f>
        <v>70679.4957779022</v>
      </c>
      <c r="E13" s="99" t="n">
        <f aca="false">SUM(E10:E12)</f>
        <v>94762.7639222098</v>
      </c>
      <c r="F13" s="99" t="n">
        <f aca="false">SUM(F10:F12)</f>
        <v>118765.753018081</v>
      </c>
      <c r="G13" s="99" t="n">
        <f aca="false">SUM(G10:G12)</f>
        <v>142859.421162389</v>
      </c>
      <c r="H13" s="99" t="n">
        <f aca="false">SUM(H10:H12)</f>
        <v>168050.443242585</v>
      </c>
      <c r="I13" s="99" t="n">
        <f aca="false">SUM(I10:I12)</f>
        <v>192133.711386892</v>
      </c>
      <c r="J13" s="99" t="n">
        <f aca="false">SUM(J10:J12)</f>
        <v>216224.9795312</v>
      </c>
      <c r="K13" s="99" t="n">
        <f aca="false">SUM(K10:K12)</f>
        <v>240308.247675508</v>
      </c>
      <c r="L13" s="99" t="n">
        <f aca="false">SUM(L10:L12)</f>
        <v>264534.373819815</v>
      </c>
      <c r="M13" s="99" t="n">
        <f aca="false">SUM(M10:M12)</f>
        <v>288625.641964123</v>
      </c>
    </row>
    <row collapsed="false" customFormat="false" customHeight="false" hidden="false" ht="15" outlineLevel="0" r="15">
      <c r="H15" s="102"/>
      <c r="I15" s="102"/>
      <c r="J15" s="102"/>
      <c r="K15" s="102"/>
      <c r="L15" s="102"/>
    </row>
    <row collapsed="false" customFormat="false" customHeight="false" hidden="false" ht="15" outlineLevel="0" r="16">
      <c r="A16" s="95" t="s">
        <v>40</v>
      </c>
      <c r="H16" s="102"/>
      <c r="I16" s="102"/>
      <c r="J16" s="102"/>
      <c r="K16" s="102"/>
      <c r="L16" s="102"/>
    </row>
    <row collapsed="false" customFormat="false" customHeight="false" hidden="false" ht="15" outlineLevel="0" r="17">
      <c r="A17" s="96" t="s">
        <v>35</v>
      </c>
      <c r="B17" s="102" t="n">
        <v>3956504</v>
      </c>
      <c r="C17" s="102" t="n">
        <v>3956504</v>
      </c>
      <c r="D17" s="102" t="n">
        <v>3956504</v>
      </c>
      <c r="E17" s="102" t="n">
        <v>3956504</v>
      </c>
      <c r="F17" s="102" t="n">
        <v>3956504</v>
      </c>
      <c r="G17" s="102" t="n">
        <v>3956297</v>
      </c>
      <c r="H17" s="102" t="n">
        <v>0</v>
      </c>
      <c r="I17" s="102" t="n">
        <v>0</v>
      </c>
      <c r="J17" s="102" t="n">
        <v>0</v>
      </c>
      <c r="K17" s="102" t="n">
        <v>0</v>
      </c>
      <c r="L17" s="102" t="n">
        <v>0</v>
      </c>
      <c r="M17" s="102" t="n">
        <v>0</v>
      </c>
    </row>
    <row collapsed="false" customFormat="false" customHeight="false" hidden="false" ht="15" outlineLevel="0" r="18">
      <c r="A18" s="96" t="s">
        <v>36</v>
      </c>
      <c r="B18" s="102" t="n">
        <v>17620129</v>
      </c>
      <c r="C18" s="102" t="n">
        <v>15816385</v>
      </c>
      <c r="D18" s="102" t="n">
        <v>17941806</v>
      </c>
      <c r="E18" s="103" t="n">
        <v>2328920</v>
      </c>
      <c r="F18" s="102" t="n">
        <v>6159644</v>
      </c>
      <c r="G18" s="102" t="n">
        <v>22232454</v>
      </c>
      <c r="H18" s="102" t="n">
        <v>0</v>
      </c>
      <c r="I18" s="102" t="n">
        <v>0</v>
      </c>
      <c r="J18" s="102" t="n">
        <v>0</v>
      </c>
      <c r="K18" s="102" t="n">
        <v>0</v>
      </c>
      <c r="L18" s="102" t="n">
        <v>0</v>
      </c>
      <c r="M18" s="102" t="n">
        <v>0</v>
      </c>
      <c r="P18" s="104" t="s">
        <v>41</v>
      </c>
      <c r="Q18" s="97" t="n">
        <v>4262619</v>
      </c>
      <c r="R18" s="97" t="n">
        <f aca="false">Q18+Q19+Q20+Q23</f>
        <v>17034463</v>
      </c>
    </row>
    <row collapsed="false" customFormat="false" customHeight="false" hidden="false" ht="15" outlineLevel="0" r="19">
      <c r="A19" s="96" t="s">
        <v>37</v>
      </c>
      <c r="B19" s="102" t="n">
        <v>4961838</v>
      </c>
      <c r="C19" s="102" t="n">
        <v>4454375</v>
      </c>
      <c r="D19" s="102" t="n">
        <v>3793484</v>
      </c>
      <c r="E19" s="102" t="n">
        <v>5325711</v>
      </c>
      <c r="F19" s="102" t="n">
        <v>5777787</v>
      </c>
      <c r="G19" s="102" t="n">
        <v>5079749</v>
      </c>
      <c r="H19" s="102" t="n">
        <v>0</v>
      </c>
      <c r="I19" s="102" t="n">
        <v>0</v>
      </c>
      <c r="J19" s="102" t="n">
        <v>0</v>
      </c>
      <c r="K19" s="102" t="n">
        <v>0</v>
      </c>
      <c r="L19" s="102" t="n">
        <v>0</v>
      </c>
      <c r="M19" s="102" t="n">
        <v>0</v>
      </c>
      <c r="P19" s="104" t="s">
        <v>42</v>
      </c>
      <c r="Q19" s="97" t="n">
        <v>944331</v>
      </c>
      <c r="R19" s="97" t="n">
        <f aca="false">Q21</f>
        <v>4533767</v>
      </c>
    </row>
    <row collapsed="false" customFormat="false" customHeight="false" hidden="false" ht="15" outlineLevel="0" r="20">
      <c r="A20" s="101" t="s">
        <v>38</v>
      </c>
      <c r="H20" s="102"/>
      <c r="I20" s="102"/>
      <c r="J20" s="102"/>
      <c r="K20" s="102"/>
      <c r="L20" s="102"/>
      <c r="P20" s="104" t="s">
        <v>43</v>
      </c>
      <c r="Q20" s="97" t="n">
        <v>11824763</v>
      </c>
    </row>
    <row collapsed="false" customFormat="false" customHeight="false" hidden="false" ht="15" outlineLevel="0" r="21">
      <c r="A21" s="96"/>
      <c r="B21" s="102"/>
      <c r="C21" s="102"/>
      <c r="D21" s="102"/>
      <c r="E21" s="102"/>
      <c r="F21" s="102"/>
      <c r="G21" s="102"/>
      <c r="H21" s="102"/>
      <c r="I21" s="102"/>
      <c r="P21" s="104" t="s">
        <v>44</v>
      </c>
      <c r="Q21" s="97" t="n">
        <v>4533767</v>
      </c>
    </row>
    <row collapsed="false" customFormat="false" customHeight="false" hidden="false" ht="15" outlineLevel="0" r="22">
      <c r="A22" s="96"/>
      <c r="B22" s="102"/>
      <c r="C22" s="102"/>
      <c r="D22" s="102"/>
      <c r="E22" s="102"/>
      <c r="F22" s="102"/>
      <c r="G22" s="102"/>
      <c r="H22" s="102"/>
      <c r="I22" s="102"/>
      <c r="P22" s="104" t="s">
        <v>45</v>
      </c>
      <c r="Q22" s="97" t="n">
        <v>8403</v>
      </c>
      <c r="R22" s="97" t="n">
        <f aca="false">Q24+Q22</f>
        <v>4970241</v>
      </c>
    </row>
    <row collapsed="false" customFormat="false" customHeight="false" hidden="false" ht="15" outlineLevel="0" r="23">
      <c r="A23" s="96" t="s">
        <v>35</v>
      </c>
      <c r="B23" s="105" t="n">
        <f aca="false">B17/1000</f>
        <v>3956.504</v>
      </c>
      <c r="C23" s="105" t="n">
        <f aca="false">C17/1000</f>
        <v>3956.504</v>
      </c>
      <c r="D23" s="105" t="n">
        <f aca="false">D17/1000</f>
        <v>3956.504</v>
      </c>
      <c r="E23" s="105" t="n">
        <f aca="false">E17/1000</f>
        <v>3956.504</v>
      </c>
      <c r="F23" s="105" t="n">
        <f aca="false">F17/1000</f>
        <v>3956.504</v>
      </c>
      <c r="G23" s="105" t="n">
        <f aca="false">G17/1000</f>
        <v>3956.297</v>
      </c>
      <c r="H23" s="105" t="n">
        <f aca="false">H17/1000</f>
        <v>0</v>
      </c>
      <c r="I23" s="105" t="n">
        <f aca="false">I17/1000</f>
        <v>0</v>
      </c>
      <c r="J23" s="105" t="n">
        <f aca="false">J17/1000</f>
        <v>0</v>
      </c>
      <c r="K23" s="105" t="n">
        <f aca="false">K17/1000</f>
        <v>0</v>
      </c>
      <c r="L23" s="105" t="n">
        <f aca="false">L17/1000</f>
        <v>0</v>
      </c>
      <c r="M23" s="105" t="n">
        <f aca="false">M17/1000</f>
        <v>0</v>
      </c>
      <c r="P23" s="104" t="s">
        <v>46</v>
      </c>
      <c r="Q23" s="97" t="n">
        <v>2750</v>
      </c>
    </row>
    <row collapsed="false" customFormat="false" customHeight="false" hidden="false" ht="15" outlineLevel="0" r="24">
      <c r="A24" s="96" t="s">
        <v>36</v>
      </c>
      <c r="B24" s="105" t="n">
        <f aca="false">B18/1000</f>
        <v>17620.129</v>
      </c>
      <c r="C24" s="105" t="n">
        <f aca="false">C18/1000</f>
        <v>15816.385</v>
      </c>
      <c r="D24" s="105" t="n">
        <f aca="false">D18/1000</f>
        <v>17941.806</v>
      </c>
      <c r="E24" s="105" t="n">
        <f aca="false">E18/1000</f>
        <v>2328.92</v>
      </c>
      <c r="F24" s="105" t="n">
        <f aca="false">F18/1000</f>
        <v>6159.644</v>
      </c>
      <c r="G24" s="105" t="n">
        <f aca="false">G18/1000</f>
        <v>22232.454</v>
      </c>
      <c r="H24" s="105" t="n">
        <f aca="false">H18/1000</f>
        <v>0</v>
      </c>
      <c r="I24" s="105" t="n">
        <f aca="false">I18/1000</f>
        <v>0</v>
      </c>
      <c r="J24" s="105" t="n">
        <f aca="false">J18/1000</f>
        <v>0</v>
      </c>
      <c r="K24" s="105" t="n">
        <f aca="false">K18/1000</f>
        <v>0</v>
      </c>
      <c r="L24" s="105" t="n">
        <f aca="false">L18/1000</f>
        <v>0</v>
      </c>
      <c r="M24" s="105" t="n">
        <f aca="false">M18/1000</f>
        <v>0</v>
      </c>
      <c r="P24" s="104" t="s">
        <v>15</v>
      </c>
      <c r="Q24" s="97" t="n">
        <v>4961838</v>
      </c>
    </row>
    <row collapsed="false" customFormat="false" customHeight="false" hidden="false" ht="15" outlineLevel="0" r="25">
      <c r="A25" s="96" t="s">
        <v>37</v>
      </c>
      <c r="B25" s="105" t="n">
        <f aca="false">B19/1000</f>
        <v>4961.838</v>
      </c>
      <c r="C25" s="105" t="n">
        <f aca="false">C19/1000</f>
        <v>4454.375</v>
      </c>
      <c r="D25" s="105" t="n">
        <f aca="false">D19/1000</f>
        <v>3793.484</v>
      </c>
      <c r="E25" s="105" t="n">
        <f aca="false">E19/1000</f>
        <v>5325.711</v>
      </c>
      <c r="F25" s="105" t="n">
        <f aca="false">F19/1000</f>
        <v>5777.787</v>
      </c>
      <c r="G25" s="105" t="n">
        <f aca="false">G19/1000</f>
        <v>5079.749</v>
      </c>
      <c r="H25" s="105" t="n">
        <f aca="false">H19/1000</f>
        <v>0</v>
      </c>
      <c r="I25" s="105" t="n">
        <f aca="false">I19/1000</f>
        <v>0</v>
      </c>
      <c r="J25" s="105" t="n">
        <f aca="false">J19/1000</f>
        <v>0</v>
      </c>
      <c r="K25" s="105" t="n">
        <f aca="false">K19/1000</f>
        <v>0</v>
      </c>
      <c r="L25" s="105" t="n">
        <f aca="false">L19/1000</f>
        <v>0</v>
      </c>
      <c r="M25" s="105" t="n">
        <f aca="false">M19/1000</f>
        <v>0</v>
      </c>
      <c r="P25" s="104"/>
      <c r="Q25" s="97"/>
      <c r="R25" s="97"/>
    </row>
    <row collapsed="false" customFormat="false" customHeight="false" hidden="false" ht="15" outlineLevel="0" r="26">
      <c r="A26" s="101" t="s">
        <v>38</v>
      </c>
      <c r="B26" s="105" t="n">
        <f aca="false">SUM(B23:B25)</f>
        <v>26538.471</v>
      </c>
      <c r="C26" s="105" t="n">
        <f aca="false">SUM(C23:C25)</f>
        <v>24227.264</v>
      </c>
      <c r="D26" s="105" t="n">
        <f aca="false">SUM(D23:D25)</f>
        <v>25691.794</v>
      </c>
      <c r="E26" s="105" t="n">
        <f aca="false">SUM(E23:E25)</f>
        <v>11611.135</v>
      </c>
      <c r="F26" s="105" t="n">
        <f aca="false">SUM(F23:F25)</f>
        <v>15893.935</v>
      </c>
      <c r="G26" s="105" t="n">
        <f aca="false">SUM(G23:G25)</f>
        <v>31268.5</v>
      </c>
      <c r="H26" s="105" t="n">
        <f aca="false">SUM(H23:H25)</f>
        <v>0</v>
      </c>
      <c r="I26" s="105" t="n">
        <f aca="false">SUM(I23:I25)</f>
        <v>0</v>
      </c>
      <c r="J26" s="105" t="n">
        <f aca="false">SUM(J23:J25)</f>
        <v>0</v>
      </c>
      <c r="K26" s="105" t="n">
        <f aca="false">SUM(K23:K25)</f>
        <v>0</v>
      </c>
      <c r="L26" s="105" t="n">
        <f aca="false">SUM(L23:L25)</f>
        <v>0</v>
      </c>
      <c r="M26" s="105" t="n">
        <f aca="false">SUM(M23:M25)</f>
        <v>0</v>
      </c>
      <c r="P26" s="104"/>
      <c r="Q26" s="97"/>
    </row>
    <row collapsed="false" customFormat="false" customHeight="false" hidden="false" ht="15" outlineLevel="0" r="27">
      <c r="P27" s="104"/>
      <c r="Q27" s="97"/>
    </row>
    <row collapsed="false" customFormat="false" customHeight="false" hidden="false" ht="15" outlineLevel="0" r="28">
      <c r="A28" s="95" t="s">
        <v>47</v>
      </c>
      <c r="P28" s="104"/>
      <c r="Q28" s="97"/>
    </row>
    <row collapsed="false" customFormat="false" customHeight="false" hidden="false" ht="15" outlineLevel="0" r="29">
      <c r="A29" s="96" t="s">
        <v>35</v>
      </c>
      <c r="P29" s="104"/>
      <c r="Q29" s="97"/>
    </row>
    <row collapsed="false" customFormat="false" customHeight="false" hidden="false" ht="15" outlineLevel="0" r="30">
      <c r="A30" s="96" t="s">
        <v>36</v>
      </c>
      <c r="P30" s="104"/>
      <c r="Q30" s="97"/>
    </row>
    <row collapsed="false" customFormat="false" customHeight="false" hidden="false" ht="15" outlineLevel="0" r="31">
      <c r="A31" s="96" t="s">
        <v>37</v>
      </c>
    </row>
    <row collapsed="false" customFormat="false" customHeight="false" hidden="false" ht="15" outlineLevel="0" r="32">
      <c r="A32" s="101" t="s">
        <v>38</v>
      </c>
      <c r="B32" s="106" t="n">
        <f aca="false">B38</f>
        <v>26538.471</v>
      </c>
      <c r="C32" s="106" t="n">
        <f aca="false">C38</f>
        <v>50765.735</v>
      </c>
      <c r="D32" s="106" t="n">
        <f aca="false">D38</f>
        <v>76457.529</v>
      </c>
      <c r="E32" s="106" t="n">
        <f aca="false">E38</f>
        <v>77068.664</v>
      </c>
      <c r="F32" s="106" t="n">
        <f aca="false">E38+F7</f>
        <v>101071.653095871</v>
      </c>
      <c r="G32" s="106" t="n">
        <f aca="false">F32+G7</f>
        <v>125165.321240179</v>
      </c>
      <c r="H32" s="106" t="n">
        <f aca="false">G32+H7</f>
        <v>150356.343320375</v>
      </c>
      <c r="I32" s="106" t="n">
        <f aca="false">H32+I7</f>
        <v>174439.611464683</v>
      </c>
      <c r="J32" s="106" t="n">
        <f aca="false">I32+J7</f>
        <v>198530.87960899</v>
      </c>
      <c r="K32" s="106" t="n">
        <f aca="false">J32+K7</f>
        <v>222614.147753298</v>
      </c>
      <c r="L32" s="106" t="n">
        <f aca="false">K32+L7</f>
        <v>246840.273897606</v>
      </c>
      <c r="M32" s="106" t="n">
        <f aca="false">L32+M7</f>
        <v>270931.542041913</v>
      </c>
    </row>
    <row collapsed="false" customFormat="false" customHeight="false" hidden="false" ht="15" outlineLevel="0" r="34">
      <c r="A34" s="95" t="s">
        <v>39</v>
      </c>
    </row>
    <row collapsed="false" customFormat="false" customHeight="false" hidden="false" ht="15" outlineLevel="0" r="35">
      <c r="A35" s="96" t="s">
        <v>35</v>
      </c>
      <c r="B35" s="105" t="n">
        <f aca="false">B23</f>
        <v>3956.504</v>
      </c>
      <c r="C35" s="106" t="n">
        <f aca="false">B35+C23</f>
        <v>7913.008</v>
      </c>
      <c r="D35" s="106" t="n">
        <f aca="false">C35+D23</f>
        <v>11869.512</v>
      </c>
      <c r="E35" s="106" t="n">
        <f aca="false">D35+E23</f>
        <v>15826.016</v>
      </c>
      <c r="F35" s="106" t="n">
        <f aca="false">E35+F23</f>
        <v>19782.52</v>
      </c>
      <c r="G35" s="106" t="n">
        <f aca="false">F35+G23</f>
        <v>23738.817</v>
      </c>
      <c r="H35" s="106" t="n">
        <f aca="false">G35+H23</f>
        <v>23738.817</v>
      </c>
      <c r="I35" s="106" t="n">
        <f aca="false">H35+I23</f>
        <v>23738.817</v>
      </c>
      <c r="J35" s="106" t="n">
        <f aca="false">I35+J23</f>
        <v>23738.817</v>
      </c>
      <c r="K35" s="106" t="n">
        <f aca="false">J35+K23</f>
        <v>23738.817</v>
      </c>
      <c r="L35" s="106" t="n">
        <f aca="false">K35+L23</f>
        <v>23738.817</v>
      </c>
      <c r="M35" s="106" t="n">
        <f aca="false">L35+M23</f>
        <v>23738.817</v>
      </c>
    </row>
    <row collapsed="false" customFormat="false" customHeight="false" hidden="false" ht="15" outlineLevel="0" r="36">
      <c r="A36" s="96" t="s">
        <v>36</v>
      </c>
      <c r="B36" s="105" t="n">
        <f aca="false">B24</f>
        <v>17620.129</v>
      </c>
      <c r="C36" s="106" t="n">
        <f aca="false">B36+C24</f>
        <v>33436.514</v>
      </c>
      <c r="D36" s="106" t="n">
        <f aca="false">C36+D24</f>
        <v>51378.32</v>
      </c>
      <c r="E36" s="106" t="n">
        <f aca="false">D36+E24-11000</f>
        <v>42707.24</v>
      </c>
      <c r="F36" s="106" t="n">
        <f aca="false">E36+F24</f>
        <v>48866.884</v>
      </c>
      <c r="G36" s="106" t="n">
        <f aca="false">F36+G24</f>
        <v>71099.338</v>
      </c>
      <c r="H36" s="106" t="n">
        <f aca="false">G36+H24</f>
        <v>71099.338</v>
      </c>
      <c r="I36" s="106" t="n">
        <f aca="false">H36+I24</f>
        <v>71099.338</v>
      </c>
      <c r="J36" s="106" t="n">
        <f aca="false">I36+J24</f>
        <v>71099.338</v>
      </c>
      <c r="K36" s="106" t="n">
        <f aca="false">J36+K24</f>
        <v>71099.338</v>
      </c>
      <c r="L36" s="106" t="n">
        <f aca="false">K36+L24</f>
        <v>71099.338</v>
      </c>
      <c r="M36" s="106" t="n">
        <f aca="false">L36+M24</f>
        <v>71099.338</v>
      </c>
    </row>
    <row collapsed="false" customFormat="false" customHeight="false" hidden="false" ht="15" outlineLevel="0" r="37">
      <c r="A37" s="96" t="s">
        <v>37</v>
      </c>
      <c r="B37" s="105" t="n">
        <f aca="false">B25</f>
        <v>4961.838</v>
      </c>
      <c r="C37" s="106" t="n">
        <f aca="false">B37+C25</f>
        <v>9416.213</v>
      </c>
      <c r="D37" s="106" t="n">
        <f aca="false">C37+D25</f>
        <v>13209.697</v>
      </c>
      <c r="E37" s="106" t="n">
        <f aca="false">D37+E25</f>
        <v>18535.408</v>
      </c>
      <c r="F37" s="106" t="n">
        <f aca="false">E37+F25</f>
        <v>24313.195</v>
      </c>
      <c r="G37" s="106" t="n">
        <f aca="false">F37+G25</f>
        <v>29392.944</v>
      </c>
      <c r="H37" s="106" t="n">
        <f aca="false">G37+H25</f>
        <v>29392.944</v>
      </c>
      <c r="I37" s="106" t="n">
        <f aca="false">H37+I25</f>
        <v>29392.944</v>
      </c>
      <c r="J37" s="106" t="n">
        <f aca="false">I37+J25</f>
        <v>29392.944</v>
      </c>
      <c r="K37" s="106" t="n">
        <f aca="false">J37+K25</f>
        <v>29392.944</v>
      </c>
      <c r="L37" s="106" t="n">
        <f aca="false">K37+L25</f>
        <v>29392.944</v>
      </c>
      <c r="M37" s="106" t="n">
        <f aca="false">L37+M25</f>
        <v>29392.944</v>
      </c>
    </row>
    <row collapsed="false" customFormat="false" customHeight="false" hidden="false" ht="15" outlineLevel="0" r="38">
      <c r="A38" s="101" t="s">
        <v>38</v>
      </c>
      <c r="B38" s="105" t="n">
        <f aca="false">SUM(B35:B37)</f>
        <v>26538.471</v>
      </c>
      <c r="C38" s="105" t="n">
        <f aca="false">SUM(C35:C37)</f>
        <v>50765.735</v>
      </c>
      <c r="D38" s="105" t="n">
        <f aca="false">SUM(D35:D37)</f>
        <v>76457.529</v>
      </c>
      <c r="E38" s="105" t="n">
        <f aca="false">SUM(E35:E37)</f>
        <v>77068.664</v>
      </c>
      <c r="F38" s="105" t="n">
        <f aca="false">SUM(F35:F37)</f>
        <v>92962.599</v>
      </c>
      <c r="G38" s="105" t="n">
        <f aca="false">SUM(G35:G37)</f>
        <v>124231.099</v>
      </c>
      <c r="H38" s="105" t="n">
        <f aca="false">SUM(H35:H37)</f>
        <v>124231.099</v>
      </c>
      <c r="I38" s="105" t="n">
        <f aca="false">SUM(I35:I37)</f>
        <v>124231.099</v>
      </c>
      <c r="J38" s="105" t="n">
        <f aca="false">SUM(J35:J37)</f>
        <v>124231.099</v>
      </c>
      <c r="K38" s="105" t="n">
        <f aca="false">SUM(K35:K37)</f>
        <v>124231.099</v>
      </c>
      <c r="L38" s="105" t="n">
        <f aca="false">SUM(L35:L37)</f>
        <v>124231.099</v>
      </c>
      <c r="M38" s="105" t="n">
        <f aca="false">SUM(M35:M37)</f>
        <v>124231.099</v>
      </c>
    </row>
    <row collapsed="false" customFormat="false" customHeight="false" hidden="false" ht="15" outlineLevel="0" r="39">
      <c r="J39" s="106"/>
      <c r="L39" s="106" t="n">
        <f aca="false">SUM(B32:J32)+K32:L32</f>
        <v>1227234.4816277</v>
      </c>
      <c r="M39" s="106" t="n">
        <f aca="false">M32+L39</f>
        <v>1498166.02366962</v>
      </c>
    </row>
    <row collapsed="false" customFormat="false" customHeight="false" hidden="false" ht="15" outlineLevel="0" r="51">
      <c r="B51" s="97" t="n">
        <v>2788822.76722953</v>
      </c>
      <c r="C51" s="97" t="n">
        <v>5476485.35813862</v>
      </c>
      <c r="D51" s="97" t="n">
        <v>5486085.35813862</v>
      </c>
      <c r="E51" s="97" t="n">
        <v>5476485.35813862</v>
      </c>
      <c r="F51" s="97" t="n">
        <v>5396206.30970226</v>
      </c>
      <c r="G51" s="97" t="n">
        <v>5486885.35813862</v>
      </c>
      <c r="H51" s="97" t="n">
        <v>5476485.35813862</v>
      </c>
      <c r="I51" s="97" t="n">
        <v>5476485.35813862</v>
      </c>
      <c r="J51" s="97" t="n">
        <v>5484485.35813862</v>
      </c>
      <c r="K51" s="97" t="n">
        <v>5476485.35813862</v>
      </c>
      <c r="L51" s="97" t="n">
        <v>5619343.35813862</v>
      </c>
      <c r="M51" s="97" t="n">
        <v>5484485.35813862</v>
      </c>
    </row>
    <row collapsed="false" customFormat="false" customHeight="false" hidden="false" ht="15" outlineLevel="0" r="52">
      <c r="B52" s="99" t="n">
        <f aca="false">B51/1000</f>
        <v>2788.82276722953</v>
      </c>
      <c r="C52" s="99" t="n">
        <f aca="false">C51/1000</f>
        <v>5476.48535813862</v>
      </c>
      <c r="D52" s="99" t="n">
        <f aca="false">D51/1000</f>
        <v>5486.08535813862</v>
      </c>
      <c r="E52" s="99" t="n">
        <f aca="false">E51/1000</f>
        <v>5476.48535813862</v>
      </c>
      <c r="F52" s="99" t="n">
        <f aca="false">F51/1000</f>
        <v>5396.20630970226</v>
      </c>
      <c r="G52" s="99" t="n">
        <f aca="false">G51/1000</f>
        <v>5486.88535813862</v>
      </c>
      <c r="H52" s="99" t="n">
        <f aca="false">H51/1000</f>
        <v>5476.48535813862</v>
      </c>
      <c r="I52" s="99" t="n">
        <f aca="false">I51/1000</f>
        <v>5476.48535813862</v>
      </c>
      <c r="J52" s="99" t="n">
        <f aca="false">J51/1000</f>
        <v>5484.48535813862</v>
      </c>
      <c r="K52" s="99" t="n">
        <f aca="false">K51/1000</f>
        <v>5476.48535813862</v>
      </c>
      <c r="L52" s="99" t="n">
        <f aca="false">L51/1000</f>
        <v>5619.34335813862</v>
      </c>
      <c r="M52" s="99" t="n">
        <f aca="false">M51/1000</f>
        <v>5484.48535813862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63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E28" activeCellId="0" pane="topLeft" sqref="E28"/>
    </sheetView>
  </sheetViews>
  <sheetFormatPr defaultRowHeight="15"/>
  <cols>
    <col collapsed="false" hidden="false" max="1" min="1" style="0" width="32.4234693877551"/>
    <col collapsed="false" hidden="false" max="2" min="2" style="0" width="9.14285714285714"/>
    <col collapsed="false" hidden="false" max="4" min="3" style="0" width="5.57142857142857"/>
    <col collapsed="false" hidden="false" max="5" min="5" style="0" width="9.14285714285714"/>
    <col collapsed="false" hidden="false" max="6" min="6" style="0" width="8.56632653061224"/>
    <col collapsed="false" hidden="false" max="8" min="7" style="0" width="5.57142857142857"/>
    <col collapsed="false" hidden="false" max="9" min="9" style="0" width="9.14285714285714"/>
    <col collapsed="false" hidden="false" max="11" min="10" style="0" width="5.57142857142857"/>
    <col collapsed="false" hidden="false" max="14" min="12" style="0" width="9.14285714285714"/>
    <col collapsed="false" hidden="false" max="1025" min="15" style="0" width="10.5765306122449"/>
  </cols>
  <sheetData>
    <row collapsed="false" customFormat="false" customHeight="false" hidden="false" ht="15" outlineLevel="0" r="2">
      <c r="A2" s="0" t="s">
        <v>48</v>
      </c>
    </row>
    <row collapsed="false" customFormat="false" customHeight="false" hidden="false" ht="15" outlineLevel="0" r="3">
      <c r="A3" s="0" t="s">
        <v>49</v>
      </c>
      <c r="B3" s="0" t="s">
        <v>50</v>
      </c>
      <c r="C3" s="0" t="s">
        <v>51</v>
      </c>
      <c r="D3" s="0" t="s">
        <v>52</v>
      </c>
      <c r="E3" s="0" t="s">
        <v>53</v>
      </c>
      <c r="F3" s="0" t="s">
        <v>54</v>
      </c>
      <c r="G3" s="0" t="s">
        <v>55</v>
      </c>
      <c r="H3" s="0" t="s">
        <v>56</v>
      </c>
      <c r="I3" s="0" t="s">
        <v>57</v>
      </c>
      <c r="J3" s="0" t="s">
        <v>58</v>
      </c>
      <c r="K3" s="0" t="s">
        <v>59</v>
      </c>
      <c r="L3" s="0" t="s">
        <v>60</v>
      </c>
      <c r="M3" s="0" t="s">
        <v>61</v>
      </c>
      <c r="N3" s="0" t="s">
        <v>62</v>
      </c>
    </row>
    <row collapsed="false" customFormat="false" customHeight="false" hidden="false" ht="15" outlineLevel="0" r="4">
      <c r="A4" s="0" t="s">
        <v>63</v>
      </c>
      <c r="B4" s="107" t="n">
        <v>273</v>
      </c>
      <c r="C4" s="107" t="n">
        <v>295</v>
      </c>
      <c r="D4" s="107" t="n">
        <v>302</v>
      </c>
      <c r="E4" s="107" t="n">
        <v>388</v>
      </c>
      <c r="F4" s="107"/>
      <c r="G4" s="107"/>
      <c r="H4" s="107"/>
      <c r="I4" s="107"/>
      <c r="J4" s="107"/>
      <c r="K4" s="107"/>
      <c r="L4" s="107"/>
      <c r="M4" s="107"/>
      <c r="N4" s="108" t="n">
        <f aca="false">AVERAGE(B4:M4)</f>
        <v>314.5</v>
      </c>
    </row>
    <row collapsed="false" customFormat="false" customHeight="false" hidden="false" ht="15" outlineLevel="0" r="5">
      <c r="A5" s="0" t="s">
        <v>64</v>
      </c>
      <c r="B5" s="107" t="n">
        <v>3</v>
      </c>
      <c r="C5" s="107" t="n">
        <v>2</v>
      </c>
      <c r="D5" s="107" t="n">
        <v>4</v>
      </c>
      <c r="E5" s="107" t="n">
        <v>13</v>
      </c>
      <c r="F5" s="107"/>
      <c r="G5" s="107"/>
      <c r="H5" s="107"/>
      <c r="I5" s="107"/>
      <c r="J5" s="107"/>
      <c r="K5" s="107"/>
      <c r="L5" s="107"/>
      <c r="M5" s="107"/>
      <c r="N5" s="108" t="n">
        <f aca="false">AVERAGE(B5:M5)</f>
        <v>5.5</v>
      </c>
    </row>
    <row collapsed="false" customFormat="false" customHeight="false" hidden="false" ht="15" outlineLevel="0" r="6">
      <c r="A6" s="0" t="s">
        <v>65</v>
      </c>
      <c r="B6" s="107" t="n">
        <v>275</v>
      </c>
      <c r="C6" s="107" t="n">
        <f aca="false">SUM(C4:C5)</f>
        <v>297</v>
      </c>
      <c r="D6" s="107" t="n">
        <f aca="false">SUM(D4:D5)</f>
        <v>306</v>
      </c>
      <c r="E6" s="107" t="n">
        <f aca="false">SUM(E4:E5)</f>
        <v>401</v>
      </c>
      <c r="F6" s="107"/>
      <c r="G6" s="107"/>
      <c r="H6" s="107"/>
      <c r="I6" s="107"/>
      <c r="J6" s="107"/>
      <c r="K6" s="107"/>
      <c r="L6" s="107"/>
      <c r="M6" s="107"/>
      <c r="N6" s="108" t="n">
        <f aca="false">AVERAGE(B6:M6)</f>
        <v>319.75</v>
      </c>
      <c r="R6" s="104"/>
      <c r="S6" s="104"/>
      <c r="T6" s="104"/>
      <c r="U6" s="104"/>
      <c r="V6" s="104"/>
      <c r="W6" s="104"/>
      <c r="X6" s="104"/>
      <c r="Y6" s="104"/>
    </row>
    <row collapsed="false" customFormat="false" customHeight="false" hidden="false" ht="15" outlineLevel="0" r="7">
      <c r="R7" s="105"/>
      <c r="S7" s="105"/>
      <c r="T7" s="105"/>
      <c r="U7" s="105"/>
      <c r="V7" s="105"/>
      <c r="W7" s="105"/>
      <c r="X7" s="105"/>
      <c r="Y7" s="105"/>
    </row>
    <row collapsed="false" customFormat="false" customHeight="false" hidden="false" ht="15" outlineLevel="0" r="8">
      <c r="R8" s="102"/>
      <c r="S8" s="109"/>
      <c r="T8" s="110"/>
      <c r="U8" s="102"/>
      <c r="V8" s="102"/>
      <c r="W8" s="102"/>
      <c r="X8" s="102"/>
      <c r="Y8" s="102"/>
    </row>
    <row collapsed="false" customFormat="false" customHeight="false" hidden="false" ht="15" outlineLevel="0" r="9">
      <c r="A9" s="0" t="s">
        <v>66</v>
      </c>
      <c r="S9" s="111"/>
      <c r="T9" s="112"/>
    </row>
    <row collapsed="false" customFormat="false" customHeight="false" hidden="false" ht="15" outlineLevel="0"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62</v>
      </c>
      <c r="S10" s="111"/>
      <c r="T10" s="112"/>
    </row>
    <row collapsed="false" customFormat="false" customHeight="false" hidden="false" ht="15" outlineLevel="0" r="11">
      <c r="A11" s="0" t="s">
        <v>67</v>
      </c>
      <c r="B11" s="113" t="n">
        <v>310</v>
      </c>
      <c r="C11" s="114" t="n">
        <v>289</v>
      </c>
      <c r="D11" s="114" t="n">
        <v>286</v>
      </c>
      <c r="E11" s="114" t="n">
        <v>365</v>
      </c>
      <c r="F11" s="114"/>
      <c r="G11" s="114"/>
      <c r="H11" s="114"/>
      <c r="I11" s="114"/>
      <c r="J11" s="114"/>
      <c r="K11" s="114"/>
      <c r="L11" s="114"/>
      <c r="M11" s="114"/>
      <c r="N11" s="108" t="n">
        <f aca="false">AVERAGE(B11:M11)</f>
        <v>312.5</v>
      </c>
      <c r="S11" s="111"/>
      <c r="T11" s="112"/>
    </row>
    <row collapsed="false" customFormat="false" customHeight="false" hidden="false" ht="15" outlineLevel="0" r="12">
      <c r="A12" s="0" t="s">
        <v>68</v>
      </c>
      <c r="B12" s="115" t="n">
        <v>5.4</v>
      </c>
      <c r="C12" s="111" t="n">
        <v>3.6</v>
      </c>
      <c r="D12" s="111" t="n">
        <v>4.9</v>
      </c>
      <c r="E12" s="111" t="n">
        <v>4.28</v>
      </c>
      <c r="F12" s="111"/>
      <c r="G12" s="111"/>
      <c r="H12" s="111"/>
      <c r="I12" s="111"/>
      <c r="J12" s="111"/>
      <c r="K12" s="111"/>
      <c r="L12" s="111"/>
      <c r="M12" s="111"/>
      <c r="N12" s="108" t="n">
        <f aca="false">AVERAGE(B12:M12)</f>
        <v>4.545</v>
      </c>
      <c r="S12" s="111"/>
      <c r="T12" s="112"/>
    </row>
    <row collapsed="false" customFormat="false" customHeight="false" hidden="false" ht="15" outlineLevel="0" r="13">
      <c r="S13" s="111"/>
      <c r="T13" s="112"/>
    </row>
    <row collapsed="false" customFormat="false" customHeight="false" hidden="false" ht="15" outlineLevel="0" r="14">
      <c r="S14" s="111"/>
      <c r="T14" s="112"/>
    </row>
    <row collapsed="false" customFormat="false" customHeight="false" hidden="false" ht="15" outlineLevel="0" r="15">
      <c r="B15" s="0" t="s">
        <v>50</v>
      </c>
      <c r="C15" s="0" t="s">
        <v>51</v>
      </c>
      <c r="D15" s="0" t="s">
        <v>52</v>
      </c>
      <c r="E15" s="0" t="s">
        <v>53</v>
      </c>
      <c r="F15" s="0" t="s">
        <v>54</v>
      </c>
      <c r="G15" s="0" t="s">
        <v>55</v>
      </c>
      <c r="H15" s="0" t="s">
        <v>56</v>
      </c>
      <c r="I15" s="0" t="s">
        <v>57</v>
      </c>
      <c r="J15" s="0" t="s">
        <v>58</v>
      </c>
      <c r="K15" s="0" t="s">
        <v>59</v>
      </c>
      <c r="L15" s="0" t="s">
        <v>60</v>
      </c>
      <c r="M15" s="0" t="s">
        <v>61</v>
      </c>
      <c r="N15" s="0" t="s">
        <v>62</v>
      </c>
      <c r="S15" s="111"/>
      <c r="T15" s="112"/>
    </row>
    <row collapsed="false" customFormat="false" customHeight="false" hidden="false" ht="15" outlineLevel="0" r="16">
      <c r="A16" s="0" t="s">
        <v>63</v>
      </c>
      <c r="B16" s="103" t="e">
        <f aca="false">IFERROR(+B4/B$6;"")</f>
        <v>#VALUE!</v>
      </c>
      <c r="C16" s="103" t="e">
        <f aca="false">IFERROR(+C4/C$6;"")</f>
        <v>#VALUE!</v>
      </c>
      <c r="D16" s="103" t="e">
        <f aca="false">IFERROR(+D4/D$6;"")</f>
        <v>#VALUE!</v>
      </c>
      <c r="E16" s="103" t="e">
        <f aca="false">IFERROR(+E4/E$6;"")</f>
        <v>#VALUE!</v>
      </c>
      <c r="F16" s="103" t="e">
        <f aca="false">IFERROR(+F4/F$6;"")</f>
        <v>#VALUE!</v>
      </c>
      <c r="G16" s="103" t="e">
        <f aca="false">IFERROR(+G4/G$6;"")</f>
        <v>#VALUE!</v>
      </c>
      <c r="H16" s="103" t="e">
        <f aca="false">IFERROR(+H4/H$6;"")</f>
        <v>#VALUE!</v>
      </c>
      <c r="I16" s="103" t="e">
        <f aca="false">IFERROR(+I4/I$6;"")</f>
        <v>#VALUE!</v>
      </c>
      <c r="J16" s="103" t="e">
        <f aca="false">IFERROR(+J4/J$6;"")</f>
        <v>#VALUE!</v>
      </c>
      <c r="K16" s="103" t="e">
        <f aca="false">IFERROR(+K4/K$6;"")</f>
        <v>#VALUE!</v>
      </c>
      <c r="L16" s="103" t="e">
        <f aca="false">IFERROR(+L4/L$6;"")</f>
        <v>#VALUE!</v>
      </c>
      <c r="M16" s="103" t="e">
        <f aca="false">IFERROR(+M4/M$6;"")</f>
        <v>#VALUE!</v>
      </c>
      <c r="N16" s="103" t="n">
        <f aca="false">IFERROR(+N4/N$6,"")</f>
        <v>0.983580922595778</v>
      </c>
      <c r="S16" s="111"/>
      <c r="T16" s="112"/>
    </row>
    <row collapsed="false" customFormat="false" customHeight="false" hidden="false" ht="15" outlineLevel="0" r="17">
      <c r="A17" s="0" t="s">
        <v>64</v>
      </c>
      <c r="B17" s="103" t="e">
        <f aca="false">IFERROR(+B5/B$6;"")</f>
        <v>#VALUE!</v>
      </c>
      <c r="C17" s="103" t="e">
        <f aca="false">IFERROR(+C5/C$6;"")</f>
        <v>#VALUE!</v>
      </c>
      <c r="D17" s="103" t="e">
        <f aca="false">IFERROR(+D5/D$6;"")</f>
        <v>#VALUE!</v>
      </c>
      <c r="E17" s="103" t="e">
        <f aca="false">IFERROR(+E5/E$6;"")</f>
        <v>#VALUE!</v>
      </c>
      <c r="F17" s="103" t="e">
        <f aca="false">IFERROR(+F5/F$6;"")</f>
        <v>#VALUE!</v>
      </c>
      <c r="G17" s="103" t="e">
        <f aca="false">IFERROR(+G5/G$6;"")</f>
        <v>#VALUE!</v>
      </c>
      <c r="H17" s="103" t="e">
        <f aca="false">IFERROR(+H5/H$6;"")</f>
        <v>#VALUE!</v>
      </c>
      <c r="I17" s="103" t="e">
        <f aca="false">IFERROR(+I5/I$6;"")</f>
        <v>#VALUE!</v>
      </c>
      <c r="J17" s="103" t="e">
        <f aca="false">IFERROR(+J5/J$6;"")</f>
        <v>#VALUE!</v>
      </c>
      <c r="K17" s="103" t="e">
        <f aca="false">IFERROR(+K5/K$6;"")</f>
        <v>#VALUE!</v>
      </c>
      <c r="L17" s="103" t="e">
        <f aca="false">IFERROR(+L5/L$6;"")</f>
        <v>#VALUE!</v>
      </c>
      <c r="M17" s="103" t="e">
        <f aca="false">IFERROR(+M5/M$6;"")</f>
        <v>#VALUE!</v>
      </c>
      <c r="N17" s="103" t="e">
        <f aca="false">IFERROR(+N5/N$6;"")</f>
        <v>#VALUE!</v>
      </c>
      <c r="S17" s="111"/>
      <c r="T17" s="112"/>
    </row>
    <row collapsed="false" customFormat="false" customHeight="false" hidden="false" ht="15" outlineLevel="0" r="18">
      <c r="A18" s="0" t="s">
        <v>69</v>
      </c>
      <c r="B18" s="103" t="n">
        <v>0.95</v>
      </c>
      <c r="C18" s="103" t="n">
        <v>0.95</v>
      </c>
      <c r="D18" s="103" t="n">
        <v>0.95</v>
      </c>
      <c r="E18" s="103" t="n">
        <v>0.95</v>
      </c>
      <c r="F18" s="103" t="n">
        <v>0.95</v>
      </c>
      <c r="G18" s="103" t="n">
        <v>0.95</v>
      </c>
      <c r="H18" s="103" t="n">
        <v>0.95</v>
      </c>
      <c r="I18" s="103" t="n">
        <v>0.95</v>
      </c>
      <c r="J18" s="103" t="n">
        <v>0.95</v>
      </c>
      <c r="K18" s="103" t="n">
        <v>0.95</v>
      </c>
      <c r="L18" s="103" t="n">
        <v>0.95</v>
      </c>
      <c r="M18" s="103" t="n">
        <v>0.95</v>
      </c>
      <c r="N18" s="103" t="n">
        <f aca="false">M18</f>
        <v>0.95</v>
      </c>
    </row>
    <row collapsed="false" customFormat="false" customHeight="false" hidden="false" ht="15" outlineLevel="0" r="19">
      <c r="A19" s="0" t="s">
        <v>65</v>
      </c>
      <c r="B19" s="103" t="e">
        <f aca="false">IFERROR(+B6/B$6;"")</f>
        <v>#VALUE!</v>
      </c>
      <c r="C19" s="103" t="e">
        <f aca="false">IFERROR(+C6/C$6;"")</f>
        <v>#VALUE!</v>
      </c>
      <c r="D19" s="103" t="e">
        <f aca="false">IFERROR(+D6/D$6;"")</f>
        <v>#VALUE!</v>
      </c>
      <c r="E19" s="103" t="e">
        <f aca="false">IFERROR(+E6/E$6;"")</f>
        <v>#VALUE!</v>
      </c>
      <c r="F19" s="103" t="e">
        <f aca="false">IFERROR(+F6/F$6;"")</f>
        <v>#VALUE!</v>
      </c>
      <c r="G19" s="103" t="e">
        <f aca="false">IFERROR(+G6/G$6;"")</f>
        <v>#VALUE!</v>
      </c>
      <c r="H19" s="103" t="e">
        <f aca="false">IFERROR(+H6/H$6;"")</f>
        <v>#VALUE!</v>
      </c>
      <c r="I19" s="103" t="e">
        <f aca="false">IFERROR(+I6/I$6;"")</f>
        <v>#VALUE!</v>
      </c>
      <c r="J19" s="103" t="e">
        <f aca="false">IFERROR(+J6/J$6;"")</f>
        <v>#VALUE!</v>
      </c>
      <c r="K19" s="103" t="e">
        <f aca="false">IFERROR(+K6/K$6;"")</f>
        <v>#VALUE!</v>
      </c>
      <c r="L19" s="103" t="e">
        <f aca="false">IFERROR(+L6/L$6;"")</f>
        <v>#VALUE!</v>
      </c>
      <c r="M19" s="103" t="e">
        <f aca="false">IFERROR(+M6/M$6;"")</f>
        <v>#VALUE!</v>
      </c>
      <c r="N19" s="103" t="e">
        <f aca="false">IFERROR(+N6/N$6;"")</f>
        <v>#VALUE!</v>
      </c>
    </row>
    <row collapsed="false" customFormat="false" customHeight="false" hidden="false" ht="15" outlineLevel="0" r="24">
      <c r="A24" s="0" t="s">
        <v>70</v>
      </c>
    </row>
    <row collapsed="false" customFormat="false" customHeight="false" hidden="false" ht="15" outlineLevel="0" r="25">
      <c r="B25" s="0" t="s">
        <v>50</v>
      </c>
      <c r="C25" s="0" t="s">
        <v>51</v>
      </c>
      <c r="D25" s="0" t="s">
        <v>52</v>
      </c>
      <c r="E25" s="0" t="s">
        <v>53</v>
      </c>
      <c r="F25" s="0" t="s">
        <v>54</v>
      </c>
      <c r="G25" s="0" t="s">
        <v>55</v>
      </c>
      <c r="H25" s="0" t="s">
        <v>56</v>
      </c>
      <c r="I25" s="0" t="s">
        <v>57</v>
      </c>
      <c r="J25" s="0" t="s">
        <v>58</v>
      </c>
      <c r="K25" s="0" t="s">
        <v>59</v>
      </c>
      <c r="L25" s="0" t="s">
        <v>60</v>
      </c>
      <c r="M25" s="0" t="s">
        <v>61</v>
      </c>
      <c r="N25" s="0" t="s">
        <v>62</v>
      </c>
    </row>
    <row collapsed="false" customFormat="false" customHeight="false" hidden="false" ht="15" outlineLevel="0" r="26">
      <c r="A26" s="0" t="s">
        <v>71</v>
      </c>
      <c r="B26" s="116" t="n">
        <v>1</v>
      </c>
      <c r="C26" s="116" t="n">
        <v>1</v>
      </c>
      <c r="D26" s="116" t="n">
        <v>1</v>
      </c>
      <c r="E26" s="116" t="n">
        <v>0.998</v>
      </c>
      <c r="F26" s="116"/>
      <c r="G26" s="116"/>
      <c r="H26" s="116"/>
      <c r="I26" s="116"/>
      <c r="J26" s="116"/>
      <c r="K26" s="116"/>
      <c r="L26" s="116"/>
      <c r="M26" s="116"/>
      <c r="N26" s="116" t="n">
        <f aca="false">IFERROR(AVERAGE(B26:M26),"")</f>
        <v>0.9995</v>
      </c>
    </row>
    <row collapsed="false" customFormat="false" customHeight="false" hidden="false" ht="15" outlineLevel="0" r="27">
      <c r="A27" s="0" t="s">
        <v>72</v>
      </c>
      <c r="B27" s="117" t="n">
        <v>0</v>
      </c>
      <c r="C27" s="117" t="n">
        <v>0</v>
      </c>
      <c r="D27" s="117" t="n">
        <v>0</v>
      </c>
      <c r="E27" s="117" t="n">
        <v>1</v>
      </c>
      <c r="F27" s="117"/>
      <c r="G27" s="117"/>
      <c r="H27" s="117"/>
      <c r="I27" s="117"/>
      <c r="J27" s="117"/>
      <c r="K27" s="117"/>
      <c r="L27" s="117"/>
      <c r="M27" s="117"/>
      <c r="N27" s="117" t="n">
        <f aca="false">IFERROR(SUM(B27:M27),"")</f>
        <v>1</v>
      </c>
    </row>
    <row collapsed="false" customFormat="false" customHeight="false" hidden="false" ht="15" outlineLevel="0" r="28">
      <c r="A28" s="0" t="s">
        <v>73</v>
      </c>
      <c r="B28" s="103" t="n">
        <v>0.98</v>
      </c>
      <c r="C28" s="103" t="n">
        <f aca="false">B28</f>
        <v>0.98</v>
      </c>
      <c r="D28" s="103" t="n">
        <f aca="false">C28</f>
        <v>0.98</v>
      </c>
      <c r="E28" s="103" t="n">
        <f aca="false">D28</f>
        <v>0.98</v>
      </c>
      <c r="F28" s="103" t="n">
        <f aca="false">E28</f>
        <v>0.98</v>
      </c>
      <c r="G28" s="103" t="n">
        <f aca="false">F28</f>
        <v>0.98</v>
      </c>
      <c r="H28" s="103" t="n">
        <f aca="false">G28</f>
        <v>0.98</v>
      </c>
      <c r="I28" s="103" t="n">
        <f aca="false">H28</f>
        <v>0.98</v>
      </c>
      <c r="J28" s="103" t="n">
        <f aca="false">I28</f>
        <v>0.98</v>
      </c>
      <c r="K28" s="103" t="n">
        <f aca="false">J28</f>
        <v>0.98</v>
      </c>
      <c r="L28" s="103" t="n">
        <f aca="false">K28</f>
        <v>0.98</v>
      </c>
      <c r="M28" s="103" t="n">
        <f aca="false">L28</f>
        <v>0.98</v>
      </c>
      <c r="N28" s="103" t="n">
        <f aca="false">B28</f>
        <v>0.98</v>
      </c>
    </row>
    <row collapsed="false" customFormat="false" customHeight="false" hidden="false" ht="15" outlineLevel="0" r="29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</row>
    <row collapsed="false" customFormat="false" customHeight="false" hidden="false" ht="15" outlineLevel="0" r="31">
      <c r="A31" s="0" t="s">
        <v>74</v>
      </c>
    </row>
    <row collapsed="false" customFormat="false" customHeight="false" hidden="false" ht="15" outlineLevel="0" r="32">
      <c r="B32" s="0" t="s">
        <v>50</v>
      </c>
      <c r="C32" s="0" t="s">
        <v>51</v>
      </c>
      <c r="D32" s="0" t="s">
        <v>52</v>
      </c>
      <c r="E32" s="0" t="s">
        <v>53</v>
      </c>
      <c r="F32" s="0" t="s">
        <v>54</v>
      </c>
      <c r="G32" s="0" t="s">
        <v>55</v>
      </c>
      <c r="H32" s="0" t="s">
        <v>56</v>
      </c>
      <c r="I32" s="0" t="s">
        <v>57</v>
      </c>
      <c r="J32" s="0" t="s">
        <v>58</v>
      </c>
      <c r="K32" s="0" t="s">
        <v>59</v>
      </c>
      <c r="L32" s="0" t="s">
        <v>60</v>
      </c>
      <c r="M32" s="0" t="s">
        <v>61</v>
      </c>
      <c r="N32" s="0" t="s">
        <v>62</v>
      </c>
    </row>
    <row collapsed="false" customFormat="false" customHeight="false" hidden="false" ht="15" outlineLevel="0" r="33">
      <c r="A33" s="0" t="s">
        <v>71</v>
      </c>
      <c r="B33" s="116" t="n">
        <v>1</v>
      </c>
      <c r="C33" s="116" t="n">
        <v>1</v>
      </c>
      <c r="D33" s="116" t="n">
        <v>1</v>
      </c>
      <c r="E33" s="116" t="n">
        <f aca="false">D33</f>
        <v>1</v>
      </c>
      <c r="F33" s="116"/>
      <c r="G33" s="116"/>
      <c r="H33" s="116"/>
      <c r="I33" s="116"/>
      <c r="J33" s="116"/>
      <c r="K33" s="116"/>
      <c r="L33" s="116"/>
      <c r="M33" s="116"/>
      <c r="N33" s="116" t="n">
        <f aca="false">IFERROR(AVERAGE(B33:M33),"")</f>
        <v>1</v>
      </c>
    </row>
    <row collapsed="false" customFormat="false" customHeight="false" hidden="false" ht="15" outlineLevel="0" r="34">
      <c r="A34" s="0" t="s">
        <v>72</v>
      </c>
      <c r="B34" s="117" t="n">
        <v>0</v>
      </c>
      <c r="C34" s="117" t="n">
        <v>0</v>
      </c>
      <c r="D34" s="117" t="n">
        <v>0</v>
      </c>
      <c r="E34" s="117" t="n">
        <v>0</v>
      </c>
      <c r="F34" s="117"/>
      <c r="G34" s="117"/>
      <c r="H34" s="117"/>
      <c r="I34" s="117"/>
      <c r="J34" s="117"/>
      <c r="K34" s="117"/>
      <c r="L34" s="117"/>
      <c r="M34" s="117"/>
      <c r="N34" s="117" t="n">
        <f aca="false">IFERROR(SUM(B34:M34),"")</f>
        <v>0</v>
      </c>
    </row>
    <row collapsed="false" customFormat="false" customHeight="false" hidden="false" ht="15" outlineLevel="0" r="35">
      <c r="A35" s="0" t="s">
        <v>73</v>
      </c>
      <c r="B35" s="103" t="n">
        <v>0.98</v>
      </c>
      <c r="C35" s="103" t="n">
        <f aca="false">B35</f>
        <v>0.98</v>
      </c>
      <c r="D35" s="103" t="n">
        <f aca="false">C35</f>
        <v>0.98</v>
      </c>
      <c r="E35" s="103" t="n">
        <f aca="false">D35</f>
        <v>0.98</v>
      </c>
      <c r="F35" s="103" t="n">
        <f aca="false">E35</f>
        <v>0.98</v>
      </c>
      <c r="G35" s="103" t="n">
        <f aca="false">F35</f>
        <v>0.98</v>
      </c>
      <c r="H35" s="103" t="n">
        <f aca="false">G35</f>
        <v>0.98</v>
      </c>
      <c r="I35" s="103" t="n">
        <f aca="false">H35</f>
        <v>0.98</v>
      </c>
      <c r="J35" s="103" t="n">
        <f aca="false">I35</f>
        <v>0.98</v>
      </c>
      <c r="K35" s="103" t="n">
        <f aca="false">J35</f>
        <v>0.98</v>
      </c>
      <c r="L35" s="103" t="n">
        <f aca="false">K35</f>
        <v>0.98</v>
      </c>
      <c r="M35" s="103" t="n">
        <f aca="false">L35</f>
        <v>0.98</v>
      </c>
      <c r="N35" s="103" t="n">
        <f aca="false">B35</f>
        <v>0.98</v>
      </c>
    </row>
    <row collapsed="false" customFormat="false" customHeight="false" hidden="false" ht="15" outlineLevel="0" r="36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</row>
    <row collapsed="false" customFormat="false" customHeight="false" hidden="false" ht="15" outlineLevel="0" r="37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</row>
    <row collapsed="false" customFormat="false" customHeight="false" hidden="false" ht="15" outlineLevel="0" r="38">
      <c r="A38" s="0" t="s">
        <v>75</v>
      </c>
    </row>
    <row collapsed="false" customFormat="false" customHeight="false" hidden="false" ht="15" outlineLevel="0" r="39">
      <c r="B39" s="0" t="s">
        <v>50</v>
      </c>
      <c r="C39" s="0" t="s">
        <v>51</v>
      </c>
      <c r="D39" s="0" t="s">
        <v>52</v>
      </c>
      <c r="E39" s="0" t="s">
        <v>53</v>
      </c>
      <c r="F39" s="0" t="s">
        <v>54</v>
      </c>
      <c r="G39" s="0" t="s">
        <v>55</v>
      </c>
      <c r="H39" s="0" t="s">
        <v>56</v>
      </c>
      <c r="I39" s="0" t="s">
        <v>57</v>
      </c>
      <c r="J39" s="0" t="s">
        <v>58</v>
      </c>
      <c r="K39" s="0" t="s">
        <v>59</v>
      </c>
      <c r="L39" s="0" t="s">
        <v>60</v>
      </c>
      <c r="M39" s="0" t="s">
        <v>61</v>
      </c>
      <c r="N39" s="0" t="s">
        <v>62</v>
      </c>
    </row>
    <row collapsed="false" customFormat="false" customHeight="false" hidden="false" ht="15" outlineLevel="0" r="40">
      <c r="A40" s="0" t="s">
        <v>71</v>
      </c>
      <c r="B40" s="116" t="n">
        <v>1</v>
      </c>
      <c r="C40" s="116" t="n">
        <v>1</v>
      </c>
      <c r="D40" s="116" t="n">
        <v>1</v>
      </c>
      <c r="E40" s="116" t="n">
        <f aca="false">D40</f>
        <v>1</v>
      </c>
      <c r="F40" s="116" t="n">
        <v>0</v>
      </c>
      <c r="G40" s="116" t="n">
        <v>0</v>
      </c>
      <c r="H40" s="116" t="n">
        <v>0</v>
      </c>
      <c r="I40" s="116" t="n">
        <v>0</v>
      </c>
      <c r="J40" s="116" t="n">
        <v>0</v>
      </c>
      <c r="K40" s="116" t="n">
        <v>0</v>
      </c>
      <c r="L40" s="116" t="n">
        <v>0</v>
      </c>
      <c r="M40" s="116" t="n">
        <v>0</v>
      </c>
      <c r="N40" s="116" t="n">
        <f aca="false">IFERROR(AVERAGE(B40:M40),"")</f>
        <v>0.333333333333333</v>
      </c>
    </row>
    <row collapsed="false" customFormat="false" customHeight="false" hidden="false" ht="15" outlineLevel="0" r="41">
      <c r="A41" s="0" t="s">
        <v>72</v>
      </c>
      <c r="B41" s="117" t="n">
        <v>0</v>
      </c>
      <c r="C41" s="117" t="n">
        <v>0</v>
      </c>
      <c r="D41" s="117" t="n">
        <v>0</v>
      </c>
      <c r="E41" s="117" t="n">
        <v>0</v>
      </c>
      <c r="F41" s="117" t="n">
        <v>0</v>
      </c>
      <c r="G41" s="117" t="n">
        <v>0</v>
      </c>
      <c r="H41" s="117" t="n">
        <v>0</v>
      </c>
      <c r="I41" s="117" t="n">
        <v>0</v>
      </c>
      <c r="J41" s="117" t="n">
        <v>0</v>
      </c>
      <c r="K41" s="117" t="n">
        <v>0</v>
      </c>
      <c r="L41" s="117" t="n">
        <v>0</v>
      </c>
      <c r="M41" s="117" t="n">
        <v>0</v>
      </c>
      <c r="N41" s="117" t="n">
        <f aca="false">IFERROR(SUM(B41:M41),"")</f>
        <v>0</v>
      </c>
    </row>
    <row collapsed="false" customFormat="false" customHeight="false" hidden="false" ht="15" outlineLevel="0" r="42">
      <c r="A42" s="0" t="s">
        <v>73</v>
      </c>
      <c r="B42" s="103" t="n">
        <v>0.98</v>
      </c>
      <c r="C42" s="103" t="n">
        <f aca="false">B42</f>
        <v>0.98</v>
      </c>
      <c r="D42" s="103" t="n">
        <f aca="false">C42</f>
        <v>0.98</v>
      </c>
      <c r="E42" s="103" t="n">
        <f aca="false">D42</f>
        <v>0.98</v>
      </c>
      <c r="F42" s="103" t="n">
        <f aca="false">E42</f>
        <v>0.98</v>
      </c>
      <c r="G42" s="103" t="n">
        <f aca="false">F42</f>
        <v>0.98</v>
      </c>
      <c r="H42" s="103" t="n">
        <f aca="false">G42</f>
        <v>0.98</v>
      </c>
      <c r="I42" s="103" t="n">
        <f aca="false">H42</f>
        <v>0.98</v>
      </c>
      <c r="J42" s="103" t="n">
        <f aca="false">I42</f>
        <v>0.98</v>
      </c>
      <c r="K42" s="103" t="n">
        <f aca="false">J42</f>
        <v>0.98</v>
      </c>
      <c r="L42" s="103" t="n">
        <f aca="false">K42</f>
        <v>0.98</v>
      </c>
      <c r="M42" s="103" t="n">
        <f aca="false">L42</f>
        <v>0.98</v>
      </c>
      <c r="N42" s="103" t="n">
        <f aca="false">B42</f>
        <v>0.98</v>
      </c>
    </row>
    <row collapsed="false" customFormat="false" customHeight="false" hidden="false" ht="15" outlineLevel="0" r="43"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</row>
    <row collapsed="false" customFormat="false" customHeight="false" hidden="false" ht="15" outlineLevel="0" r="44"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</row>
    <row collapsed="false" customFormat="false" customHeight="false" hidden="false" ht="15" outlineLevel="0" r="45">
      <c r="A45" s="0" t="s">
        <v>76</v>
      </c>
    </row>
    <row collapsed="false" customFormat="false" customHeight="false" hidden="false" ht="15" outlineLevel="0" r="46">
      <c r="B46" s="0" t="s">
        <v>50</v>
      </c>
      <c r="C46" s="0" t="s">
        <v>51</v>
      </c>
      <c r="D46" s="0" t="s">
        <v>52</v>
      </c>
      <c r="E46" s="0" t="s">
        <v>53</v>
      </c>
      <c r="F46" s="0" t="s">
        <v>54</v>
      </c>
      <c r="G46" s="0" t="s">
        <v>55</v>
      </c>
      <c r="H46" s="0" t="s">
        <v>56</v>
      </c>
      <c r="I46" s="0" t="s">
        <v>57</v>
      </c>
      <c r="J46" s="0" t="s">
        <v>58</v>
      </c>
      <c r="K46" s="0" t="s">
        <v>59</v>
      </c>
      <c r="L46" s="0" t="s">
        <v>60</v>
      </c>
      <c r="M46" s="0" t="s">
        <v>61</v>
      </c>
      <c r="N46" s="0" t="s">
        <v>62</v>
      </c>
    </row>
    <row collapsed="false" customFormat="false" customHeight="false" hidden="false" ht="15" outlineLevel="0" r="47">
      <c r="A47" s="0" t="s">
        <v>71</v>
      </c>
      <c r="B47" s="0" t="n">
        <v>0.999905303030303</v>
      </c>
      <c r="C47" s="0" t="n">
        <v>0.996590909090909</v>
      </c>
      <c r="D47" s="0" t="n">
        <v>0.997727272727273</v>
      </c>
      <c r="E47" s="0" t="n">
        <v>0.999905303030303</v>
      </c>
      <c r="F47" s="118"/>
      <c r="G47" s="116"/>
      <c r="H47" s="116"/>
      <c r="I47" s="116"/>
      <c r="J47" s="116"/>
      <c r="K47" s="116"/>
      <c r="L47" s="116"/>
      <c r="M47" s="116"/>
      <c r="N47" s="116" t="n">
        <f aca="false">IFERROR(AVERAGE(B47:M47),"")</f>
        <v>0.998532196969697</v>
      </c>
    </row>
    <row collapsed="false" customFormat="false" customHeight="false" hidden="false" ht="15" outlineLevel="0" r="48">
      <c r="A48" s="0" t="s">
        <v>72</v>
      </c>
      <c r="B48" s="117" t="n">
        <v>1</v>
      </c>
      <c r="C48" s="117" t="n">
        <v>1</v>
      </c>
      <c r="D48" s="117" t="n">
        <v>2</v>
      </c>
      <c r="E48" s="117" t="n">
        <v>1</v>
      </c>
      <c r="F48" s="117"/>
      <c r="G48" s="117"/>
      <c r="H48" s="117"/>
      <c r="I48" s="117"/>
      <c r="J48" s="117"/>
      <c r="K48" s="117"/>
      <c r="L48" s="117"/>
      <c r="M48" s="117"/>
      <c r="N48" s="117" t="n">
        <f aca="false">IFERROR(SUM(B48:M48),"")</f>
        <v>5</v>
      </c>
    </row>
    <row collapsed="false" customFormat="false" customHeight="false" hidden="false" ht="15" outlineLevel="0" r="49">
      <c r="A49" s="0" t="s">
        <v>73</v>
      </c>
      <c r="B49" s="103" t="n">
        <v>0.98</v>
      </c>
      <c r="C49" s="103" t="n">
        <f aca="false">B49</f>
        <v>0.98</v>
      </c>
      <c r="D49" s="103" t="n">
        <f aca="false">C49</f>
        <v>0.98</v>
      </c>
      <c r="E49" s="103" t="n">
        <f aca="false">D49</f>
        <v>0.98</v>
      </c>
      <c r="F49" s="103" t="n">
        <f aca="false">E49</f>
        <v>0.98</v>
      </c>
      <c r="G49" s="103" t="n">
        <f aca="false">F49</f>
        <v>0.98</v>
      </c>
      <c r="H49" s="103" t="n">
        <f aca="false">G49</f>
        <v>0.98</v>
      </c>
      <c r="I49" s="103" t="n">
        <f aca="false">H49</f>
        <v>0.98</v>
      </c>
      <c r="J49" s="103" t="n">
        <f aca="false">I49</f>
        <v>0.98</v>
      </c>
      <c r="K49" s="103" t="n">
        <f aca="false">J49</f>
        <v>0.98</v>
      </c>
      <c r="L49" s="103" t="n">
        <f aca="false">K49</f>
        <v>0.98</v>
      </c>
      <c r="M49" s="103" t="n">
        <f aca="false">L49</f>
        <v>0.98</v>
      </c>
      <c r="N49" s="103" t="n">
        <f aca="false">B49</f>
        <v>0.98</v>
      </c>
    </row>
    <row collapsed="false" customFormat="false" customHeight="false" hidden="false" ht="15" outlineLevel="0" r="50"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</row>
    <row collapsed="false" customFormat="false" customHeight="false" hidden="false" ht="15" outlineLevel="0" r="52">
      <c r="A52" s="0" t="s">
        <v>77</v>
      </c>
    </row>
    <row collapsed="false" customFormat="false" customHeight="false" hidden="false" ht="15" outlineLevel="0" r="53">
      <c r="B53" s="0" t="s">
        <v>50</v>
      </c>
      <c r="C53" s="0" t="s">
        <v>51</v>
      </c>
      <c r="D53" s="0" t="s">
        <v>52</v>
      </c>
      <c r="E53" s="0" t="s">
        <v>53</v>
      </c>
      <c r="F53" s="0" t="s">
        <v>54</v>
      </c>
      <c r="G53" s="0" t="s">
        <v>55</v>
      </c>
      <c r="H53" s="0" t="s">
        <v>56</v>
      </c>
      <c r="I53" s="0" t="s">
        <v>57</v>
      </c>
      <c r="J53" s="0" t="s">
        <v>58</v>
      </c>
      <c r="K53" s="0" t="s">
        <v>59</v>
      </c>
      <c r="L53" s="0" t="s">
        <v>60</v>
      </c>
      <c r="M53" s="0" t="s">
        <v>61</v>
      </c>
      <c r="N53" s="0" t="s">
        <v>62</v>
      </c>
    </row>
    <row collapsed="false" customFormat="false" customHeight="false" hidden="false" ht="15" outlineLevel="0" r="54">
      <c r="A54" s="0" t="s">
        <v>71</v>
      </c>
      <c r="B54" s="116" t="n">
        <v>1</v>
      </c>
      <c r="C54" s="116" t="n">
        <v>1</v>
      </c>
      <c r="D54" s="116" t="n">
        <v>1</v>
      </c>
      <c r="E54" s="116" t="n">
        <f aca="false">D54</f>
        <v>1</v>
      </c>
      <c r="F54" s="116"/>
      <c r="G54" s="116"/>
      <c r="H54" s="116"/>
      <c r="I54" s="116"/>
      <c r="J54" s="116"/>
      <c r="K54" s="116"/>
      <c r="L54" s="116"/>
      <c r="M54" s="116"/>
      <c r="N54" s="116" t="n">
        <f aca="false">IFERROR(AVERAGE(B54:M54),"")</f>
        <v>1</v>
      </c>
    </row>
    <row collapsed="false" customFormat="false" customHeight="false" hidden="false" ht="15" outlineLevel="0" r="55">
      <c r="A55" s="0" t="s">
        <v>72</v>
      </c>
      <c r="B55" s="117" t="n">
        <v>0</v>
      </c>
      <c r="C55" s="117" t="n">
        <v>0</v>
      </c>
      <c r="D55" s="117" t="n">
        <v>0</v>
      </c>
      <c r="E55" s="117" t="n">
        <v>0</v>
      </c>
      <c r="F55" s="117"/>
      <c r="G55" s="117"/>
      <c r="H55" s="117"/>
      <c r="I55" s="117"/>
      <c r="J55" s="117"/>
      <c r="K55" s="117"/>
      <c r="L55" s="117"/>
      <c r="M55" s="117"/>
      <c r="N55" s="117" t="n">
        <f aca="false">IFERROR(SUM(B55:M55),"")</f>
        <v>0</v>
      </c>
    </row>
    <row collapsed="false" customFormat="false" customHeight="false" hidden="false" ht="15" outlineLevel="0" r="56">
      <c r="A56" s="0" t="s">
        <v>73</v>
      </c>
      <c r="B56" s="103" t="n">
        <v>0.98</v>
      </c>
      <c r="C56" s="103" t="n">
        <f aca="false">B56</f>
        <v>0.98</v>
      </c>
      <c r="D56" s="103" t="n">
        <f aca="false">C56</f>
        <v>0.98</v>
      </c>
      <c r="E56" s="103" t="n">
        <f aca="false">D56</f>
        <v>0.98</v>
      </c>
      <c r="F56" s="103" t="n">
        <f aca="false">E56</f>
        <v>0.98</v>
      </c>
      <c r="G56" s="103" t="n">
        <f aca="false">F56</f>
        <v>0.98</v>
      </c>
      <c r="H56" s="103" t="n">
        <f aca="false">G56</f>
        <v>0.98</v>
      </c>
      <c r="I56" s="103" t="n">
        <f aca="false">H56</f>
        <v>0.98</v>
      </c>
      <c r="J56" s="103" t="n">
        <f aca="false">I56</f>
        <v>0.98</v>
      </c>
      <c r="K56" s="103" t="n">
        <f aca="false">J56</f>
        <v>0.98</v>
      </c>
      <c r="L56" s="103" t="n">
        <f aca="false">K56</f>
        <v>0.98</v>
      </c>
      <c r="M56" s="103" t="n">
        <f aca="false">L56</f>
        <v>0.98</v>
      </c>
      <c r="N56" s="103" t="n">
        <f aca="false">B56</f>
        <v>0.98</v>
      </c>
    </row>
    <row collapsed="false" customFormat="false" customHeight="false" hidden="false" ht="15" outlineLevel="0" r="57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</row>
    <row collapsed="false" customFormat="false" customHeight="false" hidden="false" ht="15" outlineLevel="0" r="59">
      <c r="A59" s="0" t="s">
        <v>38</v>
      </c>
    </row>
    <row collapsed="false" customFormat="false" customHeight="false" hidden="false" ht="15" outlineLevel="0" r="60">
      <c r="B60" s="0" t="s">
        <v>50</v>
      </c>
      <c r="C60" s="0" t="s">
        <v>51</v>
      </c>
      <c r="D60" s="0" t="s">
        <v>52</v>
      </c>
      <c r="E60" s="0" t="s">
        <v>53</v>
      </c>
      <c r="F60" s="0" t="s">
        <v>54</v>
      </c>
      <c r="G60" s="0" t="s">
        <v>55</v>
      </c>
      <c r="H60" s="0" t="s">
        <v>56</v>
      </c>
      <c r="I60" s="0" t="s">
        <v>57</v>
      </c>
      <c r="J60" s="0" t="s">
        <v>58</v>
      </c>
      <c r="K60" s="0" t="s">
        <v>59</v>
      </c>
      <c r="L60" s="0" t="s">
        <v>60</v>
      </c>
      <c r="M60" s="0" t="s">
        <v>61</v>
      </c>
      <c r="N60" s="0" t="s">
        <v>62</v>
      </c>
    </row>
    <row collapsed="false" customFormat="false" customHeight="false" hidden="false" ht="15" outlineLevel="0" r="61">
      <c r="A61" s="0" t="s">
        <v>71</v>
      </c>
      <c r="B61" s="116" t="n">
        <f aca="false">IFERROR(AVERAGE(B47,B40,B33,B26),"")</f>
        <v>0.999976325757576</v>
      </c>
      <c r="C61" s="116" t="e">
        <f aca="false">IFERROR(AVERAGE(C47;C40;C33;C26);"")</f>
        <v>#VALUE!</v>
      </c>
      <c r="D61" s="116" t="e">
        <f aca="false">IFERROR(AVERAGE(D47;D40;D33;D26);"")</f>
        <v>#VALUE!</v>
      </c>
      <c r="E61" s="116" t="e">
        <f aca="false">IFERROR(AVERAGE(E47;E40;E33;E26);"")</f>
        <v>#VALUE!</v>
      </c>
      <c r="F61" s="116" t="e">
        <f aca="false">IFERROR(AVERAGE(F47;F40;F33;F26);"")</f>
        <v>#VALUE!</v>
      </c>
      <c r="G61" s="116" t="e">
        <f aca="false">IFERROR(AVERAGE(G47;G40;G33;G26);"")</f>
        <v>#VALUE!</v>
      </c>
      <c r="H61" s="116" t="e">
        <f aca="false">IFERROR(AVERAGE(H47;H40;H33;H26);"")</f>
        <v>#VALUE!</v>
      </c>
      <c r="I61" s="116"/>
      <c r="J61" s="116"/>
      <c r="K61" s="116"/>
      <c r="L61" s="116"/>
      <c r="M61" s="116"/>
      <c r="N61" s="116" t="e">
        <f aca="false">IFERROR(AVERAGE(N47;N40;N33;N26);"")</f>
        <v>#VALUE!</v>
      </c>
    </row>
    <row collapsed="false" customFormat="false" customHeight="false" hidden="false" ht="15" outlineLevel="0" r="62">
      <c r="A62" s="0" t="s">
        <v>72</v>
      </c>
      <c r="B62" s="117" t="n">
        <f aca="false">B55+B48+B41+B34+B27</f>
        <v>1</v>
      </c>
      <c r="C62" s="117" t="n">
        <f aca="false">C55+C48+C41+C34+C27</f>
        <v>1</v>
      </c>
      <c r="D62" s="117" t="n">
        <f aca="false">D55+D48+D41+D34+D27</f>
        <v>2</v>
      </c>
      <c r="E62" s="117" t="n">
        <f aca="false">E55+E48+E41+E34+E27</f>
        <v>2</v>
      </c>
      <c r="F62" s="117"/>
      <c r="G62" s="117"/>
      <c r="H62" s="117"/>
      <c r="I62" s="117"/>
      <c r="J62" s="117"/>
      <c r="K62" s="117"/>
      <c r="L62" s="117"/>
      <c r="M62" s="117"/>
      <c r="N62" s="117" t="n">
        <f aca="false">IFERROR(SUM(B62:M62),"")</f>
        <v>6</v>
      </c>
    </row>
    <row collapsed="false" customFormat="false" customHeight="false" hidden="false" ht="13.3" outlineLevel="0" r="63">
      <c r="A63" s="0" t="s">
        <v>73</v>
      </c>
      <c r="B63" s="119" t="n">
        <v>0.98</v>
      </c>
      <c r="C63" s="103" t="n">
        <f aca="false">B63</f>
        <v>0.98</v>
      </c>
      <c r="D63" s="103" t="n">
        <f aca="false">C63</f>
        <v>0.98</v>
      </c>
      <c r="E63" s="103" t="n">
        <f aca="false">D63</f>
        <v>0.98</v>
      </c>
      <c r="F63" s="103" t="n">
        <f aca="false">E63</f>
        <v>0.98</v>
      </c>
      <c r="G63" s="103" t="n">
        <f aca="false">F63</f>
        <v>0.98</v>
      </c>
      <c r="H63" s="103" t="n">
        <f aca="false">G63</f>
        <v>0.98</v>
      </c>
      <c r="I63" s="103" t="n">
        <f aca="false">H63</f>
        <v>0.98</v>
      </c>
      <c r="J63" s="103" t="n">
        <f aca="false">I63</f>
        <v>0.98</v>
      </c>
      <c r="K63" s="103" t="n">
        <f aca="false">J63</f>
        <v>0.98</v>
      </c>
      <c r="L63" s="103" t="n">
        <f aca="false">K63</f>
        <v>0.98</v>
      </c>
      <c r="M63" s="103" t="n">
        <f aca="false">L63</f>
        <v>0.98</v>
      </c>
      <c r="N63" s="103" t="n">
        <f aca="false">B63</f>
        <v>0.98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colorId="64" defaultGridColor="true" rightToLeft="false" showFormulas="false" showGridLines="true" showOutlineSymbols="true" showRowColHeaders="true" showZeros="true" tabSelected="false" topLeftCell="I1" view="normal" windowProtection="false" workbookViewId="0" zoomScale="100" zoomScaleNormal="100" zoomScalePageLayoutView="100">
      <selection activeCell="K16" activeCellId="0" pane="topLeft" sqref="K16"/>
    </sheetView>
  </sheetViews>
  <sheetFormatPr defaultRowHeight="15"/>
  <cols>
    <col collapsed="false" hidden="false" max="1" min="1" style="0" width="36.7091836734694"/>
    <col collapsed="false" hidden="false" max="2" min="2" style="0" width="10.1428571428571"/>
    <col collapsed="false" hidden="false" max="3" min="3" style="0" width="10.4234693877551"/>
    <col collapsed="false" hidden="false" max="4" min="4" style="0" width="8.56632653061224"/>
    <col collapsed="false" hidden="false" max="5" min="5" style="0" width="59.7091836734694"/>
    <col collapsed="false" hidden="false" max="6" min="6" style="0" width="20.2857142857143"/>
    <col collapsed="false" hidden="false" max="7" min="7" style="0" width="19"/>
    <col collapsed="false" hidden="false" max="8" min="8" style="0" width="25"/>
    <col collapsed="false" hidden="false" max="9" min="9" style="0" width="16.7142857142857"/>
    <col collapsed="false" hidden="false" max="10" min="10" style="0" width="7"/>
    <col collapsed="false" hidden="false" max="11" min="11" style="120" width="10.9948979591837"/>
    <col collapsed="false" hidden="false" max="12" min="12" style="0" width="10.5765306122449"/>
    <col collapsed="false" hidden="false" max="13" min="13" style="0" width="15.8571428571429"/>
    <col collapsed="false" hidden="false" max="14" min="14" style="0" width="20.7091836734694"/>
    <col collapsed="false" hidden="false" max="15" min="15" style="0" width="14.4285714285714"/>
    <col collapsed="false" hidden="false" max="16" min="16" style="0" width="11.9948979591837"/>
    <col collapsed="false" hidden="false" max="17" min="17" style="0" width="14.4285714285714"/>
    <col collapsed="false" hidden="false" max="18" min="18" style="0" width="11.9948979591837"/>
    <col collapsed="false" hidden="false" max="19" min="19" style="0" width="14.4285714285714"/>
    <col collapsed="false" hidden="false" max="20" min="20" style="0" width="11.9948979591837"/>
    <col collapsed="false" hidden="false" max="21" min="21" style="0" width="14.4285714285714"/>
    <col collapsed="false" hidden="false" max="22" min="22" style="0" width="11.9948979591837"/>
    <col collapsed="false" hidden="false" max="23" min="23" style="0" width="14.4285714285714"/>
    <col collapsed="false" hidden="false" max="24" min="24" style="0" width="16.5663265306122"/>
    <col collapsed="false" hidden="false" max="25" min="25" style="0" width="19.4183673469388"/>
    <col collapsed="false" hidden="false" max="26" min="26" style="0" width="11.9948979591837"/>
    <col collapsed="false" hidden="false" max="27" min="27" style="0" width="14.4285714285714"/>
    <col collapsed="false" hidden="false" max="28" min="28" style="0" width="11.9948979591837"/>
    <col collapsed="false" hidden="false" max="29" min="29" style="0" width="14.4285714285714"/>
    <col collapsed="false" hidden="false" max="30" min="30" style="0" width="16.5663265306122"/>
    <col collapsed="false" hidden="false" max="31" min="31" style="0" width="19.4183673469388"/>
    <col collapsed="false" hidden="false" max="1025" min="32" style="0" width="10.5765306122449"/>
  </cols>
  <sheetData>
    <row collapsed="false" customFormat="false" customHeight="false" hidden="false" ht="15" outlineLevel="0"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49</v>
      </c>
      <c r="K1" s="120" t="s">
        <v>87</v>
      </c>
      <c r="M1" s="121" t="s">
        <v>80</v>
      </c>
      <c r="N1" s="122" t="s">
        <v>88</v>
      </c>
    </row>
    <row collapsed="false" customFormat="false" customHeight="false" hidden="false" ht="15" outlineLevel="0" r="2">
      <c r="A2" s="123" t="s">
        <v>89</v>
      </c>
      <c r="B2" s="124" t="s">
        <v>75</v>
      </c>
      <c r="C2" s="125" t="n">
        <v>41491</v>
      </c>
      <c r="D2" s="97" t="n">
        <v>120</v>
      </c>
      <c r="E2" s="126" t="s">
        <v>90</v>
      </c>
      <c r="F2" s="0" t="n">
        <v>100</v>
      </c>
      <c r="G2" s="123" t="s">
        <v>91</v>
      </c>
      <c r="H2" s="123" t="s">
        <v>92</v>
      </c>
      <c r="I2" s="123" t="s">
        <v>93</v>
      </c>
      <c r="J2" s="0" t="e">
        <f aca="false">MONTH(tabla_owssvr[[#this row],[fecha]])</f>
        <v>#VALUE!</v>
      </c>
      <c r="K2" s="120" t="e">
        <f aca="false">1-(tabla_owssvr[[#this row],[duracion]]/(22*12*60))*(tabla_owssvr[[#this row],[usuarios afectados]]/400)</f>
        <v>#VALUE!</v>
      </c>
    </row>
    <row collapsed="false" customFormat="false" customHeight="false" hidden="false" ht="15" outlineLevel="0" r="3">
      <c r="A3" s="123" t="s">
        <v>94</v>
      </c>
      <c r="B3" s="124" t="s">
        <v>95</v>
      </c>
      <c r="C3" s="125" t="n">
        <v>41493</v>
      </c>
      <c r="D3" s="97" t="n">
        <v>180</v>
      </c>
      <c r="E3" s="126" t="s">
        <v>96</v>
      </c>
      <c r="F3" s="0" t="n">
        <v>5</v>
      </c>
      <c r="G3" s="123" t="s">
        <v>91</v>
      </c>
      <c r="H3" s="123" t="s">
        <v>92</v>
      </c>
      <c r="I3" s="123" t="s">
        <v>97</v>
      </c>
      <c r="J3" s="0" t="e">
        <f aca="false">MONTH(tabla_owssvr[[#this row],[fecha]])</f>
        <v>#VALUE!</v>
      </c>
      <c r="K3" s="120" t="e">
        <f aca="false">1-(tabla_owssvr[[#this row],[duracion]]/(22*12*60))*(tabla_owssvr[[#this row],[usuarios afectados]]/400)</f>
        <v>#VALUE!</v>
      </c>
      <c r="M3" s="127"/>
      <c r="N3" s="128" t="s">
        <v>49</v>
      </c>
      <c r="O3" s="129" t="s">
        <v>98</v>
      </c>
      <c r="P3" s="130"/>
      <c r="Q3" s="131"/>
    </row>
    <row collapsed="false" customFormat="false" customHeight="false" hidden="false" ht="15" outlineLevel="0" r="4">
      <c r="A4" s="123" t="s">
        <v>99</v>
      </c>
      <c r="B4" s="124" t="s">
        <v>95</v>
      </c>
      <c r="C4" s="125" t="n">
        <v>41500</v>
      </c>
      <c r="D4" s="97" t="n">
        <v>3</v>
      </c>
      <c r="E4" s="126" t="s">
        <v>100</v>
      </c>
      <c r="F4" s="0" t="n">
        <v>20</v>
      </c>
      <c r="G4" s="123" t="s">
        <v>91</v>
      </c>
      <c r="H4" s="123" t="s">
        <v>92</v>
      </c>
      <c r="I4" s="123" t="s">
        <v>101</v>
      </c>
      <c r="J4" s="0" t="e">
        <f aca="false">MONTH(tabla_owssvr[[#this row],[fecha]])</f>
        <v>#VALUE!</v>
      </c>
      <c r="K4" s="120" t="e">
        <f aca="false">1-(tabla_owssvr[[#this row],[duracion]]/(22*12*60))*(tabla_owssvr[[#this row],[usuarios afectados]]/400)</f>
        <v>#VALUE!</v>
      </c>
      <c r="M4" s="132"/>
      <c r="N4" s="133" t="s">
        <v>102</v>
      </c>
      <c r="O4" s="134"/>
      <c r="P4" s="135" t="s">
        <v>103</v>
      </c>
      <c r="Q4" s="136" t="s">
        <v>104</v>
      </c>
    </row>
    <row collapsed="false" customFormat="false" customHeight="false" hidden="false" ht="15" outlineLevel="0" r="5">
      <c r="A5" s="123" t="s">
        <v>105</v>
      </c>
      <c r="B5" s="124" t="s">
        <v>74</v>
      </c>
      <c r="C5" s="125" t="n">
        <v>41509</v>
      </c>
      <c r="D5" s="97" t="n">
        <v>120</v>
      </c>
      <c r="E5" s="126" t="s">
        <v>106</v>
      </c>
      <c r="F5" s="0" t="n">
        <v>120</v>
      </c>
      <c r="G5" s="123" t="s">
        <v>91</v>
      </c>
      <c r="H5" s="123" t="s">
        <v>92</v>
      </c>
      <c r="I5" s="123" t="s">
        <v>107</v>
      </c>
      <c r="J5" s="0" t="e">
        <f aca="false">MONTH(tabla_owssvr[[#this row],[fecha]])</f>
        <v>#VALUE!</v>
      </c>
      <c r="K5" s="120" t="e">
        <f aca="false">1-(tabla_owssvr[[#this row],[duracion]]/(22*12*60))*(tabla_owssvr[[#this row],[usuarios afectados]]/400)</f>
        <v>#VALUE!</v>
      </c>
      <c r="M5" s="137" t="s">
        <v>79</v>
      </c>
      <c r="N5" s="138" t="s">
        <v>108</v>
      </c>
      <c r="O5" s="139" t="s">
        <v>109</v>
      </c>
      <c r="P5" s="140"/>
      <c r="Q5" s="141"/>
    </row>
    <row collapsed="false" customFormat="false" customHeight="false" hidden="false" ht="15" outlineLevel="0" r="6">
      <c r="A6" s="123" t="s">
        <v>110</v>
      </c>
      <c r="B6" s="124" t="s">
        <v>95</v>
      </c>
      <c r="C6" s="125" t="n">
        <v>41512</v>
      </c>
      <c r="D6" s="97" t="n">
        <v>120</v>
      </c>
      <c r="E6" s="126" t="s">
        <v>111</v>
      </c>
      <c r="F6" s="0" t="n">
        <v>20</v>
      </c>
      <c r="G6" s="123" t="s">
        <v>91</v>
      </c>
      <c r="H6" s="123" t="s">
        <v>92</v>
      </c>
      <c r="I6" s="123" t="s">
        <v>93</v>
      </c>
      <c r="J6" s="0" t="e">
        <f aca="false">MONTH(tabla_owssvr[[#this row],[fecha]])</f>
        <v>#VALUE!</v>
      </c>
      <c r="K6" s="120" t="e">
        <f aca="false">1-(tabla_owssvr[[#this row],[duracion]]/(22*12*60))*(tabla_owssvr[[#this row],[usuarios afectados]]/400)</f>
        <v>#VALUE!</v>
      </c>
      <c r="M6" s="142" t="s">
        <v>75</v>
      </c>
      <c r="N6" s="143" t="n">
        <f aca="false"/>
        <v>0</v>
      </c>
      <c r="O6" s="144" t="n">
        <v>5</v>
      </c>
      <c r="P6" s="145" t="n">
        <f aca="false"/>
        <v>0</v>
      </c>
      <c r="Q6" s="146" t="n">
        <v>5</v>
      </c>
    </row>
    <row collapsed="false" customFormat="false" customHeight="false" hidden="false" ht="15" outlineLevel="0" r="7">
      <c r="A7" s="123" t="s">
        <v>112</v>
      </c>
      <c r="B7" s="124" t="s">
        <v>70</v>
      </c>
      <c r="C7" s="125" t="n">
        <v>41520</v>
      </c>
      <c r="D7" s="97" t="n">
        <v>90</v>
      </c>
      <c r="E7" s="126" t="s">
        <v>113</v>
      </c>
      <c r="F7" s="0" t="n">
        <v>100</v>
      </c>
      <c r="G7" s="123" t="s">
        <v>91</v>
      </c>
      <c r="H7" s="123" t="s">
        <v>92</v>
      </c>
      <c r="I7" s="123" t="s">
        <v>114</v>
      </c>
      <c r="J7" s="0" t="e">
        <f aca="false">MONTH(tabla_owssvr[[#this row],[fecha]])</f>
        <v>#VALUE!</v>
      </c>
      <c r="K7" s="120" t="e">
        <f aca="false">1-(tabla_owssvr[[#this row],[duracion]]/(22*12*60))*(tabla_owssvr[[#this row],[usuarios afectados]]/400)</f>
        <v>#VALUE!</v>
      </c>
      <c r="M7" s="147" t="s">
        <v>95</v>
      </c>
      <c r="N7" s="148" t="n">
        <f aca="false"/>
        <v>0</v>
      </c>
      <c r="O7" s="149" t="n">
        <v>9</v>
      </c>
      <c r="P7" s="145" t="n">
        <f aca="false"/>
        <v>0</v>
      </c>
      <c r="Q7" s="150" t="n">
        <v>9</v>
      </c>
    </row>
    <row collapsed="false" customFormat="false" customHeight="false" hidden="false" ht="15" outlineLevel="0" r="8">
      <c r="A8" s="123" t="s">
        <v>115</v>
      </c>
      <c r="B8" s="124" t="s">
        <v>95</v>
      </c>
      <c r="C8" s="125" t="n">
        <v>41522</v>
      </c>
      <c r="D8" s="97" t="n">
        <v>360</v>
      </c>
      <c r="E8" s="126" t="s">
        <v>116</v>
      </c>
      <c r="F8" s="0" t="n">
        <v>20</v>
      </c>
      <c r="G8" s="123" t="s">
        <v>91</v>
      </c>
      <c r="H8" s="123" t="s">
        <v>92</v>
      </c>
      <c r="I8" s="123" t="s">
        <v>117</v>
      </c>
      <c r="J8" s="0" t="e">
        <f aca="false">MONTH(tabla_owssvr[[#this row],[fecha]])</f>
        <v>#VALUE!</v>
      </c>
      <c r="K8" s="120" t="e">
        <f aca="false">1-(tabla_owssvr[[#this row],[duracion]]/(22*12*60))*(tabla_owssvr[[#this row],[usuarios afectados]]/400)</f>
        <v>#VALUE!</v>
      </c>
      <c r="M8" s="147" t="s">
        <v>74</v>
      </c>
      <c r="N8" s="148" t="n">
        <f aca="false"/>
        <v>0</v>
      </c>
      <c r="O8" s="149" t="n">
        <v>1</v>
      </c>
      <c r="P8" s="145" t="n">
        <f aca="false"/>
        <v>0</v>
      </c>
      <c r="Q8" s="150" t="n">
        <v>1</v>
      </c>
    </row>
    <row collapsed="false" customFormat="false" customHeight="false" hidden="false" ht="15" outlineLevel="0" r="9">
      <c r="A9" s="123" t="s">
        <v>118</v>
      </c>
      <c r="B9" s="124" t="s">
        <v>75</v>
      </c>
      <c r="C9" s="125" t="n">
        <v>41530</v>
      </c>
      <c r="D9" s="97" t="n">
        <v>360</v>
      </c>
      <c r="E9" s="126" t="s">
        <v>119</v>
      </c>
      <c r="F9" s="0" t="n">
        <v>190</v>
      </c>
      <c r="G9" s="123" t="s">
        <v>91</v>
      </c>
      <c r="H9" s="123" t="s">
        <v>92</v>
      </c>
      <c r="I9" s="123" t="s">
        <v>120</v>
      </c>
      <c r="J9" s="0" t="e">
        <f aca="false">MONTH(tabla_owssvr[[#this row],[fecha]])</f>
        <v>#VALUE!</v>
      </c>
      <c r="K9" s="120" t="e">
        <f aca="false">1-(tabla_owssvr[[#this row],[duracion]]/(22*12*60))*(tabla_owssvr[[#this row],[usuarios afectados]]/400)</f>
        <v>#VALUE!</v>
      </c>
      <c r="M9" s="147" t="s">
        <v>70</v>
      </c>
      <c r="N9" s="151" t="n">
        <f aca="false"/>
        <v>0</v>
      </c>
      <c r="O9" s="152" t="n">
        <v>2</v>
      </c>
      <c r="P9" s="145" t="n">
        <f aca="false"/>
        <v>0</v>
      </c>
      <c r="Q9" s="153" t="n">
        <v>2</v>
      </c>
    </row>
    <row collapsed="false" customFormat="false" customHeight="false" hidden="false" ht="15" outlineLevel="0" r="10">
      <c r="A10" s="123" t="s">
        <v>121</v>
      </c>
      <c r="B10" s="124" t="s">
        <v>75</v>
      </c>
      <c r="C10" s="125" t="n">
        <v>41599</v>
      </c>
      <c r="D10" s="97" t="n">
        <v>10</v>
      </c>
      <c r="E10" s="126"/>
      <c r="F10" s="0" t="n">
        <v>400</v>
      </c>
      <c r="G10" s="123" t="s">
        <v>91</v>
      </c>
      <c r="H10" s="123" t="s">
        <v>92</v>
      </c>
      <c r="I10" s="123" t="s">
        <v>120</v>
      </c>
      <c r="J10" s="0" t="e">
        <f aca="false">MONTH(tabla_owssvr[[#this row],[fecha]])</f>
        <v>#VALUE!</v>
      </c>
      <c r="K10" s="120" t="e">
        <f aca="false">1-(tabla_owssvr[[#this row],[duracion]]/(22*12*60))*(tabla_owssvr[[#this row],[usuarios afectados]]/400)</f>
        <v>#VALUE!</v>
      </c>
      <c r="M10" s="154" t="s">
        <v>122</v>
      </c>
      <c r="N10" s="155" t="n">
        <f aca="false"/>
        <v>0</v>
      </c>
      <c r="O10" s="156" t="n">
        <v>17</v>
      </c>
      <c r="P10" s="157" t="n">
        <f aca="false"/>
        <v>0</v>
      </c>
      <c r="Q10" s="158" t="n">
        <v>17</v>
      </c>
    </row>
    <row collapsed="false" customFormat="false" customHeight="false" hidden="false" ht="15" outlineLevel="0" r="11">
      <c r="A11" s="123" t="s">
        <v>118</v>
      </c>
      <c r="B11" s="124" t="s">
        <v>75</v>
      </c>
      <c r="C11" s="125" t="n">
        <v>41600</v>
      </c>
      <c r="D11" s="97" t="n">
        <v>10</v>
      </c>
      <c r="E11" s="126"/>
      <c r="F11" s="0" t="n">
        <v>400</v>
      </c>
      <c r="G11" s="123" t="s">
        <v>91</v>
      </c>
      <c r="H11" s="123" t="s">
        <v>92</v>
      </c>
      <c r="I11" s="123" t="s">
        <v>120</v>
      </c>
      <c r="J11" s="0" t="e">
        <f aca="false">MONTH(tabla_owssvr[[#this row],[fecha]])</f>
        <v>#VALUE!</v>
      </c>
      <c r="K11" s="120" t="e">
        <f aca="false">1-(tabla_owssvr[[#this row],[duracion]]/(22*12*60))*(tabla_owssvr[[#this row],[usuarios afectados]]/400)</f>
        <v>#VALUE!</v>
      </c>
      <c r="N11" s="99" t="e">
        <f aca="false">1-N4</f>
        <v>#VALUE!</v>
      </c>
      <c r="O11" s="99" t="n">
        <f aca="false">1-O4</f>
        <v>1</v>
      </c>
      <c r="P11" s="99" t="e">
        <f aca="false">1-P4</f>
        <v>#VALUE!</v>
      </c>
      <c r="Q11" s="99" t="e">
        <f aca="false">1-Q4</f>
        <v>#VALUE!</v>
      </c>
      <c r="R11" s="99" t="n">
        <f aca="false">1-R4</f>
        <v>1</v>
      </c>
      <c r="S11" s="99" t="n">
        <f aca="false">1-S4</f>
        <v>1</v>
      </c>
      <c r="T11" s="99" t="n">
        <f aca="false">1-T4</f>
        <v>1</v>
      </c>
      <c r="U11" s="99" t="n">
        <f aca="false">1-U4</f>
        <v>1</v>
      </c>
    </row>
    <row collapsed="false" customFormat="false" customHeight="false" hidden="false" ht="15" outlineLevel="0" r="12">
      <c r="A12" s="123" t="s">
        <v>123</v>
      </c>
      <c r="B12" s="124" t="s">
        <v>95</v>
      </c>
      <c r="C12" s="125" t="n">
        <v>41653</v>
      </c>
      <c r="D12" s="97" t="n">
        <v>60</v>
      </c>
      <c r="E12" s="126"/>
      <c r="F12" s="0" t="n">
        <v>10</v>
      </c>
      <c r="G12" s="123" t="s">
        <v>91</v>
      </c>
      <c r="H12" s="123" t="s">
        <v>92</v>
      </c>
      <c r="I12" s="123" t="s">
        <v>124</v>
      </c>
      <c r="J12" s="0" t="e">
        <f aca="false">MONTH(tabla_owssvr[[#this row],[fecha]])</f>
        <v>#VALUE!</v>
      </c>
      <c r="K12" s="120" t="e">
        <f aca="false">1-(tabla_owssvr[[#this row],[duracion]]/(22*12*60))*(tabla_owssvr[[#this row],[usuarios afectados]]/400)</f>
        <v>#VALUE!</v>
      </c>
      <c r="T12" s="99" t="e">
        <f aca="false">1-("Suma de UP",$M$1,"Sistema","Internet","Mes",11)</f>
        <v>#VALUE!</v>
      </c>
    </row>
    <row collapsed="false" customFormat="false" customHeight="false" hidden="false" ht="30" outlineLevel="0" r="13">
      <c r="A13" s="159" t="s">
        <v>125</v>
      </c>
      <c r="B13" s="160" t="s">
        <v>95</v>
      </c>
      <c r="C13" s="161" t="n">
        <v>41682</v>
      </c>
      <c r="D13" s="69" t="n">
        <v>9</v>
      </c>
      <c r="E13" s="126" t="s">
        <v>126</v>
      </c>
      <c r="F13" s="38" t="n">
        <v>40</v>
      </c>
      <c r="G13" s="159" t="s">
        <v>91</v>
      </c>
      <c r="H13" s="159" t="s">
        <v>92</v>
      </c>
      <c r="I13" s="159" t="s">
        <v>127</v>
      </c>
      <c r="J13" s="38" t="e">
        <f aca="false">MONTH(tabla_owssvr[[#this row],[fecha]])</f>
        <v>#VALUE!</v>
      </c>
      <c r="K13" s="120" t="e">
        <f aca="false">1-(tabla_owssvr[[#this row],[duracion]]/(22*12*60))*(tabla_owssvr[[#this row],[usuarios afectados]]/400)</f>
        <v>#VALUE!</v>
      </c>
    </row>
    <row collapsed="false" customFormat="false" customHeight="false" hidden="false" ht="30" outlineLevel="0" r="14">
      <c r="A14" s="123" t="s">
        <v>128</v>
      </c>
      <c r="B14" s="124" t="s">
        <v>95</v>
      </c>
      <c r="C14" s="125" t="n">
        <v>41703</v>
      </c>
      <c r="D14" s="97" t="n">
        <v>60</v>
      </c>
      <c r="E14" s="126" t="s">
        <v>129</v>
      </c>
      <c r="F14" s="0" t="n">
        <v>40</v>
      </c>
      <c r="G14" s="123" t="s">
        <v>91</v>
      </c>
      <c r="H14" s="123" t="s">
        <v>92</v>
      </c>
      <c r="I14" s="123" t="s">
        <v>130</v>
      </c>
      <c r="J14" s="0" t="e">
        <f aca="false">MONTH(tabla_owssvr[[#this row],[fecha]])</f>
        <v>#VALUE!</v>
      </c>
      <c r="K14" s="120" t="e">
        <f aca="false">1-(tabla_owssvr[[#this row],[duracion]]/(22*12*60))*(tabla_owssvr[[#this row],[usuarios afectados]]/400)</f>
        <v>#VALUE!</v>
      </c>
    </row>
    <row collapsed="false" customFormat="false" customHeight="false" hidden="false" ht="15" outlineLevel="0" r="15">
      <c r="A15" s="123" t="s">
        <v>131</v>
      </c>
      <c r="B15" s="124" t="s">
        <v>95</v>
      </c>
      <c r="C15" s="125" t="n">
        <v>41704</v>
      </c>
      <c r="D15" s="97" t="n">
        <v>3</v>
      </c>
      <c r="E15" s="126" t="s">
        <v>132</v>
      </c>
      <c r="F15" s="0" t="n">
        <v>60</v>
      </c>
      <c r="G15" s="123" t="s">
        <v>91</v>
      </c>
      <c r="H15" s="123" t="s">
        <v>92</v>
      </c>
      <c r="I15" s="123" t="s">
        <v>133</v>
      </c>
      <c r="J15" s="0" t="e">
        <f aca="false">MONTH(tabla_owssvr[[#this row],[fecha]])</f>
        <v>#VALUE!</v>
      </c>
      <c r="K15" s="120" t="e">
        <f aca="false">1-(tabla_owssvr[[#this row],[duracion]]/(22*12*60))*(tabla_owssvr[[#this row],[usuarios afectados]]/400)</f>
        <v>#VALUE!</v>
      </c>
    </row>
    <row collapsed="false" customFormat="false" customHeight="false" hidden="false" ht="15" outlineLevel="0" r="16">
      <c r="A16" s="123" t="s">
        <v>134</v>
      </c>
      <c r="B16" s="124" t="s">
        <v>95</v>
      </c>
      <c r="C16" s="125" t="n">
        <v>41744</v>
      </c>
      <c r="D16" s="97" t="n">
        <v>60</v>
      </c>
      <c r="E16" s="126"/>
      <c r="F16" s="0" t="n">
        <v>10</v>
      </c>
      <c r="G16" s="123" t="s">
        <v>91</v>
      </c>
      <c r="H16" s="123" t="s">
        <v>92</v>
      </c>
      <c r="I16" s="123" t="s">
        <v>124</v>
      </c>
      <c r="J16" s="0" t="e">
        <f aca="false">MONTH(tabla_owssvr[[#this row],[fecha]])</f>
        <v>#VALUE!</v>
      </c>
      <c r="K16" s="120" t="e">
        <f aca="false">1-(tabla_owssvr[[#this row],[duracion]]/(22*12*60))*(tabla_owssvr[[#this row],[usuarios afectados]]/400)</f>
        <v>#VALUE!</v>
      </c>
    </row>
    <row collapsed="false" customFormat="false" customHeight="false" hidden="false" ht="15" outlineLevel="0" r="17">
      <c r="A17" s="123" t="s">
        <v>135</v>
      </c>
      <c r="B17" s="124" t="s">
        <v>70</v>
      </c>
      <c r="C17" s="125" t="n">
        <v>41754</v>
      </c>
      <c r="D17" s="97" t="n">
        <v>30</v>
      </c>
      <c r="E17" s="126" t="s">
        <v>136</v>
      </c>
      <c r="F17" s="0" t="n">
        <v>60</v>
      </c>
      <c r="G17" s="123" t="s">
        <v>91</v>
      </c>
      <c r="H17" s="123" t="s">
        <v>92</v>
      </c>
      <c r="I17" s="123" t="s">
        <v>137</v>
      </c>
      <c r="J17" s="0" t="e">
        <f aca="false">MONTH(tabla_owssvr[[#this row],[fecha]])</f>
        <v>#VALUE!</v>
      </c>
      <c r="K17" s="120" t="e">
        <f aca="false">1-(tabla_owssvr[[#this row],[duracion]]/(22*12*60))*(tabla_owssvr[[#this row],[usuarios afectados]]/400)</f>
        <v>#VALUE!</v>
      </c>
    </row>
    <row collapsed="false" customFormat="false" customHeight="false" hidden="false" ht="15" outlineLevel="0" r="18">
      <c r="A18" s="123" t="s">
        <v>138</v>
      </c>
      <c r="B18" s="124" t="s">
        <v>75</v>
      </c>
      <c r="C18" s="125" t="n">
        <v>41765</v>
      </c>
      <c r="D18" s="97" t="n">
        <v>45</v>
      </c>
      <c r="E18" s="126" t="s">
        <v>139</v>
      </c>
      <c r="F18" s="0" t="n">
        <v>420</v>
      </c>
      <c r="G18" s="123" t="s">
        <v>91</v>
      </c>
      <c r="H18" s="123" t="s">
        <v>92</v>
      </c>
      <c r="I18" s="123" t="s">
        <v>137</v>
      </c>
      <c r="J18" s="0" t="e">
        <f aca="false">MONTH(tabla_owssvr[[#this row],[fecha]])</f>
        <v>#VALUE!</v>
      </c>
      <c r="K18" s="120" t="e">
        <f aca="false">1-(tabla_owssvr[[#this row],[duracion]]/(22*12*60))*(tabla_owssvr[[#this row],[usuarios afectados]]/400)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2013-06-26T22:06:19Z</dcterms:created>
  <dc:creator>cl087063410</dc:creator>
  <cp:lastModifiedBy>cl146946593</cp:lastModifiedBy>
  <dcterms:modified xsi:type="dcterms:W3CDTF">2014-07-09T17:14:10Z</dcterms:modified>
  <cp:revision>0</cp:revision>
</cp:coreProperties>
</file>