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hardin/Documents/GitHub/Becca-Sap-Flow-LORA/Eagle/"/>
    </mc:Choice>
  </mc:AlternateContent>
  <xr:revisionPtr revIDLastSave="0" documentId="13_ncr:1_{C2AEC379-85FA-7C44-B101-119D676370AD}" xr6:coauthVersionLast="47" xr6:coauthVersionMax="47" xr10:uidLastSave="{00000000-0000-0000-0000-000000000000}"/>
  <bookViews>
    <workbookView xWindow="0" yWindow="500" windowWidth="38400" windowHeight="23500" xr2:uid="{C395CEAB-2D6E-154C-928F-A2CDABFBE8F7}"/>
  </bookViews>
  <sheets>
    <sheet name="Sheet3" sheetId="3" r:id="rId1"/>
    <sheet name="Sheet1" sheetId="4" r:id="rId2"/>
  </sheets>
  <definedNames>
    <definedName name="Becca_Sap_Flow_Power_Board_MOD" localSheetId="0">Sheet3!$B$2:$D$12</definedName>
    <definedName name="Becca_Sap_Flow_Power_Board_v1_2" localSheetId="1">Sheet1!$A$1:$N$14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" l="1"/>
  <c r="C41" i="3"/>
  <c r="C51" i="3"/>
  <c r="B13" i="3"/>
  <c r="L13" i="3" s="1"/>
  <c r="R13" i="3" s="1"/>
  <c r="B15" i="3"/>
  <c r="L15" i="3" s="1"/>
  <c r="Q15" i="3" s="1"/>
  <c r="B10" i="3"/>
  <c r="L10" i="3" s="1"/>
  <c r="M10" i="3" s="1"/>
  <c r="B14" i="3"/>
  <c r="L14" i="3" s="1"/>
  <c r="Q14" i="3" s="1"/>
  <c r="C31" i="3"/>
  <c r="C23" i="3"/>
  <c r="C24" i="3"/>
  <c r="C25" i="3"/>
  <c r="C26" i="3"/>
  <c r="C27" i="3"/>
  <c r="C28" i="3"/>
  <c r="C29" i="3"/>
  <c r="C30" i="3"/>
  <c r="C22" i="3"/>
  <c r="B16" i="3"/>
  <c r="L16" i="3" s="1"/>
  <c r="P16" i="3" s="1"/>
  <c r="B3" i="3"/>
  <c r="B4" i="3"/>
  <c r="L4" i="3" s="1"/>
  <c r="R4" i="3" s="1"/>
  <c r="B5" i="3"/>
  <c r="L5" i="3" s="1"/>
  <c r="R5" i="3" s="1"/>
  <c r="B6" i="3"/>
  <c r="L6" i="3" s="1"/>
  <c r="Q6" i="3" s="1"/>
  <c r="B7" i="3"/>
  <c r="L7" i="3" s="1"/>
  <c r="Q7" i="3" s="1"/>
  <c r="B8" i="3"/>
  <c r="L8" i="3" s="1"/>
  <c r="P8" i="3" s="1"/>
  <c r="B9" i="3"/>
  <c r="L9" i="3" s="1"/>
  <c r="Q9" i="3" s="1"/>
  <c r="B11" i="3"/>
  <c r="B12" i="3"/>
  <c r="L12" i="3" s="1"/>
  <c r="R12" i="3" s="1"/>
  <c r="N6" i="3" l="1"/>
  <c r="P14" i="3"/>
  <c r="N14" i="3"/>
  <c r="Q10" i="3"/>
  <c r="P4" i="3"/>
  <c r="P15" i="3"/>
  <c r="Q5" i="3"/>
  <c r="N8" i="3"/>
  <c r="P7" i="3"/>
  <c r="R15" i="3"/>
  <c r="P5" i="3"/>
  <c r="N5" i="3"/>
  <c r="N15" i="3"/>
  <c r="N4" i="3"/>
  <c r="Q13" i="3"/>
  <c r="N13" i="3"/>
  <c r="N9" i="3"/>
  <c r="P13" i="3"/>
  <c r="Q4" i="3"/>
  <c r="N7" i="3"/>
  <c r="P6" i="3"/>
  <c r="R10" i="3"/>
  <c r="R8" i="3"/>
  <c r="R7" i="3"/>
  <c r="Q16" i="3"/>
  <c r="R6" i="3"/>
  <c r="N16" i="3"/>
  <c r="R9" i="3"/>
  <c r="R16" i="3"/>
  <c r="P9" i="3"/>
  <c r="Q12" i="3"/>
  <c r="P12" i="3"/>
  <c r="N12" i="3"/>
  <c r="P10" i="3"/>
  <c r="Q8" i="3"/>
  <c r="R14" i="3"/>
  <c r="N10" i="3"/>
  <c r="M13" i="3"/>
  <c r="O13" i="3"/>
  <c r="M15" i="3"/>
  <c r="O15" i="3"/>
  <c r="O10" i="3"/>
  <c r="M14" i="3"/>
  <c r="O14" i="3"/>
  <c r="L11" i="3"/>
  <c r="L3" i="3"/>
  <c r="M12" i="3"/>
  <c r="O4" i="3"/>
  <c r="O16" i="3"/>
  <c r="M16" i="3"/>
  <c r="O7" i="3"/>
  <c r="O8" i="3"/>
  <c r="O9" i="3"/>
  <c r="O12" i="3"/>
  <c r="M5" i="3"/>
  <c r="M4" i="3"/>
  <c r="O6" i="3"/>
  <c r="O5" i="3"/>
  <c r="M7" i="3"/>
  <c r="M9" i="3"/>
  <c r="M8" i="3"/>
  <c r="S5" i="3" l="1"/>
  <c r="T5" i="3" s="1"/>
  <c r="S14" i="3"/>
  <c r="T14" i="3" s="1"/>
  <c r="S10" i="3"/>
  <c r="T10" i="3" s="1"/>
  <c r="S7" i="3"/>
  <c r="T7" i="3" s="1"/>
  <c r="S4" i="3"/>
  <c r="T4" i="3" s="1"/>
  <c r="S15" i="3"/>
  <c r="T15" i="3" s="1"/>
  <c r="S12" i="3"/>
  <c r="T12" i="3" s="1"/>
  <c r="S13" i="3"/>
  <c r="T13" i="3" s="1"/>
  <c r="S8" i="3"/>
  <c r="T8" i="3" s="1"/>
  <c r="S9" i="3"/>
  <c r="T9" i="3" s="1"/>
  <c r="S16" i="3"/>
  <c r="T16" i="3" s="1"/>
  <c r="O11" i="3"/>
  <c r="P11" i="3"/>
  <c r="R11" i="3"/>
  <c r="N11" i="3"/>
  <c r="Q11" i="3"/>
  <c r="O3" i="3"/>
  <c r="Q3" i="3"/>
  <c r="N3" i="3"/>
  <c r="P3" i="3"/>
  <c r="R3" i="3"/>
  <c r="M11" i="3"/>
  <c r="M6" i="3"/>
  <c r="S6" i="3" s="1"/>
  <c r="T6" i="3" s="1"/>
  <c r="S3" i="3" l="1"/>
  <c r="T3" i="3" s="1"/>
  <c r="S11" i="3"/>
  <c r="T11" i="3" s="1"/>
  <c r="T18" i="3" l="1"/>
  <c r="T20" i="3" s="1"/>
  <c r="T2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03612-0A4C-294C-AEFC-548088BDAF32}" name="Becca Sap Flow Power Board MOD1" type="6" refreshedVersion="8" background="1" saveData="1">
    <textPr firstRow="3" sourceFile="/Users/kevinhardin/Documents/GitHub/Becca-Sap-Flow-LORA/Eagle/Becca Sap Flow Power Board MOD.txt" delimited="0">
      <textFields count="14">
        <textField type="text"/>
        <textField type="text" position="4"/>
        <textField type="text" position="19"/>
        <textField type="text" position="34"/>
        <textField type="text" position="52"/>
        <textField type="text" position="76"/>
        <textField type="text" position="478"/>
        <textField type="text" position="586"/>
        <textField type="text" position="624"/>
        <textField type="text" position="660"/>
        <textField type="text" position="702"/>
        <textField type="text" position="744"/>
        <textField type="text" position="843"/>
        <textField type="text" position="884"/>
      </textFields>
    </textPr>
  </connection>
  <connection id="2" xr16:uid="{B7630E75-7272-C449-ADED-D154521B4ADF}" name="Becca Sap Flow Power Board v1_2" type="6" refreshedVersion="8" background="1" saveData="1">
    <textPr codePage="10000" firstRow="3" sourceFile="/Users/kevinhardin/Documents/GitHub/Becca-Sap-Flow-LORA/Eagle/Becca Sap Flow Power Board v1_2.txt" delimited="0">
      <textFields count="14">
        <textField type="text"/>
        <textField type="text" position="4"/>
        <textField type="text" position="19"/>
        <textField type="text" position="34"/>
        <textField type="text" position="56"/>
        <textField type="text" position="75"/>
        <textField type="text" position="477"/>
        <textField type="text" position="585"/>
        <textField type="text" position="623"/>
        <textField type="text" position="659"/>
        <textField type="text" position="701"/>
        <textField type="text" position="743"/>
        <textField type="text" position="850"/>
        <textField type="text" position="891"/>
      </textFields>
    </textPr>
  </connection>
</connections>
</file>

<file path=xl/sharedStrings.xml><?xml version="1.0" encoding="utf-8"?>
<sst xmlns="http://schemas.openxmlformats.org/spreadsheetml/2006/main" count="207" uniqueCount="126">
  <si>
    <t>Value</t>
  </si>
  <si>
    <t>Device</t>
  </si>
  <si>
    <t>Package</t>
  </si>
  <si>
    <t>Description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</si>
  <si>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</si>
  <si>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</si>
  <si>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</si>
  <si>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</si>
  <si>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</si>
  <si>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</si>
  <si>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J1</t>
  </si>
  <si>
    <t>11.55mm</t>
  </si>
  <si>
    <t>Phoenix Contact</t>
  </si>
  <si>
    <t>J2</t>
  </si>
  <si>
    <t>Unit Price</t>
  </si>
  <si>
    <t>Unit Price Per 10</t>
  </si>
  <si>
    <t>Sub-total Per 10</t>
  </si>
  <si>
    <t>Final Count</t>
  </si>
  <si>
    <t>Final Subtotal</t>
  </si>
  <si>
    <t>Sub-count</t>
  </si>
  <si>
    <t>Qty</t>
  </si>
  <si>
    <t>Parts</t>
  </si>
  <si>
    <t>POPULARITY</t>
  </si>
  <si>
    <t>SPICEPREFIX</t>
  </si>
  <si>
    <t>LITTELFUSE</t>
  </si>
  <si>
    <t>100 Ohm, 5%</t>
  </si>
  <si>
    <t>R-US_R1210</t>
  </si>
  <si>
    <t>R1210</t>
  </si>
  <si>
    <t>R3, R6, R13</t>
  </si>
  <si>
    <t>RESISTOR, American symbol</t>
  </si>
  <si>
    <t>0</t>
  </si>
  <si>
    <t>R</t>
  </si>
  <si>
    <t>12 Ohm, 5%</t>
  </si>
  <si>
    <t>R1, R4, R10</t>
  </si>
  <si>
    <t>1935161</t>
  </si>
  <si>
    <t>Phoenix Contact COMBICON PT PCB Terminal Block, 2 Way/Pole, Screw Terminals, 26  14 AWG Through Hole, Nylon</t>
  </si>
  <si>
    <t>651-1935161</t>
  </si>
  <si>
    <t>https://www.mouser.co.uk/ProductDetail/Phoenix-Contact/1935161?qs=W3wJikR1%252BS6eKzfFl8Rbew%3D%3D</t>
  </si>
  <si>
    <t>1935200</t>
  </si>
  <si>
    <t>Fixed Terminal Blocks PT 1.5/6-5.0-H</t>
  </si>
  <si>
    <t>651-1935200</t>
  </si>
  <si>
    <t>https://www.mouser.co.uk/ProductDetail/Phoenix-Contact/1935200?qs=8BCRtFWWXOTOyOTMiNRITA%3D%3D</t>
  </si>
  <si>
    <t>3296W-1-102RLF</t>
  </si>
  <si>
    <t>3296W1102RLF</t>
  </si>
  <si>
    <t>VR1, VR2, VR3</t>
  </si>
  <si>
    <t>1 kOhms 0.5W, 1/2W PC Pins Through Hole Trimmer Potentiometer Cermet 25.0 Turn Top Adjustment</t>
  </si>
  <si>
    <t>11.8mm</t>
  </si>
  <si>
    <t>Bourns</t>
  </si>
  <si>
    <t>652-3296W-1-102RLF</t>
  </si>
  <si>
    <t>https://www.mouser.co.uk/ProductDetail/Bourns/3296W-1-102RLF?qs=oM%2FE6%2FUWOpR5bwX1MfrWeA%3D%3D</t>
  </si>
  <si>
    <t>47 Ohm, 5%</t>
  </si>
  <si>
    <t>R2, R5, R12</t>
  </si>
  <si>
    <t>JUMPER</t>
  </si>
  <si>
    <t>HDR2X1</t>
  </si>
  <si>
    <t>JP1, JP2, JP3</t>
  </si>
  <si>
    <t>Wire jumper .1" C</t>
  </si>
  <si>
    <t>U1, U2, U3</t>
  </si>
  <si>
    <t>Internal Short Circuit Current Limiting; Internal Thermal Overload Protection; Output Current in Excess of 500 mA; Output Transistor Safe-Area Compensation; Output Adjustable between 1.2 V and 37 V; Floating Operation for High Voltage Applications; Eliminates Stocking Many Fixed Voltages; Pb-Free Packages are Available; NCV Prefix for Automotive and Other Applications Requiring Site Control Changes</t>
  </si>
  <si>
    <t>Internal Short Circuit Current Limiting</t>
  </si>
  <si>
    <t>Internal Thermal Overload Protection</t>
  </si>
  <si>
    <t>Output Current in Excess of 500 mA</t>
  </si>
  <si>
    <t>Output Transistor Safe-Area Compensation</t>
  </si>
  <si>
    <t>Output Adjustable between 1.2 V and 37 V</t>
  </si>
  <si>
    <t>Floating Operation for High Voltage Applications</t>
  </si>
  <si>
    <t>Eliminates Stocking Many Fixed Voltages</t>
  </si>
  <si>
    <t>Pb-Free Packages are Available</t>
  </si>
  <si>
    <t>S1A</t>
  </si>
  <si>
    <t>DIOM5027X250N</t>
  </si>
  <si>
    <t>Rectifier Diode Switching 50V 1A 1500ns 2-Pin SMA T/R</t>
  </si>
  <si>
    <t>2.5mm</t>
  </si>
  <si>
    <t>Diotec</t>
  </si>
  <si>
    <t>637-S1A</t>
  </si>
  <si>
    <t>https://www.mouser.co.uk/ProductDetail/Diotec-Semiconductor/S1A?qs=OlC7AqGiEDlqVjQP70PTqA%3D%3D</t>
  </si>
  <si>
    <t>Per 1 Qty</t>
  </si>
  <si>
    <t>Multiplier</t>
  </si>
  <si>
    <t>Grand Total</t>
  </si>
  <si>
    <t>Cost Per Board</t>
  </si>
  <si>
    <t>Parts Shipping</t>
  </si>
  <si>
    <t>Parts/Board Total</t>
  </si>
  <si>
    <t>Extra?</t>
  </si>
  <si>
    <t>3</t>
  </si>
  <si>
    <t>1210L050_30WR</t>
  </si>
  <si>
    <t>THRMC3226X125N</t>
  </si>
  <si>
    <t>F1, F2, F3</t>
  </si>
  <si>
    <t>Resettable Fuses - PPTC PTC 30V POLYFUSE SURF MOUNT 1210 0.5A</t>
  </si>
  <si>
    <t>1.25mm</t>
  </si>
  <si>
    <t>1210L050/30WR</t>
  </si>
  <si>
    <t>576-1210L050/30WR</t>
  </si>
  <si>
    <t>https://www.mouser.co.uk/ProductDetail/Littelfuse/1210L050-30WR?qs=lM4gFlnEeEOvFoAkPA9Mhg%3D%3D</t>
  </si>
  <si>
    <t>1</t>
  </si>
  <si>
    <t>262-75ABE-01</t>
  </si>
  <si>
    <t>26275ABE01</t>
  </si>
  <si>
    <t>U4, U5, U6</t>
  </si>
  <si>
    <t>Heat Sinks Horizontal and Vertical Mount Heat Sink for TO-220, Aluminum, 13.4x12.7x19.1mm</t>
  </si>
  <si>
    <t>19.1mm</t>
  </si>
  <si>
    <t>Wakefield Thermal</t>
  </si>
  <si>
    <t>567-262-75AB-01E</t>
  </si>
  <si>
    <t>https://www.mouser.co.uk/ProductDetail/Wakefield-Vette/262-75ABE-01?qs=fkDBU5YyzSHxguVX7sHNMA%3D%3D</t>
  </si>
  <si>
    <t>860010473011</t>
  </si>
  <si>
    <t>CAPPRD250W52D630H1250</t>
  </si>
  <si>
    <t>C1, C2, C3</t>
  </si>
  <si>
    <t>Wurth Elektronik 220uF 25 V dc Aluminium Electrolytic Capacitor, WCAP-ATG8 Series 2000h 6.3 (Dia.) x 11mm</t>
  </si>
  <si>
    <t>12.5mm</t>
  </si>
  <si>
    <t>Wurth Elektronik</t>
  </si>
  <si>
    <t>710-860010473011</t>
  </si>
  <si>
    <t>https://www.mouser.co.uk/ProductDetail/Wurth-Elektronik/860010473011?qs=0KOYDY2FL2%252Bm07azjhm%2FHQ%3D%3D</t>
  </si>
  <si>
    <t>LM317MTG</t>
  </si>
  <si>
    <t>TO254P482X997X2018-3P</t>
  </si>
  <si>
    <t>RS3A-13-F</t>
  </si>
  <si>
    <t>DIOM7959X250N</t>
  </si>
  <si>
    <t>D1</t>
  </si>
  <si>
    <t>DIODE GEN PURP 50V 3A SMC</t>
  </si>
  <si>
    <t>Diodes Incorporated</t>
  </si>
  <si>
    <t>621-RS3A-13-F</t>
  </si>
  <si>
    <t>https://www.mouser.com/Search/Refine.aspx?Keyword=621-RS3A-13-F</t>
  </si>
  <si>
    <t>D3, D4, D6</t>
  </si>
  <si>
    <t>Sub-total Per 25</t>
  </si>
  <si>
    <t>Sub-total Per 100</t>
  </si>
  <si>
    <t>Sub-total Per 50</t>
  </si>
  <si>
    <t>Unit Price Per 25</t>
  </si>
  <si>
    <t>Unit Price Per 50</t>
  </si>
  <si>
    <t>Unit Price Per 100</t>
  </si>
  <si>
    <t>Unit Price Per 5</t>
  </si>
  <si>
    <t>Sub-total &lt;5</t>
  </si>
  <si>
    <t>Sub-total Per 5</t>
  </si>
  <si>
    <t>PCB+Shipping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</si>
</sst>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Board Costs vs. Qty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Sheet3!$C$21</c:f>
              <c:strCache>
                <c:ptCount val="1"/>
                <c:pt idx="0">
                  <c:v>Cost Per Board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Sheet3!$A$22:$A$51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Sheet3!$C$22:$C$51</c:f>
              <c:numCache>
                <c:formatCode>"$"#,##0.00</c:formatCode>
                <c:ptCount val="30"/>
                <c:pt idx="0">
                  <c:v>31.54</c:v>
                </c:pt>
                <c:pt idx="1">
                  <c:v>25.484999999999999</c:v>
                </c:pt>
                <c:pt idx="2">
                  <c:v>22.593333333333334</c:v>
                </c:pt>
                <c:pt idx="3">
                  <c:v>21.572500000000002</c:v>
                </c:pt>
                <c:pt idx="4">
                  <c:v>21.084</c:v>
                </c:pt>
                <c:pt idx="5">
                  <c:v>20.766666666666666</c:v>
                </c:pt>
                <c:pt idx="6">
                  <c:v>19.957142857142856</c:v>
                </c:pt>
                <c:pt idx="7">
                  <c:v>19.317499999999999</c:v>
                </c:pt>
                <c:pt idx="8">
                  <c:v>18.915555555555557</c:v>
                </c:pt>
                <c:pt idx="9">
                  <c:v>18.594999999999999</c:v>
                </c:pt>
                <c:pt idx="19">
                  <c:v>16.057499999999997</c:v>
                </c:pt>
                <c:pt idx="29">
                  <c:v>15.364000000000001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BA-784A-94EA-8F7E39BE29DA}"/>
            </c:ext>
          </c:extLst>
        </c:ser>
        <c:ser>
          <c:idx val="1"/>
          <c:order val="1"/>
          <c:tx>
            <c:strRef>
              <c:f>Sheet3!$B$21</c:f>
              <c:strCache>
                <c:ptCount val="1"/>
                <c:pt idx="0">
                  <c:v>Grand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Sheet3!$A$22:$A$51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Sheet3!$B$22:$B$51</c:f>
              <c:numCache>
                <c:formatCode>"$"#,##0.00</c:formatCode>
                <c:ptCount val="30"/>
                <c:pt idx="0">
                  <c:v>31.54</c:v>
                </c:pt>
                <c:pt idx="1">
                  <c:v>50.97</c:v>
                </c:pt>
                <c:pt idx="2">
                  <c:v>67.78</c:v>
                </c:pt>
                <c:pt idx="3">
                  <c:v>86.29</c:v>
                </c:pt>
                <c:pt idx="4">
                  <c:v>105.42</c:v>
                </c:pt>
                <c:pt idx="5">
                  <c:v>124.6</c:v>
                </c:pt>
                <c:pt idx="6">
                  <c:v>139.69999999999999</c:v>
                </c:pt>
                <c:pt idx="7">
                  <c:v>154.54</c:v>
                </c:pt>
                <c:pt idx="8">
                  <c:v>170.24</c:v>
                </c:pt>
                <c:pt idx="9">
                  <c:v>185.95</c:v>
                </c:pt>
                <c:pt idx="19">
                  <c:v>321.14999999999998</c:v>
                </c:pt>
                <c:pt idx="29">
                  <c:v>460.92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9BA-784A-94EA-8F7E39BE2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934847"/>
        <c:axId val="1932952943"/>
      </c:lineChart>
      <c:catAx>
        <c:axId val="193293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952943"/>
        <c:crosses val="autoZero"/>
        <c:auto val="1"/>
        <c:lblAlgn val="ctr"/>
        <c:lblOffset val="100"/>
        <c:noMultiLvlLbl val="0"/>
      </c:catAx>
      <c:valAx>
        <c:axId val="19329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934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876300</xdr:colOff>
      <xdr:row>22</xdr:row>
      <xdr:rowOff>107950</xdr:rowOff>
    </xdr:from>
    <xdr:to>
      <xdr:col>15</xdr:col>
      <xdr:colOff>609600</xdr:colOff>
      <xdr:row>45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7C0251-7314-05F1-ED70-E47774390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cca Sap Flow Power Board MOD" connectionId="1" xr16:uid="{A3F458B6-0972-FC4E-B97F-C889E50A92E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cca Sap Flow Power Board v1_2" connectionId="2" xr16:uid="{28D4A7DA-3A8A-924D-A907-192CBD7796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573F-4DD7-AA4A-89DE-4EB5473E1E5F}">
  <dimension ref="A1:U51"/>
  <sheetViews>
    <sheetView tabSelected="1" workbookViewId="0">
      <selection activeCell="R18" sqref="R18"/>
    </sheetView>
  </sheetViews>
  <sheetFormatPr baseColWidth="10" defaultRowHeight="16" x14ac:dyDescent="0.2"/>
  <cols>
    <col min="1" max="1" width="9" bestFit="1" customWidth="1"/>
    <col min="2" max="2" width="10.5" bestFit="1" customWidth="1"/>
    <col min="3" max="3" width="15.1640625" bestFit="1" customWidth="1"/>
    <col min="4" max="4" width="17" bestFit="1" customWidth="1"/>
    <col min="5" max="5" width="9" bestFit="1" customWidth="1"/>
    <col min="6" max="6" width="13.33203125" bestFit="1" customWidth="1"/>
    <col min="7" max="7" width="14.33203125" bestFit="1" customWidth="1"/>
    <col min="8" max="9" width="14.33203125" customWidth="1"/>
    <col min="10" max="10" width="15.33203125" bestFit="1" customWidth="1"/>
    <col min="11" max="11" width="14.33203125" customWidth="1"/>
    <col min="12" max="12" width="9.5" bestFit="1" customWidth="1"/>
    <col min="13" max="13" width="12" bestFit="1" customWidth="1"/>
    <col min="14" max="14" width="13" bestFit="1" customWidth="1"/>
    <col min="15" max="15" width="14" bestFit="1" customWidth="1"/>
    <col min="16" max="17" width="14" customWidth="1"/>
    <col min="18" max="18" width="15" bestFit="1" customWidth="1"/>
    <col min="19" max="19" width="15.1640625" bestFit="1" customWidth="1"/>
    <col min="20" max="20" width="12.33203125" bestFit="1" customWidth="1"/>
  </cols>
  <sheetData>
    <row r="1" spans="1:21" x14ac:dyDescent="0.2">
      <c r="M1">
        <v>1</v>
      </c>
      <c r="N1">
        <v>5</v>
      </c>
      <c r="O1">
        <v>10</v>
      </c>
      <c r="P1">
        <v>25</v>
      </c>
      <c r="Q1">
        <v>50</v>
      </c>
      <c r="R1">
        <v>100</v>
      </c>
    </row>
    <row r="2" spans="1:21" x14ac:dyDescent="0.2">
      <c r="A2" t="s">
        <v>73</v>
      </c>
      <c r="B2" s="1" t="s">
        <v>20</v>
      </c>
      <c r="C2" s="1" t="s">
        <v>0</v>
      </c>
      <c r="D2" s="1" t="s">
        <v>1</v>
      </c>
      <c r="E2" t="s">
        <v>14</v>
      </c>
      <c r="F2" t="s">
        <v>122</v>
      </c>
      <c r="G2" t="s">
        <v>15</v>
      </c>
      <c r="H2" t="s">
        <v>119</v>
      </c>
      <c r="I2" t="s">
        <v>120</v>
      </c>
      <c r="J2" t="s">
        <v>121</v>
      </c>
      <c r="K2" s="1" t="s">
        <v>79</v>
      </c>
      <c r="L2" t="s">
        <v>19</v>
      </c>
      <c r="M2" t="s">
        <v>123</v>
      </c>
      <c r="N2" t="s">
        <v>124</v>
      </c>
      <c r="O2" t="s">
        <v>16</v>
      </c>
      <c r="P2" t="s">
        <v>116</v>
      </c>
      <c r="Q2" t="s">
        <v>118</v>
      </c>
      <c r="R2" t="s">
        <v>117</v>
      </c>
      <c r="S2" t="s">
        <v>17</v>
      </c>
      <c r="T2" t="s">
        <v>18</v>
      </c>
    </row>
    <row r="3" spans="1:21" x14ac:dyDescent="0.2">
      <c r="A3">
        <v>3</v>
      </c>
      <c r="B3">
        <f>A3*B$18</f>
        <v>90</v>
      </c>
      <c r="C3" s="4" t="s">
        <v>25</v>
      </c>
      <c r="D3" s="1" t="s">
        <v>26</v>
      </c>
      <c r="E3" s="2">
        <v>0.1</v>
      </c>
      <c r="F3" s="2">
        <v>0.1</v>
      </c>
      <c r="G3" s="2">
        <v>2.5999999999999999E-2</v>
      </c>
      <c r="H3" s="2">
        <v>2.5999999999999999E-2</v>
      </c>
      <c r="I3" s="2">
        <v>2.5999999999999999E-2</v>
      </c>
      <c r="J3" s="2">
        <v>2.4E-2</v>
      </c>
      <c r="K3" s="2" t="b">
        <v>1</v>
      </c>
      <c r="L3">
        <f>IF(AND(E3&lt;1, K3),ROUND(B3 + 1 + (B3*0.03),0),B3)</f>
        <v>94</v>
      </c>
      <c r="M3" s="2">
        <f t="shared" ref="M3:M16" si="0">L3*E3</f>
        <v>9.4</v>
      </c>
      <c r="N3" s="2">
        <f>IF(L3&gt;4, L3 * F3, F3*5)</f>
        <v>9.4</v>
      </c>
      <c r="O3" s="2">
        <f t="shared" ref="O3:O16" si="1">IF(L3&gt;9, L3 * G3, G3*10)</f>
        <v>2.444</v>
      </c>
      <c r="P3" s="2">
        <f>IF(L3&gt;24, L3 * H3, H3*25)</f>
        <v>2.444</v>
      </c>
      <c r="Q3" s="2">
        <f>IF(L3&gt;49, L3 * I3, I3*50)</f>
        <v>2.444</v>
      </c>
      <c r="R3" s="2">
        <f>IF(L3&gt;99, L3 * J3, J3*100)</f>
        <v>2.4</v>
      </c>
      <c r="S3">
        <f>IF(L3&lt;_xlfn.XLOOKUP(MIN(M3:R3),M3:R3,M$1:R$1,,,-1),_xlfn.XLOOKUP(MIN(M3:R3),M3:R3,M$1:R$1,,,-1),L3)</f>
        <v>100</v>
      </c>
      <c r="T3" s="2">
        <f>S3 * (_xlfn.XLOOKUP(MIN(M3:R3),M3:R3,E3:J3,,,-1))</f>
        <v>2.4</v>
      </c>
      <c r="U3" s="5"/>
    </row>
    <row r="4" spans="1:21" x14ac:dyDescent="0.2">
      <c r="A4">
        <v>3</v>
      </c>
      <c r="B4">
        <f>A4*B$18</f>
        <v>90</v>
      </c>
      <c r="C4" s="4" t="s">
        <v>32</v>
      </c>
      <c r="D4" s="1" t="s">
        <v>26</v>
      </c>
      <c r="E4" s="2">
        <v>0.13</v>
      </c>
      <c r="F4" s="2">
        <v>0.13</v>
      </c>
      <c r="G4" s="2">
        <v>0.03</v>
      </c>
      <c r="H4" s="2">
        <v>0.03</v>
      </c>
      <c r="I4" s="2">
        <v>0.03</v>
      </c>
      <c r="J4" s="2">
        <v>2.8000000000000001E-2</v>
      </c>
      <c r="K4" s="2" t="b">
        <v>1</v>
      </c>
      <c r="L4">
        <f>IF(AND(E4&lt;1, K4),ROUND(B4 + 1 + (B4*0.03),0),B4)</f>
        <v>94</v>
      </c>
      <c r="M4" s="2">
        <f t="shared" si="0"/>
        <v>12.22</v>
      </c>
      <c r="N4" s="2">
        <f t="shared" ref="N4:N16" si="2">IF(L4&gt;4, L4 * F4, F4*5)</f>
        <v>12.22</v>
      </c>
      <c r="O4" s="2">
        <f t="shared" si="1"/>
        <v>2.82</v>
      </c>
      <c r="P4" s="2">
        <f t="shared" ref="P4:P16" si="3">IF(L4&gt;24, L4 * H4, H4*25)</f>
        <v>2.82</v>
      </c>
      <c r="Q4" s="2">
        <f t="shared" ref="Q4:Q16" si="4">IF(L4&gt;49, L4 * I4, I4*50)</f>
        <v>2.82</v>
      </c>
      <c r="R4" s="2">
        <f t="shared" ref="R4:R16" si="5">IF(L4&gt;99, L4 * J4, J4*100)</f>
        <v>2.8000000000000003</v>
      </c>
      <c r="S4">
        <f t="shared" ref="S4:S16" si="6">IF(L4&lt;_xlfn.XLOOKUP(MIN(M4:R4),M4:R4,M$1:R$1,,,-1),_xlfn.XLOOKUP(MIN(M4:R4),M4:R4,M$1:R$1,,,-1),L4)</f>
        <v>100</v>
      </c>
      <c r="T4" s="2">
        <f t="shared" ref="T4:T16" si="7">S4 * (_xlfn.XLOOKUP(MIN(M4:R4),M4:R4,E4:J4,,,-1))</f>
        <v>2.8000000000000003</v>
      </c>
    </row>
    <row r="5" spans="1:21" x14ac:dyDescent="0.2">
      <c r="A5">
        <v>1</v>
      </c>
      <c r="B5">
        <f>A5*B$18</f>
        <v>30</v>
      </c>
      <c r="C5" s="4" t="s">
        <v>34</v>
      </c>
      <c r="D5" s="1" t="s">
        <v>34</v>
      </c>
      <c r="E5" s="2">
        <v>0.51</v>
      </c>
      <c r="F5" s="2">
        <v>0.51</v>
      </c>
      <c r="G5" s="2">
        <v>0.51</v>
      </c>
      <c r="H5" s="2">
        <v>0.51</v>
      </c>
      <c r="I5" s="2">
        <v>0.51</v>
      </c>
      <c r="J5" s="2">
        <v>0.51</v>
      </c>
      <c r="K5" s="2" t="b">
        <v>0</v>
      </c>
      <c r="L5">
        <f>IF(AND(E5&lt;1, K5),ROUND(B5 + 1 + (B5*0.03),0),B5)</f>
        <v>30</v>
      </c>
      <c r="M5" s="2">
        <f t="shared" si="0"/>
        <v>15.3</v>
      </c>
      <c r="N5" s="2">
        <f t="shared" si="2"/>
        <v>15.3</v>
      </c>
      <c r="O5" s="2">
        <f t="shared" si="1"/>
        <v>15.3</v>
      </c>
      <c r="P5" s="2">
        <f t="shared" si="3"/>
        <v>15.3</v>
      </c>
      <c r="Q5" s="2">
        <f t="shared" si="4"/>
        <v>25.5</v>
      </c>
      <c r="R5" s="2">
        <f t="shared" si="5"/>
        <v>51</v>
      </c>
      <c r="S5">
        <f t="shared" si="6"/>
        <v>30</v>
      </c>
      <c r="T5" s="2">
        <f t="shared" si="7"/>
        <v>15.3</v>
      </c>
    </row>
    <row r="6" spans="1:21" x14ac:dyDescent="0.2">
      <c r="A6">
        <v>1</v>
      </c>
      <c r="B6">
        <f>A6*B$18</f>
        <v>30</v>
      </c>
      <c r="C6" s="4" t="s">
        <v>38</v>
      </c>
      <c r="D6" s="1" t="s">
        <v>38</v>
      </c>
      <c r="E6" s="2">
        <v>1.5</v>
      </c>
      <c r="F6" s="2">
        <v>1.5</v>
      </c>
      <c r="G6" s="2">
        <v>1.5</v>
      </c>
      <c r="H6" s="2">
        <v>1.5</v>
      </c>
      <c r="I6" s="2">
        <v>1.5</v>
      </c>
      <c r="J6" s="2">
        <v>1.5</v>
      </c>
      <c r="K6" s="2" t="b">
        <v>0</v>
      </c>
      <c r="L6">
        <f>IF(AND(E6&lt;1, K6),ROUND(B6 + 1 + (B6*0.03),0),B6)</f>
        <v>30</v>
      </c>
      <c r="M6" s="2">
        <f t="shared" si="0"/>
        <v>45</v>
      </c>
      <c r="N6" s="2">
        <f t="shared" si="2"/>
        <v>45</v>
      </c>
      <c r="O6" s="2">
        <f t="shared" si="1"/>
        <v>45</v>
      </c>
      <c r="P6" s="2">
        <f t="shared" si="3"/>
        <v>45</v>
      </c>
      <c r="Q6" s="2">
        <f t="shared" si="4"/>
        <v>75</v>
      </c>
      <c r="R6" s="2">
        <f t="shared" si="5"/>
        <v>150</v>
      </c>
      <c r="S6">
        <f t="shared" si="6"/>
        <v>30</v>
      </c>
      <c r="T6" s="2">
        <f t="shared" si="7"/>
        <v>45</v>
      </c>
    </row>
    <row r="7" spans="1:21" x14ac:dyDescent="0.2">
      <c r="A7">
        <v>3</v>
      </c>
      <c r="B7">
        <f>A7*B$18</f>
        <v>90</v>
      </c>
      <c r="C7" s="4" t="s">
        <v>98</v>
      </c>
      <c r="D7" s="1" t="s">
        <v>98</v>
      </c>
      <c r="E7" s="2">
        <v>0.22</v>
      </c>
      <c r="F7" s="2">
        <v>0.22</v>
      </c>
      <c r="G7" s="2">
        <v>0.22</v>
      </c>
      <c r="H7" s="2">
        <v>0.22</v>
      </c>
      <c r="I7" s="2">
        <v>0.188</v>
      </c>
      <c r="J7" s="2">
        <v>0.16400000000000001</v>
      </c>
      <c r="K7" s="2" t="b">
        <v>1</v>
      </c>
      <c r="L7">
        <f>IF(AND(E7&lt;1, K7),ROUND(B7 + 1 + (B7*0.03),0),B7)</f>
        <v>94</v>
      </c>
      <c r="M7" s="2">
        <f t="shared" si="0"/>
        <v>20.68</v>
      </c>
      <c r="N7" s="2">
        <f t="shared" si="2"/>
        <v>20.68</v>
      </c>
      <c r="O7" s="2">
        <f t="shared" si="1"/>
        <v>20.68</v>
      </c>
      <c r="P7" s="2">
        <f t="shared" si="3"/>
        <v>20.68</v>
      </c>
      <c r="Q7" s="2">
        <f t="shared" si="4"/>
        <v>17.672000000000001</v>
      </c>
      <c r="R7" s="2">
        <f t="shared" si="5"/>
        <v>16.400000000000002</v>
      </c>
      <c r="S7">
        <f t="shared" si="6"/>
        <v>100</v>
      </c>
      <c r="T7" s="2">
        <f t="shared" si="7"/>
        <v>16.400000000000002</v>
      </c>
    </row>
    <row r="8" spans="1:21" x14ac:dyDescent="0.2">
      <c r="A8">
        <v>3</v>
      </c>
      <c r="B8">
        <f>A8*B$18</f>
        <v>90</v>
      </c>
      <c r="C8" s="4" t="s">
        <v>42</v>
      </c>
      <c r="D8" s="1" t="s">
        <v>42</v>
      </c>
      <c r="E8" s="2">
        <v>2.0499999999999998</v>
      </c>
      <c r="F8" s="2">
        <v>2.0499999999999998</v>
      </c>
      <c r="G8" s="2">
        <v>2.0499999999999998</v>
      </c>
      <c r="H8" s="2">
        <v>2.0499999999999998</v>
      </c>
      <c r="I8" s="2">
        <v>1.54</v>
      </c>
      <c r="J8" s="2">
        <v>1.54</v>
      </c>
      <c r="K8" s="2" t="b">
        <v>1</v>
      </c>
      <c r="L8">
        <f>IF(AND(E8&lt;1, K8),ROUND(B8 + 1 + (B8*0.03),0),B8)</f>
        <v>90</v>
      </c>
      <c r="M8" s="2">
        <f t="shared" si="0"/>
        <v>184.49999999999997</v>
      </c>
      <c r="N8" s="2">
        <f t="shared" si="2"/>
        <v>184.49999999999997</v>
      </c>
      <c r="O8" s="2">
        <f t="shared" si="1"/>
        <v>184.49999999999997</v>
      </c>
      <c r="P8" s="2">
        <f t="shared" si="3"/>
        <v>184.49999999999997</v>
      </c>
      <c r="Q8" s="2">
        <f t="shared" si="4"/>
        <v>138.6</v>
      </c>
      <c r="R8" s="2">
        <f t="shared" si="5"/>
        <v>154</v>
      </c>
      <c r="S8">
        <f t="shared" si="6"/>
        <v>90</v>
      </c>
      <c r="T8" s="2">
        <f t="shared" si="7"/>
        <v>138.6</v>
      </c>
    </row>
    <row r="9" spans="1:21" x14ac:dyDescent="0.2">
      <c r="A9">
        <v>3</v>
      </c>
      <c r="B9">
        <f>A9*B$18</f>
        <v>90</v>
      </c>
      <c r="C9" s="4" t="s">
        <v>50</v>
      </c>
      <c r="D9" s="1" t="s">
        <v>26</v>
      </c>
      <c r="E9" s="2">
        <v>0.11</v>
      </c>
      <c r="F9" s="2">
        <v>0.11</v>
      </c>
      <c r="G9" s="2">
        <v>0.04</v>
      </c>
      <c r="H9" s="2">
        <v>0.04</v>
      </c>
      <c r="I9" s="2">
        <v>0.04</v>
      </c>
      <c r="J9" s="2">
        <v>3.5999999999999997E-2</v>
      </c>
      <c r="K9" s="2" t="b">
        <v>1</v>
      </c>
      <c r="L9">
        <f>IF(AND(E9&lt;1, K9),ROUND(B9 + 1 + (B9*0.03),0),B9)</f>
        <v>94</v>
      </c>
      <c r="M9" s="2">
        <f t="shared" si="0"/>
        <v>10.34</v>
      </c>
      <c r="N9" s="2">
        <f t="shared" si="2"/>
        <v>10.34</v>
      </c>
      <c r="O9" s="2">
        <f t="shared" si="1"/>
        <v>3.7600000000000002</v>
      </c>
      <c r="P9" s="2">
        <f t="shared" si="3"/>
        <v>3.7600000000000002</v>
      </c>
      <c r="Q9" s="2">
        <f t="shared" si="4"/>
        <v>3.7600000000000002</v>
      </c>
      <c r="R9" s="2">
        <f t="shared" si="5"/>
        <v>3.5999999999999996</v>
      </c>
      <c r="S9">
        <f t="shared" si="6"/>
        <v>100</v>
      </c>
      <c r="T9" s="2">
        <f t="shared" si="7"/>
        <v>3.5999999999999996</v>
      </c>
    </row>
    <row r="10" spans="1:21" x14ac:dyDescent="0.2">
      <c r="A10">
        <v>3</v>
      </c>
      <c r="B10">
        <f>A10*B$18</f>
        <v>90</v>
      </c>
      <c r="C10" s="4" t="s">
        <v>52</v>
      </c>
      <c r="D10" s="1" t="s">
        <v>52</v>
      </c>
      <c r="E10" s="2">
        <v>0.1</v>
      </c>
      <c r="F10" s="2">
        <v>0.1</v>
      </c>
      <c r="G10" s="2">
        <v>8.5000000000000006E-2</v>
      </c>
      <c r="H10" s="2">
        <v>7.3999999999999996E-2</v>
      </c>
      <c r="I10" s="2">
        <v>7.3999999999999996E-2</v>
      </c>
      <c r="J10" s="2">
        <v>7.0000000000000007E-2</v>
      </c>
      <c r="K10" s="2" t="b">
        <v>1</v>
      </c>
      <c r="L10">
        <f>IF(AND(E10&lt;1, K10),ROUND(B10 + 1 + (B10*0.03),0),B10)</f>
        <v>94</v>
      </c>
      <c r="M10" s="2">
        <f t="shared" si="0"/>
        <v>9.4</v>
      </c>
      <c r="N10" s="2">
        <f t="shared" si="2"/>
        <v>9.4</v>
      </c>
      <c r="O10" s="2">
        <f t="shared" si="1"/>
        <v>7.99</v>
      </c>
      <c r="P10" s="2">
        <f t="shared" si="3"/>
        <v>6.9559999999999995</v>
      </c>
      <c r="Q10" s="2">
        <f t="shared" si="4"/>
        <v>6.9559999999999995</v>
      </c>
      <c r="R10" s="2">
        <f t="shared" si="5"/>
        <v>7.0000000000000009</v>
      </c>
      <c r="S10">
        <f t="shared" si="6"/>
        <v>94</v>
      </c>
      <c r="T10" s="2">
        <f t="shared" si="7"/>
        <v>6.9559999999999995</v>
      </c>
    </row>
    <row r="11" spans="1:21" x14ac:dyDescent="0.2">
      <c r="A11">
        <v>3</v>
      </c>
      <c r="B11">
        <f>A11*B$18</f>
        <v>90</v>
      </c>
      <c r="C11" s="4" t="s">
        <v>106</v>
      </c>
      <c r="D11" s="1" t="s">
        <v>106</v>
      </c>
      <c r="E11" s="2">
        <v>0.6</v>
      </c>
      <c r="F11" s="2">
        <v>0.6</v>
      </c>
      <c r="G11" s="2">
        <v>0.42499999999999999</v>
      </c>
      <c r="H11" s="2">
        <v>0.36199999999999999</v>
      </c>
      <c r="I11" s="2">
        <v>0.36199999999999999</v>
      </c>
      <c r="J11" s="2">
        <v>0.32100000000000001</v>
      </c>
      <c r="K11" s="2" t="b">
        <v>1</v>
      </c>
      <c r="L11">
        <f>IF(AND(E11&lt;1, K11),ROUND(B11 + 1 + (B11*0.03),0),B11)</f>
        <v>94</v>
      </c>
      <c r="M11" s="2">
        <f t="shared" si="0"/>
        <v>56.4</v>
      </c>
      <c r="N11" s="2">
        <f t="shared" si="2"/>
        <v>56.4</v>
      </c>
      <c r="O11" s="2">
        <f t="shared" si="1"/>
        <v>39.949999999999996</v>
      </c>
      <c r="P11" s="2">
        <f t="shared" si="3"/>
        <v>34.027999999999999</v>
      </c>
      <c r="Q11" s="2">
        <f t="shared" si="4"/>
        <v>34.027999999999999</v>
      </c>
      <c r="R11" s="2">
        <f t="shared" si="5"/>
        <v>32.1</v>
      </c>
      <c r="S11">
        <f t="shared" si="6"/>
        <v>100</v>
      </c>
      <c r="T11" s="2">
        <f t="shared" si="7"/>
        <v>32.1</v>
      </c>
    </row>
    <row r="12" spans="1:21" x14ac:dyDescent="0.2">
      <c r="A12">
        <v>3</v>
      </c>
      <c r="B12">
        <f>A12*B$18</f>
        <v>90</v>
      </c>
      <c r="C12" s="4" t="s">
        <v>66</v>
      </c>
      <c r="D12" s="1" t="s">
        <v>66</v>
      </c>
      <c r="E12" s="2">
        <v>0.13</v>
      </c>
      <c r="F12" s="2">
        <v>0.13</v>
      </c>
      <c r="G12" s="2">
        <v>8.6999999999999994E-2</v>
      </c>
      <c r="H12" s="2">
        <v>8.6999999999999994E-2</v>
      </c>
      <c r="I12" s="2">
        <v>8.6999999999999994E-2</v>
      </c>
      <c r="J12" s="2">
        <v>5.8000000000000003E-2</v>
      </c>
      <c r="K12" s="2" t="b">
        <v>1</v>
      </c>
      <c r="L12">
        <f>IF(AND(E12&lt;1, K12),ROUND(B12 + 1 + (B12*0.03),0),B12)</f>
        <v>94</v>
      </c>
      <c r="M12" s="2">
        <f t="shared" si="0"/>
        <v>12.22</v>
      </c>
      <c r="N12" s="2">
        <f t="shared" si="2"/>
        <v>12.22</v>
      </c>
      <c r="O12" s="2">
        <f t="shared" si="1"/>
        <v>8.177999999999999</v>
      </c>
      <c r="P12" s="2">
        <f t="shared" si="3"/>
        <v>8.177999999999999</v>
      </c>
      <c r="Q12" s="2">
        <f t="shared" si="4"/>
        <v>8.177999999999999</v>
      </c>
      <c r="R12" s="2">
        <f t="shared" si="5"/>
        <v>5.8000000000000007</v>
      </c>
      <c r="S12">
        <f t="shared" si="6"/>
        <v>100</v>
      </c>
      <c r="T12" s="2">
        <f t="shared" si="7"/>
        <v>5.8000000000000007</v>
      </c>
    </row>
    <row r="13" spans="1:21" x14ac:dyDescent="0.2">
      <c r="A13">
        <v>3</v>
      </c>
      <c r="B13">
        <f>A13*B$18</f>
        <v>90</v>
      </c>
      <c r="C13" s="4" t="s">
        <v>90</v>
      </c>
      <c r="D13" s="1" t="s">
        <v>90</v>
      </c>
      <c r="E13" s="2">
        <v>0.52</v>
      </c>
      <c r="F13" s="2">
        <v>0.52</v>
      </c>
      <c r="G13" s="2">
        <v>0.504</v>
      </c>
      <c r="H13" s="2">
        <v>0.504</v>
      </c>
      <c r="I13" s="2">
        <v>0.504</v>
      </c>
      <c r="J13" s="2">
        <v>0.46</v>
      </c>
      <c r="K13" s="2" t="b">
        <v>1</v>
      </c>
      <c r="L13">
        <f>IF(AND(E13&lt;1, K13),ROUND(B13 + 1 + (B13*0.03),0),B13)</f>
        <v>94</v>
      </c>
      <c r="M13" s="2">
        <f t="shared" si="0"/>
        <v>48.88</v>
      </c>
      <c r="N13" s="2">
        <f t="shared" si="2"/>
        <v>48.88</v>
      </c>
      <c r="O13" s="2">
        <f t="shared" si="1"/>
        <v>47.375999999999998</v>
      </c>
      <c r="P13" s="2">
        <f t="shared" si="3"/>
        <v>47.375999999999998</v>
      </c>
      <c r="Q13" s="2">
        <f t="shared" si="4"/>
        <v>47.375999999999998</v>
      </c>
      <c r="R13" s="2">
        <f t="shared" si="5"/>
        <v>46</v>
      </c>
      <c r="S13">
        <f t="shared" si="6"/>
        <v>100</v>
      </c>
      <c r="T13" s="2">
        <f t="shared" si="7"/>
        <v>46</v>
      </c>
    </row>
    <row r="14" spans="1:21" x14ac:dyDescent="0.2">
      <c r="A14">
        <v>3</v>
      </c>
      <c r="B14">
        <f>A14*B$18</f>
        <v>90</v>
      </c>
      <c r="C14" s="4" t="s">
        <v>108</v>
      </c>
      <c r="D14" s="1" t="s">
        <v>108</v>
      </c>
      <c r="E14" s="2">
        <v>0.42</v>
      </c>
      <c r="F14" s="2">
        <v>0.42</v>
      </c>
      <c r="G14" s="2">
        <v>0.34300000000000003</v>
      </c>
      <c r="H14" s="2">
        <v>0.34300000000000003</v>
      </c>
      <c r="I14" s="2">
        <v>0.34300000000000003</v>
      </c>
      <c r="J14" s="2">
        <v>0.317</v>
      </c>
      <c r="K14" s="2" t="b">
        <v>1</v>
      </c>
      <c r="L14">
        <f>IF(AND(E14&lt;1, K14),ROUND(B14 + 1 + (B14*0.03),0),B14)</f>
        <v>94</v>
      </c>
      <c r="M14" s="2">
        <f t="shared" si="0"/>
        <v>39.479999999999997</v>
      </c>
      <c r="N14" s="2">
        <f t="shared" si="2"/>
        <v>39.479999999999997</v>
      </c>
      <c r="O14" s="2">
        <f t="shared" si="1"/>
        <v>32.242000000000004</v>
      </c>
      <c r="P14" s="2">
        <f t="shared" si="3"/>
        <v>32.242000000000004</v>
      </c>
      <c r="Q14" s="2">
        <f t="shared" si="4"/>
        <v>32.242000000000004</v>
      </c>
      <c r="R14" s="2">
        <f t="shared" si="5"/>
        <v>31.7</v>
      </c>
      <c r="S14">
        <f t="shared" si="6"/>
        <v>100</v>
      </c>
      <c r="T14" s="2">
        <f t="shared" si="7"/>
        <v>31.7</v>
      </c>
    </row>
    <row r="15" spans="1:21" x14ac:dyDescent="0.2">
      <c r="A15">
        <v>3</v>
      </c>
      <c r="B15">
        <f>A15*B$18</f>
        <v>90</v>
      </c>
      <c r="C15" s="4" t="s">
        <v>81</v>
      </c>
      <c r="D15" s="1" t="s">
        <v>81</v>
      </c>
      <c r="E15" s="2">
        <v>1.0900000000000001</v>
      </c>
      <c r="F15" s="2">
        <v>0.9</v>
      </c>
      <c r="G15" s="2">
        <v>0.83</v>
      </c>
      <c r="H15" s="2">
        <v>0.83</v>
      </c>
      <c r="I15" s="2">
        <v>0.68899999999999995</v>
      </c>
      <c r="J15" s="2">
        <v>0.63600000000000001</v>
      </c>
      <c r="K15" s="2" t="b">
        <v>1</v>
      </c>
      <c r="L15">
        <f>IF(AND(E15&lt;1, K15),ROUND(B15 + 1 + (B15*0.03),0),B15)</f>
        <v>90</v>
      </c>
      <c r="M15" s="2">
        <f t="shared" si="0"/>
        <v>98.100000000000009</v>
      </c>
      <c r="N15" s="2">
        <f t="shared" si="2"/>
        <v>81</v>
      </c>
      <c r="O15" s="2">
        <f t="shared" si="1"/>
        <v>74.7</v>
      </c>
      <c r="P15" s="2">
        <f t="shared" si="3"/>
        <v>74.7</v>
      </c>
      <c r="Q15" s="2">
        <f t="shared" si="4"/>
        <v>62.01</v>
      </c>
      <c r="R15" s="2">
        <f t="shared" si="5"/>
        <v>63.6</v>
      </c>
      <c r="S15">
        <f t="shared" si="6"/>
        <v>90</v>
      </c>
      <c r="T15" s="2">
        <f t="shared" si="7"/>
        <v>62.01</v>
      </c>
    </row>
    <row r="16" spans="1:21" x14ac:dyDescent="0.2">
      <c r="A16">
        <v>1</v>
      </c>
      <c r="B16">
        <f>A16*B18</f>
        <v>30</v>
      </c>
      <c r="C16" s="4" t="s">
        <v>125</v>
      </c>
      <c r="D16" s="4" t="s">
        <v>125</v>
      </c>
      <c r="E16" s="2">
        <v>3.2040000000000002</v>
      </c>
      <c r="F16" s="2">
        <v>3.2040000000000002</v>
      </c>
      <c r="G16" s="2">
        <v>1.7509999999999999</v>
      </c>
      <c r="H16" s="2">
        <v>1.4756</v>
      </c>
      <c r="I16" s="2">
        <v>1.0775999999999999</v>
      </c>
      <c r="J16" s="2">
        <v>0.83399999999999996</v>
      </c>
      <c r="K16" s="2" t="b">
        <v>0</v>
      </c>
      <c r="L16">
        <f>IF(AND(E16&lt;1, K16),ROUND(B16 + 1 + (B16*0.03),0),B16)</f>
        <v>30</v>
      </c>
      <c r="M16" s="2">
        <f t="shared" si="0"/>
        <v>96.12</v>
      </c>
      <c r="N16" s="2">
        <f t="shared" si="2"/>
        <v>96.12</v>
      </c>
      <c r="O16" s="2">
        <f t="shared" si="1"/>
        <v>52.529999999999994</v>
      </c>
      <c r="P16" s="2">
        <f t="shared" si="3"/>
        <v>44.268000000000001</v>
      </c>
      <c r="Q16" s="2">
        <f t="shared" si="4"/>
        <v>53.879999999999995</v>
      </c>
      <c r="R16" s="2">
        <f t="shared" si="5"/>
        <v>83.399999999999991</v>
      </c>
      <c r="S16">
        <f t="shared" si="6"/>
        <v>30</v>
      </c>
      <c r="T16" s="2">
        <f t="shared" si="7"/>
        <v>44.268000000000001</v>
      </c>
    </row>
    <row r="17" spans="1:20" x14ac:dyDescent="0.2">
      <c r="C17" s="1"/>
      <c r="D17" s="1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T17" s="2"/>
    </row>
    <row r="18" spans="1:20" x14ac:dyDescent="0.2">
      <c r="A18" t="s">
        <v>74</v>
      </c>
      <c r="B18">
        <v>30</v>
      </c>
      <c r="S18" t="s">
        <v>78</v>
      </c>
      <c r="T18" s="2">
        <f>SUM(T3:T16)</f>
        <v>452.93399999999997</v>
      </c>
    </row>
    <row r="19" spans="1:20" x14ac:dyDescent="0.2">
      <c r="B19" s="2"/>
      <c r="S19" t="s">
        <v>77</v>
      </c>
      <c r="T19" s="2">
        <v>7.99</v>
      </c>
    </row>
    <row r="20" spans="1:20" x14ac:dyDescent="0.2">
      <c r="B20" s="2"/>
      <c r="S20" t="s">
        <v>75</v>
      </c>
      <c r="T20" s="2">
        <f>SUM(T18:T19)</f>
        <v>460.92399999999998</v>
      </c>
    </row>
    <row r="21" spans="1:20" x14ac:dyDescent="0.2">
      <c r="B21" t="s">
        <v>75</v>
      </c>
      <c r="C21" t="s">
        <v>76</v>
      </c>
      <c r="S21" t="s">
        <v>76</v>
      </c>
      <c r="T21" s="2">
        <f>T20 / B18</f>
        <v>15.364133333333333</v>
      </c>
    </row>
    <row r="22" spans="1:20" x14ac:dyDescent="0.2">
      <c r="A22">
        <v>1</v>
      </c>
      <c r="B22" s="2">
        <v>31.54</v>
      </c>
      <c r="C22" s="2">
        <f>B22/A22</f>
        <v>31.54</v>
      </c>
    </row>
    <row r="23" spans="1:20" x14ac:dyDescent="0.2">
      <c r="A23">
        <v>2</v>
      </c>
      <c r="B23" s="2">
        <v>50.97</v>
      </c>
      <c r="C23" s="2">
        <f t="shared" ref="C23:C51" si="8">B23/A23</f>
        <v>25.484999999999999</v>
      </c>
    </row>
    <row r="24" spans="1:20" x14ac:dyDescent="0.2">
      <c r="A24">
        <v>3</v>
      </c>
      <c r="B24" s="2">
        <v>67.78</v>
      </c>
      <c r="C24" s="2">
        <f t="shared" si="8"/>
        <v>22.593333333333334</v>
      </c>
    </row>
    <row r="25" spans="1:20" x14ac:dyDescent="0.2">
      <c r="A25">
        <v>4</v>
      </c>
      <c r="B25" s="2">
        <v>86.29</v>
      </c>
      <c r="C25" s="2">
        <f t="shared" si="8"/>
        <v>21.572500000000002</v>
      </c>
    </row>
    <row r="26" spans="1:20" x14ac:dyDescent="0.2">
      <c r="A26">
        <v>5</v>
      </c>
      <c r="B26" s="2">
        <v>105.42</v>
      </c>
      <c r="C26" s="2">
        <f t="shared" si="8"/>
        <v>21.084</v>
      </c>
    </row>
    <row r="27" spans="1:20" x14ac:dyDescent="0.2">
      <c r="A27">
        <v>6</v>
      </c>
      <c r="B27" s="2">
        <v>124.6</v>
      </c>
      <c r="C27" s="2">
        <f t="shared" si="8"/>
        <v>20.766666666666666</v>
      </c>
    </row>
    <row r="28" spans="1:20" x14ac:dyDescent="0.2">
      <c r="A28">
        <v>7</v>
      </c>
      <c r="B28" s="2">
        <v>139.69999999999999</v>
      </c>
      <c r="C28" s="2">
        <f t="shared" si="8"/>
        <v>19.957142857142856</v>
      </c>
    </row>
    <row r="29" spans="1:20" x14ac:dyDescent="0.2">
      <c r="A29">
        <v>8</v>
      </c>
      <c r="B29" s="2">
        <v>154.54</v>
      </c>
      <c r="C29" s="2">
        <f t="shared" si="8"/>
        <v>19.317499999999999</v>
      </c>
    </row>
    <row r="30" spans="1:20" x14ac:dyDescent="0.2">
      <c r="A30">
        <v>9</v>
      </c>
      <c r="B30" s="2">
        <v>170.24</v>
      </c>
      <c r="C30" s="2">
        <f t="shared" si="8"/>
        <v>18.915555555555557</v>
      </c>
    </row>
    <row r="31" spans="1:20" x14ac:dyDescent="0.2">
      <c r="A31">
        <v>10</v>
      </c>
      <c r="B31" s="2">
        <v>185.95</v>
      </c>
      <c r="C31" s="2">
        <f t="shared" si="8"/>
        <v>18.594999999999999</v>
      </c>
    </row>
    <row r="32" spans="1:20" x14ac:dyDescent="0.2">
      <c r="A32">
        <v>11</v>
      </c>
      <c r="B32" s="2"/>
      <c r="C32" s="2"/>
    </row>
    <row r="33" spans="1:3" x14ac:dyDescent="0.2">
      <c r="A33">
        <v>12</v>
      </c>
      <c r="B33" s="2"/>
      <c r="C33" s="2"/>
    </row>
    <row r="34" spans="1:3" x14ac:dyDescent="0.2">
      <c r="A34">
        <v>13</v>
      </c>
      <c r="C34" s="2"/>
    </row>
    <row r="35" spans="1:3" x14ac:dyDescent="0.2">
      <c r="A35">
        <v>14</v>
      </c>
      <c r="C35" s="2"/>
    </row>
    <row r="36" spans="1:3" x14ac:dyDescent="0.2">
      <c r="A36">
        <v>15</v>
      </c>
      <c r="C36" s="2"/>
    </row>
    <row r="37" spans="1:3" x14ac:dyDescent="0.2">
      <c r="A37">
        <v>16</v>
      </c>
      <c r="C37" s="2"/>
    </row>
    <row r="38" spans="1:3" x14ac:dyDescent="0.2">
      <c r="A38">
        <v>17</v>
      </c>
      <c r="C38" s="2"/>
    </row>
    <row r="39" spans="1:3" x14ac:dyDescent="0.2">
      <c r="A39">
        <v>18</v>
      </c>
      <c r="C39" s="2"/>
    </row>
    <row r="40" spans="1:3" x14ac:dyDescent="0.2">
      <c r="A40">
        <v>19</v>
      </c>
      <c r="C40" s="2"/>
    </row>
    <row r="41" spans="1:3" x14ac:dyDescent="0.2">
      <c r="A41">
        <v>20</v>
      </c>
      <c r="B41" s="2">
        <v>321.14999999999998</v>
      </c>
      <c r="C41" s="2">
        <f t="shared" si="8"/>
        <v>16.057499999999997</v>
      </c>
    </row>
    <row r="42" spans="1:3" x14ac:dyDescent="0.2">
      <c r="A42">
        <v>21</v>
      </c>
      <c r="C42" s="2"/>
    </row>
    <row r="43" spans="1:3" x14ac:dyDescent="0.2">
      <c r="A43">
        <v>22</v>
      </c>
      <c r="C43" s="2"/>
    </row>
    <row r="44" spans="1:3" x14ac:dyDescent="0.2">
      <c r="A44">
        <v>23</v>
      </c>
      <c r="C44" s="2"/>
    </row>
    <row r="45" spans="1:3" x14ac:dyDescent="0.2">
      <c r="A45">
        <v>24</v>
      </c>
      <c r="C45" s="2"/>
    </row>
    <row r="46" spans="1:3" x14ac:dyDescent="0.2">
      <c r="A46">
        <v>25</v>
      </c>
      <c r="C46" s="2"/>
    </row>
    <row r="47" spans="1:3" x14ac:dyDescent="0.2">
      <c r="A47">
        <v>26</v>
      </c>
      <c r="C47" s="2"/>
    </row>
    <row r="48" spans="1:3" x14ac:dyDescent="0.2">
      <c r="A48">
        <v>27</v>
      </c>
      <c r="C48" s="2"/>
    </row>
    <row r="49" spans="1:3" x14ac:dyDescent="0.2">
      <c r="A49">
        <v>28</v>
      </c>
      <c r="C49" s="2"/>
    </row>
    <row r="50" spans="1:3" x14ac:dyDescent="0.2">
      <c r="A50">
        <v>29</v>
      </c>
      <c r="C50" s="2"/>
    </row>
    <row r="51" spans="1:3" x14ac:dyDescent="0.2">
      <c r="A51">
        <v>30</v>
      </c>
      <c r="B51" s="2">
        <v>460.92</v>
      </c>
      <c r="C51" s="2">
        <f t="shared" si="8"/>
        <v>15.364000000000001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C09E-58A2-E749-A748-3285EAAF44B1}">
  <dimension ref="A1:N14"/>
  <sheetViews>
    <sheetView workbookViewId="0">
      <selection activeCell="B13" sqref="B13"/>
    </sheetView>
  </sheetViews>
  <sheetFormatPr baseColWidth="10" defaultRowHeight="16" x14ac:dyDescent="0.2"/>
  <cols>
    <col min="1" max="1" width="4" bestFit="1" customWidth="1"/>
    <col min="2" max="3" width="15.1640625" bestFit="1" customWidth="1"/>
    <col min="4" max="4" width="24.6640625" bestFit="1" customWidth="1"/>
    <col min="5" max="5" width="16.5" bestFit="1" customWidth="1"/>
    <col min="6" max="7" width="80.6640625" bestFit="1" customWidth="1"/>
    <col min="8" max="8" width="31.33203125" bestFit="1" customWidth="1"/>
    <col min="9" max="9" width="29.6640625" bestFit="1" customWidth="1"/>
    <col min="10" max="10" width="36.1640625" bestFit="1" customWidth="1"/>
    <col min="11" max="11" width="34.83203125" bestFit="1" customWidth="1"/>
    <col min="12" max="12" width="80.6640625" bestFit="1" customWidth="1"/>
    <col min="13" max="13" width="34" bestFit="1" customWidth="1"/>
    <col min="14" max="14" width="26.33203125" bestFit="1" customWidth="1"/>
  </cols>
  <sheetData>
    <row r="1" spans="1:14" x14ac:dyDescent="0.2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22</v>
      </c>
      <c r="N1" s="1" t="s">
        <v>23</v>
      </c>
    </row>
    <row r="2" spans="1:14" x14ac:dyDescent="0.2">
      <c r="A2" s="1" t="s">
        <v>80</v>
      </c>
      <c r="B2" s="3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M2" s="1" t="s">
        <v>30</v>
      </c>
      <c r="N2" s="1" t="s">
        <v>31</v>
      </c>
    </row>
    <row r="3" spans="1:14" x14ac:dyDescent="0.2">
      <c r="A3" s="1" t="s">
        <v>80</v>
      </c>
      <c r="B3" s="3" t="s">
        <v>32</v>
      </c>
      <c r="C3" s="1" t="s">
        <v>26</v>
      </c>
      <c r="D3" s="1" t="s">
        <v>27</v>
      </c>
      <c r="E3" s="1" t="s">
        <v>33</v>
      </c>
      <c r="F3" s="1" t="s">
        <v>29</v>
      </c>
      <c r="M3" s="1" t="s">
        <v>30</v>
      </c>
      <c r="N3" s="1" t="s">
        <v>31</v>
      </c>
    </row>
    <row r="4" spans="1:14" x14ac:dyDescent="0.2">
      <c r="A4" s="1" t="s">
        <v>80</v>
      </c>
      <c r="B4" s="3" t="s">
        <v>81</v>
      </c>
      <c r="D4" s="1" t="s">
        <v>82</v>
      </c>
      <c r="E4" s="1" t="s">
        <v>83</v>
      </c>
      <c r="F4" s="1" t="s">
        <v>84</v>
      </c>
      <c r="G4" s="1" t="s">
        <v>84</v>
      </c>
      <c r="H4" s="1" t="s">
        <v>85</v>
      </c>
      <c r="I4" s="1" t="s">
        <v>24</v>
      </c>
      <c r="J4" s="1" t="s">
        <v>86</v>
      </c>
      <c r="K4" s="1" t="s">
        <v>87</v>
      </c>
      <c r="L4" s="1" t="s">
        <v>88</v>
      </c>
    </row>
    <row r="5" spans="1:14" x14ac:dyDescent="0.2">
      <c r="A5" s="1" t="s">
        <v>89</v>
      </c>
      <c r="B5" s="3" t="s">
        <v>34</v>
      </c>
      <c r="C5" s="1" t="s">
        <v>34</v>
      </c>
      <c r="D5" s="1" t="s">
        <v>34</v>
      </c>
      <c r="E5" s="1" t="s">
        <v>10</v>
      </c>
      <c r="F5" s="1" t="s">
        <v>35</v>
      </c>
      <c r="G5" s="1" t="s">
        <v>35</v>
      </c>
      <c r="H5" s="1" t="s">
        <v>11</v>
      </c>
      <c r="I5" s="1" t="s">
        <v>12</v>
      </c>
      <c r="J5" s="1" t="s">
        <v>34</v>
      </c>
      <c r="K5" s="1" t="s">
        <v>36</v>
      </c>
      <c r="L5" s="1" t="s">
        <v>37</v>
      </c>
    </row>
    <row r="6" spans="1:14" x14ac:dyDescent="0.2">
      <c r="A6" s="1" t="s">
        <v>89</v>
      </c>
      <c r="B6" s="3" t="s">
        <v>38</v>
      </c>
      <c r="C6" s="1" t="s">
        <v>38</v>
      </c>
      <c r="D6" s="1" t="s">
        <v>38</v>
      </c>
      <c r="E6" s="1" t="s">
        <v>13</v>
      </c>
      <c r="F6" s="1" t="s">
        <v>39</v>
      </c>
      <c r="G6" s="1" t="s">
        <v>39</v>
      </c>
      <c r="H6" s="1" t="s">
        <v>11</v>
      </c>
      <c r="I6" s="1" t="s">
        <v>12</v>
      </c>
      <c r="J6" s="1" t="s">
        <v>38</v>
      </c>
      <c r="K6" s="1" t="s">
        <v>40</v>
      </c>
      <c r="L6" s="1" t="s">
        <v>41</v>
      </c>
    </row>
    <row r="7" spans="1:14" x14ac:dyDescent="0.2">
      <c r="A7" s="1" t="s">
        <v>80</v>
      </c>
      <c r="B7" s="3" t="s">
        <v>90</v>
      </c>
      <c r="C7" s="1" t="s">
        <v>90</v>
      </c>
      <c r="D7" s="1" t="s">
        <v>91</v>
      </c>
      <c r="E7" s="1" t="s">
        <v>92</v>
      </c>
      <c r="F7" s="1" t="s">
        <v>93</v>
      </c>
      <c r="G7" s="1" t="s">
        <v>93</v>
      </c>
      <c r="H7" s="1" t="s">
        <v>94</v>
      </c>
      <c r="I7" s="1" t="s">
        <v>95</v>
      </c>
      <c r="J7" s="1" t="s">
        <v>90</v>
      </c>
      <c r="K7" s="1" t="s">
        <v>96</v>
      </c>
      <c r="L7" s="1" t="s">
        <v>97</v>
      </c>
    </row>
    <row r="8" spans="1:14" x14ac:dyDescent="0.2">
      <c r="A8" s="1" t="s">
        <v>80</v>
      </c>
      <c r="B8" s="3" t="s">
        <v>42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45</v>
      </c>
      <c r="H8" s="1" t="s">
        <v>46</v>
      </c>
      <c r="I8" s="1" t="s">
        <v>47</v>
      </c>
      <c r="J8" s="1" t="s">
        <v>42</v>
      </c>
      <c r="K8" s="1" t="s">
        <v>48</v>
      </c>
      <c r="L8" s="1" t="s">
        <v>49</v>
      </c>
    </row>
    <row r="9" spans="1:14" x14ac:dyDescent="0.2">
      <c r="A9" s="1" t="s">
        <v>80</v>
      </c>
      <c r="B9" s="3" t="s">
        <v>50</v>
      </c>
      <c r="C9" s="1" t="s">
        <v>26</v>
      </c>
      <c r="D9" s="1" t="s">
        <v>27</v>
      </c>
      <c r="E9" s="1" t="s">
        <v>51</v>
      </c>
      <c r="F9" s="1" t="s">
        <v>29</v>
      </c>
      <c r="M9" s="1" t="s">
        <v>30</v>
      </c>
      <c r="N9" s="1" t="s">
        <v>31</v>
      </c>
    </row>
    <row r="10" spans="1:14" x14ac:dyDescent="0.2">
      <c r="A10" s="1" t="s">
        <v>80</v>
      </c>
      <c r="B10" s="3" t="s">
        <v>98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101</v>
      </c>
      <c r="H10" s="1" t="s">
        <v>102</v>
      </c>
      <c r="I10" s="1" t="s">
        <v>103</v>
      </c>
      <c r="J10" s="1" t="s">
        <v>98</v>
      </c>
      <c r="K10" s="1" t="s">
        <v>104</v>
      </c>
      <c r="L10" s="1" t="s">
        <v>105</v>
      </c>
    </row>
    <row r="11" spans="1:14" x14ac:dyDescent="0.2">
      <c r="A11" s="1" t="s">
        <v>80</v>
      </c>
      <c r="B11" s="3" t="s">
        <v>52</v>
      </c>
      <c r="C11" s="1" t="s">
        <v>52</v>
      </c>
      <c r="D11" s="1" t="s">
        <v>53</v>
      </c>
      <c r="E11" s="1" t="s">
        <v>54</v>
      </c>
      <c r="F11" s="1" t="s">
        <v>55</v>
      </c>
    </row>
    <row r="12" spans="1:14" x14ac:dyDescent="0.2">
      <c r="A12" s="1" t="s">
        <v>80</v>
      </c>
      <c r="B12" s="3" t="s">
        <v>106</v>
      </c>
      <c r="C12" s="1" t="s">
        <v>106</v>
      </c>
      <c r="D12" s="1" t="s">
        <v>107</v>
      </c>
      <c r="E12" s="1" t="s">
        <v>56</v>
      </c>
      <c r="F12" s="1" t="s">
        <v>57</v>
      </c>
      <c r="G12" s="1" t="s">
        <v>58</v>
      </c>
      <c r="H12" s="1" t="s">
        <v>59</v>
      </c>
      <c r="I12" s="1" t="s">
        <v>60</v>
      </c>
      <c r="J12" s="1" t="s">
        <v>61</v>
      </c>
      <c r="K12" s="1" t="s">
        <v>62</v>
      </c>
      <c r="L12" s="1" t="s">
        <v>63</v>
      </c>
      <c r="M12" s="1" t="s">
        <v>64</v>
      </c>
      <c r="N12" s="1" t="s">
        <v>65</v>
      </c>
    </row>
    <row r="13" spans="1:14" x14ac:dyDescent="0.2">
      <c r="A13" s="1" t="s">
        <v>89</v>
      </c>
      <c r="B13" s="1" t="s">
        <v>108</v>
      </c>
      <c r="D13" s="1" t="s">
        <v>109</v>
      </c>
      <c r="E13" s="1" t="s">
        <v>110</v>
      </c>
      <c r="F13" s="1" t="s">
        <v>111</v>
      </c>
      <c r="G13" s="1" t="s">
        <v>111</v>
      </c>
      <c r="H13" s="1" t="s">
        <v>69</v>
      </c>
      <c r="I13" s="1" t="s">
        <v>112</v>
      </c>
      <c r="J13" s="1" t="s">
        <v>108</v>
      </c>
      <c r="K13" s="1" t="s">
        <v>113</v>
      </c>
      <c r="L13" s="1" t="s">
        <v>114</v>
      </c>
    </row>
    <row r="14" spans="1:14" x14ac:dyDescent="0.2">
      <c r="A14" s="1" t="s">
        <v>80</v>
      </c>
      <c r="B14" s="1" t="s">
        <v>66</v>
      </c>
      <c r="C14" s="1" t="s">
        <v>66</v>
      </c>
      <c r="D14" s="1" t="s">
        <v>67</v>
      </c>
      <c r="E14" s="1" t="s">
        <v>115</v>
      </c>
      <c r="F14" s="1" t="s">
        <v>68</v>
      </c>
      <c r="G14" s="1" t="s">
        <v>68</v>
      </c>
      <c r="H14" s="1" t="s">
        <v>69</v>
      </c>
      <c r="I14" s="1" t="s">
        <v>70</v>
      </c>
      <c r="J14" s="1" t="s">
        <v>66</v>
      </c>
      <c r="K14" s="1" t="s">
        <v>71</v>
      </c>
      <c r="L14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Sheet3</vt:lpstr>
      <vt:lpstr>Sheet1</vt:lpstr>
      <vt:lpstr>Sheet3!Becca_Sap_Flow_Power_Board_MOD</vt:lpstr>
      <vt:lpstr>Sheet1!Becca_Sap_Flow_Power_Board_v1_2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Hardin</dc:creator>
  <cp:lastModifiedBy>Kevin Hardin</cp:lastModifiedBy>
  <dcterms:created xsi:type="dcterms:W3CDTF">2025-05-18T20:46:28Z</dcterms:created>
  <dcterms:modified xsi:type="dcterms:W3CDTF">2025-08-09T19:34:53Z</dcterms:modified>
</cp:coreProperties>
</file>