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c6e3652e668e7/Work/Projects/dogen/Finances/"/>
    </mc:Choice>
  </mc:AlternateContent>
  <xr:revisionPtr revIDLastSave="1948" documentId="8_{6C3C763F-D9E1-4E6D-8C86-4D28C6C6C4A6}" xr6:coauthVersionLast="45" xr6:coauthVersionMax="45" xr10:uidLastSave="{3C18B96D-9568-4EB0-AEA3-9E99F89FA676}"/>
  <bookViews>
    <workbookView xWindow="-120" yWindow="-120" windowWidth="29040" windowHeight="15840" activeTab="2" xr2:uid="{7EC05EA9-5315-43E9-8396-FB9501FE745C}"/>
  </bookViews>
  <sheets>
    <sheet name="Comprehensive" sheetId="3" r:id="rId1"/>
    <sheet name="Overhead" sheetId="2" r:id="rId2"/>
    <sheet name="Net_And_Analysis" sheetId="18" r:id="rId3"/>
    <sheet name="Gross" sheetId="16" r:id="rId4"/>
    <sheet name="Operating_Costs" sheetId="4" r:id="rId5"/>
    <sheet name="food" sheetId="15" r:id="rId6"/>
    <sheet name="employees" sheetId="10" r:id="rId7"/>
    <sheet name="Gaming" sheetId="7" r:id="rId8"/>
    <sheet name="Dance_Studio" sheetId="8" r:id="rId9"/>
    <sheet name="Kitchen" sheetId="9" r:id="rId10"/>
    <sheet name="Liabilities" sheetId="12" r:id="rId11"/>
    <sheet name="Eating Area" sheetId="13" r:id="rId12"/>
    <sheet name="decor" sheetId="11" r:id="rId13"/>
    <sheet name="Initial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0" l="1"/>
  <c r="B8" i="10"/>
  <c r="B4" i="3" l="1"/>
  <c r="B34" i="3" s="1"/>
  <c r="H5" i="18"/>
  <c r="H13" i="4"/>
  <c r="F12" i="4"/>
  <c r="D16" i="4"/>
  <c r="G16" i="9"/>
  <c r="F5" i="4" l="1"/>
  <c r="F13" i="4" s="1"/>
  <c r="B6" i="3"/>
  <c r="B28" i="3"/>
  <c r="B31" i="3" s="1"/>
  <c r="G3" i="9"/>
  <c r="D8" i="7"/>
  <c r="M5" i="18"/>
  <c r="B16" i="18" s="1"/>
  <c r="N42" i="16"/>
  <c r="N43" i="16" s="1"/>
  <c r="C12" i="4"/>
  <c r="C9" i="9"/>
  <c r="G7" i="9"/>
  <c r="G8" i="9"/>
  <c r="B11" i="3" l="1"/>
  <c r="B35" i="3" s="1"/>
  <c r="B12" i="4"/>
  <c r="D12" i="4"/>
  <c r="E12" i="4" s="1"/>
  <c r="B12" i="18" l="1"/>
  <c r="I5" i="18"/>
  <c r="B7" i="3" s="1"/>
  <c r="J5" i="18"/>
  <c r="B8" i="3" s="1"/>
  <c r="K5" i="18"/>
  <c r="B9" i="3" s="1"/>
  <c r="L5" i="18"/>
  <c r="B10" i="3" s="1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B17" i="18" l="1"/>
  <c r="C17" i="18" s="1"/>
  <c r="B18" i="18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B24" i="18" s="1"/>
  <c r="B26" i="18" s="1"/>
  <c r="D5" i="13"/>
  <c r="D3" i="13" s="1"/>
  <c r="B3" i="13" s="1"/>
  <c r="F3" i="13" s="1"/>
  <c r="D6" i="13"/>
  <c r="D4" i="13"/>
  <c r="C17" i="2"/>
  <c r="D17" i="2"/>
  <c r="E17" i="2"/>
  <c r="F17" i="2"/>
  <c r="G17" i="2"/>
  <c r="B17" i="2"/>
  <c r="C11" i="4"/>
  <c r="B11" i="4" s="1"/>
  <c r="C4" i="4"/>
  <c r="B6" i="4"/>
  <c r="C6" i="4" s="1"/>
  <c r="B7" i="4"/>
  <c r="C7" i="4" s="1"/>
  <c r="F7" i="4" s="1"/>
  <c r="B8" i="4"/>
  <c r="C8" i="4" s="1"/>
  <c r="B10" i="4"/>
  <c r="F10" i="4"/>
  <c r="D10" i="4"/>
  <c r="E10" i="4" s="1"/>
  <c r="B8" i="15"/>
  <c r="B17" i="15"/>
  <c r="B19" i="15" s="1"/>
  <c r="C2" i="15" s="1"/>
  <c r="C9" i="4" s="1"/>
  <c r="B9" i="4" s="1"/>
  <c r="B16" i="15"/>
  <c r="D12" i="15"/>
  <c r="E12" i="15"/>
  <c r="F12" i="15"/>
  <c r="C12" i="15"/>
  <c r="B12" i="10"/>
  <c r="B4" i="4" l="1"/>
  <c r="N31" i="16"/>
  <c r="I31" i="16"/>
  <c r="N34" i="16"/>
  <c r="I34" i="16"/>
  <c r="N33" i="16"/>
  <c r="I33" i="16"/>
  <c r="N32" i="16"/>
  <c r="I32" i="16"/>
  <c r="E27" i="16"/>
  <c r="D5" i="4"/>
  <c r="E5" i="4" s="1"/>
  <c r="B13" i="10"/>
  <c r="B11" i="10"/>
  <c r="F6" i="4"/>
  <c r="D6" i="4"/>
  <c r="E6" i="4" s="1"/>
  <c r="F8" i="4"/>
  <c r="D8" i="4"/>
  <c r="E8" i="4" s="1"/>
  <c r="D11" i="4"/>
  <c r="E11" i="4" s="1"/>
  <c r="D7" i="4"/>
  <c r="E7" i="4" s="1"/>
  <c r="M31" i="16"/>
  <c r="K31" i="16"/>
  <c r="M34" i="16"/>
  <c r="K34" i="16"/>
  <c r="M32" i="16"/>
  <c r="K32" i="16"/>
  <c r="M33" i="16"/>
  <c r="K33" i="16"/>
  <c r="D33" i="16"/>
  <c r="G22" i="16"/>
  <c r="G32" i="16"/>
  <c r="G21" i="16"/>
  <c r="F31" i="16"/>
  <c r="G20" i="16"/>
  <c r="E34" i="16"/>
  <c r="G23" i="16"/>
  <c r="L32" i="16"/>
  <c r="C33" i="16"/>
  <c r="J31" i="16"/>
  <c r="F32" i="16"/>
  <c r="G33" i="16"/>
  <c r="E31" i="16"/>
  <c r="D34" i="16"/>
  <c r="E24" i="16"/>
  <c r="E28" i="16" s="1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C3" i="15"/>
  <c r="F3" i="15" s="1"/>
  <c r="F2" i="15"/>
  <c r="F9" i="4" s="1"/>
  <c r="D2" i="15"/>
  <c r="F4" i="13"/>
  <c r="F5" i="13"/>
  <c r="F6" i="13"/>
  <c r="B7" i="12"/>
  <c r="B6" i="2" s="1"/>
  <c r="D2" i="11"/>
  <c r="C2" i="11" s="1"/>
  <c r="J2" i="11" s="1"/>
  <c r="K2" i="11" s="1"/>
  <c r="K7" i="11" s="1"/>
  <c r="B7" i="2" s="1"/>
  <c r="K35" i="16" l="1"/>
  <c r="K41" i="16" s="1"/>
  <c r="K45" i="16" s="1"/>
  <c r="E2" i="15"/>
  <c r="E9" i="4" s="1"/>
  <c r="D9" i="4"/>
  <c r="B15" i="2"/>
  <c r="M35" i="16"/>
  <c r="M41" i="16" s="1"/>
  <c r="M45" i="16" s="1"/>
  <c r="L6" i="18" s="1"/>
  <c r="D3" i="15"/>
  <c r="E3" i="15" s="1"/>
  <c r="I35" i="16"/>
  <c r="I41" i="16" s="1"/>
  <c r="I45" i="16" s="1"/>
  <c r="H6" i="18" s="1"/>
  <c r="C4" i="15"/>
  <c r="N35" i="16"/>
  <c r="N41" i="16" s="1"/>
  <c r="N45" i="16" s="1"/>
  <c r="M6" i="18" s="1"/>
  <c r="D4" i="4"/>
  <c r="C5" i="4"/>
  <c r="C13" i="4" s="1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5" i="9"/>
  <c r="G14" i="9"/>
  <c r="G13" i="9"/>
  <c r="G12" i="9"/>
  <c r="G11" i="9"/>
  <c r="G9" i="9"/>
  <c r="D2" i="9"/>
  <c r="G2" i="9" s="1"/>
  <c r="G10" i="9"/>
  <c r="G5" i="9"/>
  <c r="G6" i="9"/>
  <c r="G4" i="9"/>
  <c r="D7" i="7"/>
  <c r="D4" i="8"/>
  <c r="D3" i="8"/>
  <c r="D8" i="8" s="1"/>
  <c r="B4" i="2" s="1"/>
  <c r="D5" i="7"/>
  <c r="D6" i="7"/>
  <c r="D3" i="7"/>
  <c r="D2" i="7"/>
  <c r="C4" i="7"/>
  <c r="D4" i="7" s="1"/>
  <c r="H10" i="18" l="1"/>
  <c r="G20" i="9"/>
  <c r="D4" i="15"/>
  <c r="E4" i="15" s="1"/>
  <c r="F4" i="15"/>
  <c r="B18" i="2"/>
  <c r="G18" i="2"/>
  <c r="E18" i="2"/>
  <c r="D18" i="2"/>
  <c r="F18" i="2"/>
  <c r="C18" i="2"/>
  <c r="N36" i="16"/>
  <c r="N37" i="16" s="1"/>
  <c r="I36" i="16"/>
  <c r="I37" i="16" s="1"/>
  <c r="B13" i="18" s="1"/>
  <c r="E10" i="18"/>
  <c r="F10" i="18"/>
  <c r="M10" i="18"/>
  <c r="G10" i="18"/>
  <c r="D12" i="7"/>
  <c r="B28" i="18"/>
  <c r="B29" i="18" s="1"/>
  <c r="C10" i="18"/>
  <c r="L10" i="18"/>
  <c r="D10" i="18"/>
  <c r="B10" i="18"/>
  <c r="I10" i="18"/>
  <c r="B5" i="4"/>
  <c r="B13" i="4" s="1"/>
  <c r="D13" i="4"/>
  <c r="E4" i="4"/>
  <c r="E13" i="4" s="1"/>
  <c r="J10" i="18"/>
  <c r="K6" i="18"/>
  <c r="K10" i="18" s="1"/>
  <c r="M36" i="16"/>
  <c r="M37" i="16" s="1"/>
  <c r="K36" i="16"/>
  <c r="K37" i="16" s="1"/>
  <c r="C6" i="15"/>
  <c r="F6" i="15"/>
  <c r="B3" i="2"/>
  <c r="B5" i="2"/>
  <c r="B27" i="1"/>
  <c r="D6" i="15" l="1"/>
  <c r="E6" i="15" s="1"/>
  <c r="C7" i="15"/>
  <c r="B10" i="2"/>
  <c r="B5" i="1"/>
  <c r="B7" i="1" s="1"/>
  <c r="B13" i="1"/>
  <c r="B31" i="1"/>
  <c r="B13" i="2" l="1"/>
  <c r="C19" i="2"/>
  <c r="G19" i="2"/>
  <c r="D19" i="2"/>
  <c r="B19" i="2"/>
  <c r="F19" i="2"/>
  <c r="E19" i="2"/>
  <c r="D7" i="15"/>
  <c r="E7" i="15" s="1"/>
  <c r="F7" i="15"/>
  <c r="B6" i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<sst xmlns="http://schemas.openxmlformats.org/spreadsheetml/2006/main" count="289" uniqueCount="258">
  <si>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</si>
  <si>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</si>
  <si>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</si>
  <si>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</si>
  <si>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</si>
  <si>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</si>
  <si>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</si>
  <si>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</si>
  <si>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</si>
  <si>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</si>
  <si>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</si>
  <si>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</si>
  <si>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</si>
  <si>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</si>
  <si>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</si>
  <si>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</si>
  <si>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</si>
  <si>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</si>
  <si>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</si>
  <si>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</si>
  <si>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</si>
  <si>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</si>
  <si>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</si>
  <si>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</si>
  <si>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</si>
  <si>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</si>
  <si>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</si>
  <si>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</si>
  <si>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</si>
  <si>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</si>
  <si>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</si>
  <si>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</si>
  <si>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</si>
  <si>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</si>
  <si>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</si>
  <si>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</si>
  <si>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</si>
  <si>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</si>
  <si>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</si>
  <si>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</si>
  <si>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</si>
  <si>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</si>
  <si>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</si>
  <si>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</si>
  <si>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</si>
  <si>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</si>
  <si>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</si>
  <si>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</si>
  <si>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</si>
  <si>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</si>
  <si>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</si>
  <si>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Electrical outlets</t>
  </si>
  <si>
    <t>sink installation and plumbing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</si>
  <si>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</si>
  <si>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</si>
  <si>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</si>
  <si>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</si>
  <si>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</si>
  <si>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</si>
  <si>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</si>
  <si>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</si>
  <si>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</si>
  <si>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</si>
  <si>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</si>
  <si>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</si>
  <si>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</si>
  <si>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</si>
  <si>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</si>
  <si>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</si>
  <si>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</si>
  <si>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</si>
  <si>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</si>
  <si>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</si>
  <si>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</si>
  <si>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</si>
  <si>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</si>
  <si>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dancing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</si>
  <si>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</si>
  <si>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</si>
  <si>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</si>
  <si>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</si>
  <si>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</si>
  <si>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</si>
  <si>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</si>
  <si>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</si>
  <si>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</si>
  <si>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</si>
  <si>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</si>
  <si>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</si>
  <si>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</si>
  <si>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</si>
  <si>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</si>
  <si>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</si>
  <si>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</si>
  <si>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</si>
  <si>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</si>
  <si>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</si>
  <si>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</si>
  <si>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</si>
  <si>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</si>
  <si>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</si>
  <si>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</si>
  <si>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</si>
  <si>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</si>
  <si>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</si>
  <si>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</si>
  <si>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</si>
  <si>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</si>
  <si>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</si>
  <si>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</si>
  <si>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</si>
  <si>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</si>
  <si>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</si>
  <si>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</si>
  <si>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</si>
  <si>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</si>
  <si>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</si>
  <si>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</si>
  <si>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</si>
  <si>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food**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</si>
  <si>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</si>
  <si>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</si>
  <si>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</si>
  <si>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</si>
  <si>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</si>
  <si>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</si>
  <si>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</si>
  <si>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</si>
  <si>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</si>
  <si>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</si>
  <si>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</si>
  <si>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</si>
  <si>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</si>
  <si>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</si>
  <si>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</si>
  <si>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</si>
  <si>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</si>
  <si>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</si>
  <si>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</si>
  <si>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</si>
  <si>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</si>
  <si>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</si>
  <si>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</si>
  <si>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</si>
  <si>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</si>
  <si>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</si>
  <si>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</si>
  <si>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</si>
  <si>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</si>
  <si>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</si>
  <si>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</si>
  <si>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</si>
  <si>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</si>
  <si>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</si>
  <si>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</si>
  <si>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</si>
  <si>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</si>
  <si>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</si>
  <si>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</si>
  <si>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</si>
  <si>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</si>
  <si>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</si>
  <si>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</si>
  <si>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</si>
  <si>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</si>
  <si>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</si>
  <si>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</si>
  <si>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</si>
  <si>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</si>
  <si>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</si>
  <si>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</si>
  <si>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</si>
  <si>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</si>
  <si>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</si>
  <si>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</si>
  <si>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</si>
  <si>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</si>
  <si>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</si>
  <si>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</si>
  <si>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</si>
  <si>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</si>
  <si>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</si>
  <si>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</si>
  <si>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Estimated possible visits per day</t>
  </si>
  <si>
    <t>subtract members</t>
  </si>
  <si>
    <t>There must be room for regular members to come in</t>
  </si>
  <si>
    <t>Expected Visits per day</t>
  </si>
  <si>
    <t>Overflow Amount of People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</si>
  <si>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</si>
  <si>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</si>
  <si>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</si>
  <si>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</si>
  <si>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</si>
  <si>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</si>
  <si>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</si>
  <si>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</si>
  <si>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</si>
  <si>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</si>
  <si>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</si>
  <si>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</si>
  <si>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</si>
  <si>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</si>
  <si>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</si>
  <si>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</si>
  <si>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</si>
  <si>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</si>
  <si>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</si>
  <si>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</si>
  <si>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</si>
  <si>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</si>
  <si>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</si>
  <si>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</si>
  <si>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</si>
  <si>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</si>
  <si>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</si>
  <si>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</si>
  <si>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</si>
  <si>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gas range</t>
  </si>
  <si>
    <t>range hoods</t>
  </si>
  <si>
    <t>hood installations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</si>
  <si>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</si>
  <si>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</si>
  <si>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</si>
  <si>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</si>
  <si>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</si>
  <si>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</si>
  <si>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</si>
  <si>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</si>
  <si>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</si>
  <si>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</si>
  <si>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</si>
  <si>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</si>
  <si>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</si>
  <si>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</si>
  <si>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</si>
  <si>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</si>
  <si>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</si>
  <si>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</si>
  <si>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</si>
  <si>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</si>
  <si>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</si>
  <si>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</si>
  <si>
    <t>Break-even Point</t>
  </si>
  <si>
    <t>Estimate Number of People</t>
  </si>
  <si>
    <t>Website Setup</t>
  </si>
  <si>
    <t>Total Overhead Costs</t>
  </si>
  <si>
    <t>knife sharpener</t>
  </si>
  <si>
    <t>three-door fridge</t>
  </si>
  <si>
    <t>granite counter tops per sq foot</t>
  </si>
  <si>
    <t>low end</t>
  </si>
  <si>
    <t>high end</t>
  </si>
  <si>
    <t>Sq. feet I need</t>
  </si>
  <si>
    <t>estimated cost</t>
  </si>
  <si>
    <t>Rent in New Haven per sq. foot per year  is typically</t>
  </si>
  <si>
    <t>Recruiting Instructors and businesses</t>
  </si>
  <si>
    <t>Work-man's comp</t>
  </si>
  <si>
    <t>Work-man's Comp multiplier</t>
  </si>
  <si>
    <t>Workman's comp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</si>
</sst>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6" fontId="0" fillId="0" borderId="0" xfId="1" applyNumberFormat="1" applyFont="1"/>
    <xf numFmtId="0" fontId="5" fillId="3" borderId="0" xfId="6"/>
    <xf numFmtId="44" fontId="5" fillId="3" borderId="0" xfId="6" applyNumberFormat="1"/>
    <xf numFmtId="0" fontId="4" fillId="2" borderId="1" xfId="5" applyBorder="1"/>
    <xf numFmtId="44" fontId="4" fillId="2" borderId="1" xfId="5" applyNumberFormat="1" applyBorder="1"/>
    <xf numFmtId="0" fontId="0" fillId="0" borderId="0" xfId="2" applyNumberFormat="1" applyFont="1" applyAlignment="1">
      <alignment horizontal="center"/>
    </xf>
  </cellXfs>
  <cellStyles count="7">
    <cellStyle name="Comma" xfId="3" builtinId="3"/>
    <cellStyle name="Currency" xfId="1" builtinId="4"/>
    <cellStyle name="Good" xfId="5" builtinId="26"/>
    <cellStyle name="Hyperlink" xfId="4" builtinId="8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workbookViewId="0">
      <selection activeCell="B36" sqref="B36"/>
    </sheetView>
  </sheetViews>
  <sheetFormatPr defaultRowHeight="15" x14ac:dyDescent="0.25"/>
  <cols>
    <col min="1" max="1" width="43.28515625" bestFit="1" customWidth="1"/>
    <col min="2" max="2" width="17.7109375" bestFit="1" customWidth="1"/>
  </cols>
  <sheetData>
    <row r="3" spans="1:3" x14ac:dyDescent="0.25">
      <c r="B3" t="s">
        <v>190</v>
      </c>
    </row>
    <row r="4" spans="1:3" x14ac:dyDescent="0.25">
      <c r="A4" t="s">
        <v>189</v>
      </c>
      <c r="B4">
        <f>Net_And_Analysis!I5</f>
        <v>380</v>
      </c>
    </row>
    <row r="6" spans="1:3" x14ac:dyDescent="0.25">
      <c r="A6" t="s">
        <v>191</v>
      </c>
      <c r="B6">
        <f>Net_And_Analysis!H5</f>
        <v>250</v>
      </c>
    </row>
    <row r="7" spans="1:3" x14ac:dyDescent="0.25">
      <c r="A7" t="s">
        <v>192</v>
      </c>
      <c r="B7">
        <f>Net_And_Analysis!I5</f>
        <v>380</v>
      </c>
    </row>
    <row r="8" spans="1:3" x14ac:dyDescent="0.25">
      <c r="A8" t="s">
        <v>193</v>
      </c>
      <c r="B8">
        <f>Net_And_Analysis!J5</f>
        <v>450</v>
      </c>
    </row>
    <row r="9" spans="1:3" x14ac:dyDescent="0.25">
      <c r="A9" t="s">
        <v>194</v>
      </c>
      <c r="B9">
        <f>Net_And_Analysis!K5</f>
        <v>500</v>
      </c>
    </row>
    <row r="10" spans="1:3" x14ac:dyDescent="0.25">
      <c r="A10" t="s">
        <v>203</v>
      </c>
      <c r="B10">
        <f>Net_And_Analysis!L5</f>
        <v>540</v>
      </c>
    </row>
    <row r="11" spans="1:3" x14ac:dyDescent="0.25">
      <c r="A11" t="s">
        <v>202</v>
      </c>
      <c r="B11">
        <f>Net_And_Analysis!M5</f>
        <v>580</v>
      </c>
    </row>
    <row r="13" spans="1:3" x14ac:dyDescent="0.25">
      <c r="A13" t="s">
        <v>195</v>
      </c>
      <c r="B13" t="s">
        <v>241</v>
      </c>
      <c r="C13" s="10" t="s">
        <v>228</v>
      </c>
    </row>
    <row r="14" spans="1:3" x14ac:dyDescent="0.25">
      <c r="A14" t="s">
        <v>196</v>
      </c>
      <c r="C14">
        <v>2018</v>
      </c>
    </row>
    <row r="15" spans="1:3" x14ac:dyDescent="0.25">
      <c r="A15" t="s">
        <v>233</v>
      </c>
      <c r="B15" s="11">
        <v>58809</v>
      </c>
    </row>
    <row r="16" spans="1:3" x14ac:dyDescent="0.25">
      <c r="A16" t="s">
        <v>232</v>
      </c>
      <c r="B16" s="11">
        <v>56453</v>
      </c>
    </row>
    <row r="17" spans="1:2" x14ac:dyDescent="0.25">
      <c r="A17" t="s">
        <v>231</v>
      </c>
      <c r="B17" s="11">
        <v>58645</v>
      </c>
    </row>
    <row r="18" spans="1:2" x14ac:dyDescent="0.25">
      <c r="A18" t="s">
        <v>230</v>
      </c>
      <c r="B18" s="11">
        <v>49754</v>
      </c>
    </row>
    <row r="19" spans="1:2" x14ac:dyDescent="0.25">
      <c r="A19" t="s">
        <v>229</v>
      </c>
      <c r="B19" s="11">
        <v>50741</v>
      </c>
    </row>
    <row r="20" spans="1:2" x14ac:dyDescent="0.25">
      <c r="A20" t="s">
        <v>234</v>
      </c>
      <c r="B20" s="11">
        <v>54969</v>
      </c>
    </row>
    <row r="21" spans="1:2" x14ac:dyDescent="0.25">
      <c r="A21" t="s">
        <v>235</v>
      </c>
      <c r="B21" s="11">
        <v>59755</v>
      </c>
    </row>
    <row r="22" spans="1:2" x14ac:dyDescent="0.25">
      <c r="A22" t="s">
        <v>236</v>
      </c>
      <c r="B22" s="11">
        <v>59073</v>
      </c>
    </row>
    <row r="23" spans="1:2" x14ac:dyDescent="0.25">
      <c r="A23" t="s">
        <v>237</v>
      </c>
      <c r="B23" s="11">
        <v>60768</v>
      </c>
    </row>
    <row r="24" spans="1:2" x14ac:dyDescent="0.25">
      <c r="A24" t="s">
        <v>238</v>
      </c>
      <c r="B24" s="11">
        <v>45951</v>
      </c>
    </row>
    <row r="25" spans="1:2" x14ac:dyDescent="0.25">
      <c r="A25" t="s">
        <v>239</v>
      </c>
      <c r="B25" s="11">
        <v>37199</v>
      </c>
    </row>
    <row r="28" spans="1:2" x14ac:dyDescent="0.25">
      <c r="A28" t="s">
        <v>43</v>
      </c>
      <c r="B28" s="11">
        <f>SUM(B15:B25)</f>
        <v>592117</v>
      </c>
    </row>
    <row r="29" spans="1:2" x14ac:dyDescent="0.25">
      <c r="A29" t="s">
        <v>198</v>
      </c>
      <c r="B29" s="11">
        <v>25000</v>
      </c>
    </row>
    <row r="30" spans="1:2" x14ac:dyDescent="0.25">
      <c r="A30" t="s">
        <v>197</v>
      </c>
    </row>
    <row r="31" spans="1:2" x14ac:dyDescent="0.25">
      <c r="A31" t="s">
        <v>199</v>
      </c>
      <c r="B31" s="12">
        <f>B28+B29</f>
        <v>617117</v>
      </c>
    </row>
    <row r="32" spans="1:2" x14ac:dyDescent="0.25">
      <c r="A32" t="s">
        <v>243</v>
      </c>
      <c r="B32" s="11">
        <v>620000</v>
      </c>
    </row>
    <row r="34" spans="1:2" x14ac:dyDescent="0.25">
      <c r="A34" t="s">
        <v>200</v>
      </c>
      <c r="B34" s="13">
        <f>$B$4/$B$31</f>
        <v>6.1576654021846752E-4</v>
      </c>
    </row>
    <row r="35" spans="1:2" x14ac:dyDescent="0.25">
      <c r="A35" t="s">
        <v>201</v>
      </c>
      <c r="B35" s="13">
        <f>$B$11/$B$28</f>
        <v>9.7953613897253404E-4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20"/>
  <sheetViews>
    <sheetView workbookViewId="0"/>
  </sheetViews>
  <sheetFormatPr defaultRowHeight="15" x14ac:dyDescent="0.25"/>
  <cols>
    <col min="1" max="1" width="33.85546875" bestFit="1" customWidth="1"/>
    <col min="2" max="2" width="10.5703125" style="1" bestFit="1" customWidth="1"/>
    <col min="3" max="3" width="22.42578125" bestFit="1" customWidth="1"/>
    <col min="4" max="4" width="20" bestFit="1" customWidth="1"/>
    <col min="5" max="5" width="20.140625" bestFit="1" customWidth="1"/>
    <col min="6" max="6" width="21.28515625" bestFit="1" customWidth="1"/>
    <col min="7" max="7" width="11.5703125" bestFit="1" customWidth="1"/>
  </cols>
  <sheetData>
    <row r="1" spans="1:7" x14ac:dyDescent="0.25">
      <c r="B1" s="1" t="s">
        <v>38</v>
      </c>
      <c r="C1" t="s">
        <v>56</v>
      </c>
      <c r="D1" t="s">
        <v>57</v>
      </c>
      <c r="E1" t="s">
        <v>59</v>
      </c>
      <c r="F1" t="s">
        <v>55</v>
      </c>
      <c r="G1" t="s">
        <v>58</v>
      </c>
    </row>
    <row r="2" spans="1:7" x14ac:dyDescent="0.25">
      <c r="A2" t="s">
        <v>248</v>
      </c>
      <c r="B2" s="1">
        <v>55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5325</v>
      </c>
    </row>
    <row r="3" spans="1:7" x14ac:dyDescent="0.25">
      <c r="A3" t="s">
        <v>222</v>
      </c>
      <c r="B3" s="1">
        <v>2000</v>
      </c>
      <c r="C3">
        <v>4</v>
      </c>
      <c r="G3" s="7">
        <f>B3*C3</f>
        <v>8000</v>
      </c>
    </row>
    <row r="4" spans="1:7" x14ac:dyDescent="0.25">
      <c r="A4" t="s">
        <v>60</v>
      </c>
      <c r="B4" s="1">
        <v>300</v>
      </c>
      <c r="C4">
        <v>4</v>
      </c>
      <c r="G4" s="7">
        <f>B4*C4</f>
        <v>1200</v>
      </c>
    </row>
    <row r="5" spans="1:7" x14ac:dyDescent="0.25">
      <c r="A5" t="s">
        <v>51</v>
      </c>
      <c r="B5" s="1">
        <v>50</v>
      </c>
      <c r="C5">
        <v>4</v>
      </c>
      <c r="G5" s="7">
        <f t="shared" ref="G5:G16" si="0">B5*C5</f>
        <v>200</v>
      </c>
    </row>
    <row r="6" spans="1:7" x14ac:dyDescent="0.25">
      <c r="A6" t="s">
        <v>52</v>
      </c>
      <c r="B6" s="1">
        <v>1000</v>
      </c>
      <c r="C6">
        <v>4</v>
      </c>
      <c r="G6" s="7">
        <f t="shared" si="0"/>
        <v>4000</v>
      </c>
    </row>
    <row r="7" spans="1:7" x14ac:dyDescent="0.25">
      <c r="A7" t="s">
        <v>217</v>
      </c>
      <c r="B7" s="1">
        <v>1000</v>
      </c>
      <c r="C7">
        <v>4</v>
      </c>
      <c r="G7" s="7">
        <f t="shared" si="0"/>
        <v>4000</v>
      </c>
    </row>
    <row r="8" spans="1:7" x14ac:dyDescent="0.25">
      <c r="A8" t="s">
        <v>219</v>
      </c>
      <c r="B8" s="1">
        <v>8000</v>
      </c>
      <c r="C8">
        <v>1</v>
      </c>
      <c r="G8" s="7">
        <f t="shared" si="0"/>
        <v>8000</v>
      </c>
    </row>
    <row r="9" spans="1:7" x14ac:dyDescent="0.25">
      <c r="A9" t="s">
        <v>218</v>
      </c>
      <c r="B9" s="1">
        <v>2500</v>
      </c>
      <c r="C9">
        <f>C7</f>
        <v>4</v>
      </c>
      <c r="G9" s="7">
        <f t="shared" si="0"/>
        <v>10000</v>
      </c>
    </row>
    <row r="10" spans="1:7" x14ac:dyDescent="0.25">
      <c r="A10" t="s">
        <v>247</v>
      </c>
      <c r="B10" s="1">
        <v>3900</v>
      </c>
      <c r="C10">
        <v>1</v>
      </c>
      <c r="G10" s="7">
        <f t="shared" si="0"/>
        <v>3900</v>
      </c>
    </row>
    <row r="11" spans="1:7" x14ac:dyDescent="0.25">
      <c r="A11" t="s">
        <v>53</v>
      </c>
      <c r="B11" s="1">
        <v>1000</v>
      </c>
      <c r="C11">
        <v>1</v>
      </c>
      <c r="G11" s="7">
        <f t="shared" si="0"/>
        <v>1000</v>
      </c>
    </row>
    <row r="12" spans="1:7" x14ac:dyDescent="0.25">
      <c r="A12" t="s">
        <v>54</v>
      </c>
      <c r="B12" s="1">
        <v>0</v>
      </c>
      <c r="C12">
        <v>1</v>
      </c>
      <c r="G12" s="7">
        <f t="shared" si="0"/>
        <v>0</v>
      </c>
    </row>
    <row r="13" spans="1:7" x14ac:dyDescent="0.25">
      <c r="A13" t="s">
        <v>61</v>
      </c>
      <c r="B13" s="1">
        <v>100</v>
      </c>
      <c r="C13">
        <v>6</v>
      </c>
      <c r="G13" s="7">
        <f t="shared" si="0"/>
        <v>600</v>
      </c>
    </row>
    <row r="14" spans="1:7" x14ac:dyDescent="0.25">
      <c r="A14" t="s">
        <v>63</v>
      </c>
      <c r="B14" s="1">
        <v>250</v>
      </c>
      <c r="C14">
        <v>3</v>
      </c>
      <c r="G14" s="7">
        <f t="shared" si="0"/>
        <v>750</v>
      </c>
    </row>
    <row r="15" spans="1:7" x14ac:dyDescent="0.25">
      <c r="A15" t="s">
        <v>64</v>
      </c>
      <c r="B15" s="1">
        <v>80</v>
      </c>
      <c r="C15">
        <v>3</v>
      </c>
      <c r="G15" s="7">
        <f t="shared" si="0"/>
        <v>240</v>
      </c>
    </row>
    <row r="16" spans="1:7" x14ac:dyDescent="0.25">
      <c r="A16" t="s">
        <v>246</v>
      </c>
      <c r="B16" s="1">
        <v>100</v>
      </c>
      <c r="C16">
        <v>1</v>
      </c>
      <c r="G16" s="7">
        <f t="shared" si="0"/>
        <v>100</v>
      </c>
    </row>
    <row r="20" spans="1:7" x14ac:dyDescent="0.25">
      <c r="A20" t="s">
        <v>43</v>
      </c>
      <c r="G20" s="7">
        <f>SUM(G2:G16)</f>
        <v>47315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5" x14ac:dyDescent="0.25"/>
  <cols>
    <col min="1" max="1" width="32.85546875" bestFit="1" customWidth="1"/>
  </cols>
  <sheetData>
    <row r="1" spans="1:2" x14ac:dyDescent="0.25">
      <c r="B1" t="s">
        <v>58</v>
      </c>
    </row>
    <row r="2" spans="1:2" x14ac:dyDescent="0.25">
      <c r="A2" t="s">
        <v>66</v>
      </c>
      <c r="B2" s="1">
        <v>100</v>
      </c>
    </row>
    <row r="3" spans="1:2" x14ac:dyDescent="0.25">
      <c r="A3" t="s">
        <v>65</v>
      </c>
      <c r="B3" s="1">
        <v>50</v>
      </c>
    </row>
    <row r="7" spans="1:2" x14ac:dyDescent="0.25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5" x14ac:dyDescent="0.25"/>
  <cols>
    <col min="1" max="1" width="26.42578125" customWidth="1"/>
    <col min="3" max="3" width="15.85546875" bestFit="1" customWidth="1"/>
    <col min="4" max="4" width="11.28515625" bestFit="1" customWidth="1"/>
    <col min="6" max="6" width="10.5703125" style="1" bestFit="1" customWidth="1"/>
  </cols>
  <sheetData>
    <row r="2" spans="1:6" x14ac:dyDescent="0.25">
      <c r="B2" t="s">
        <v>87</v>
      </c>
      <c r="C2" t="s">
        <v>88</v>
      </c>
      <c r="D2" t="s">
        <v>136</v>
      </c>
      <c r="E2" t="s">
        <v>58</v>
      </c>
      <c r="F2" s="1" t="s">
        <v>43</v>
      </c>
    </row>
    <row r="3" spans="1:6" x14ac:dyDescent="0.25">
      <c r="A3" t="s">
        <v>83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25">
      <c r="A4" t="s">
        <v>84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25">
      <c r="A5" t="s">
        <v>85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25">
      <c r="A6" t="s">
        <v>86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25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5" x14ac:dyDescent="0.25"/>
  <cols>
    <col min="1" max="1" width="16.42578125" bestFit="1" customWidth="1"/>
    <col min="3" max="3" width="31.5703125" bestFit="1" customWidth="1"/>
    <col min="4" max="4" width="22.5703125" bestFit="1" customWidth="1"/>
    <col min="5" max="5" width="19.28515625" bestFit="1" customWidth="1"/>
    <col min="6" max="6" width="17.7109375" bestFit="1" customWidth="1"/>
    <col min="7" max="7" width="15.7109375" bestFit="1" customWidth="1"/>
    <col min="8" max="8" width="10.28515625" bestFit="1" customWidth="1"/>
    <col min="9" max="9" width="10.5703125" bestFit="1" customWidth="1"/>
    <col min="10" max="10" width="17.42578125" bestFit="1" customWidth="1"/>
    <col min="11" max="11" width="9.140625" style="1"/>
  </cols>
  <sheetData>
    <row r="1" spans="1:11" x14ac:dyDescent="0.25">
      <c r="B1" t="s">
        <v>58</v>
      </c>
      <c r="C1" t="s">
        <v>69</v>
      </c>
      <c r="D1" t="s">
        <v>70</v>
      </c>
      <c r="E1" t="s">
        <v>67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s="1" t="s">
        <v>43</v>
      </c>
    </row>
    <row r="2" spans="1:11" x14ac:dyDescent="0.25">
      <c r="A2" t="s">
        <v>68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25">
      <c r="A3" t="s">
        <v>62</v>
      </c>
      <c r="K3" s="1">
        <v>400</v>
      </c>
    </row>
    <row r="4" spans="1:11" x14ac:dyDescent="0.25">
      <c r="A4" t="s">
        <v>80</v>
      </c>
      <c r="K4" s="1">
        <v>200</v>
      </c>
    </row>
    <row r="7" spans="1:11" x14ac:dyDescent="0.25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15" sqref="B15"/>
    </sheetView>
  </sheetViews>
  <sheetFormatPr defaultRowHeight="15" x14ac:dyDescent="0.25"/>
  <cols>
    <col min="1" max="1" width="38.85546875" bestFit="1" customWidth="1"/>
    <col min="2" max="2" width="12.5703125" style="1" bestFit="1" customWidth="1"/>
  </cols>
  <sheetData>
    <row r="2" spans="1:3" x14ac:dyDescent="0.25">
      <c r="A2" t="s">
        <v>0</v>
      </c>
      <c r="B2" s="1">
        <v>60000</v>
      </c>
    </row>
    <row r="3" spans="1:3" x14ac:dyDescent="0.25">
      <c r="A3" t="s">
        <v>27</v>
      </c>
      <c r="B3" s="2">
        <v>3</v>
      </c>
      <c r="C3" t="s">
        <v>32</v>
      </c>
    </row>
    <row r="4" spans="1:3" x14ac:dyDescent="0.25">
      <c r="A4" t="s">
        <v>28</v>
      </c>
      <c r="B4" s="1">
        <v>700</v>
      </c>
      <c r="C4" t="s">
        <v>33</v>
      </c>
    </row>
    <row r="5" spans="1:3" x14ac:dyDescent="0.25">
      <c r="A5" t="s">
        <v>23</v>
      </c>
      <c r="B5" s="1">
        <f>B4*B3</f>
        <v>2100</v>
      </c>
    </row>
    <row r="6" spans="1:3" x14ac:dyDescent="0.25">
      <c r="A6" t="s">
        <v>24</v>
      </c>
      <c r="B6" s="1">
        <f>B5*4</f>
        <v>8400</v>
      </c>
    </row>
    <row r="7" spans="1:3" x14ac:dyDescent="0.25">
      <c r="A7" t="s">
        <v>25</v>
      </c>
      <c r="B7" s="1">
        <f>B5*51</f>
        <v>107100</v>
      </c>
    </row>
    <row r="8" spans="1:3" x14ac:dyDescent="0.25">
      <c r="A8" t="s">
        <v>22</v>
      </c>
      <c r="B8" s="1">
        <v>5000</v>
      </c>
    </row>
    <row r="9" spans="1:3" x14ac:dyDescent="0.25">
      <c r="A9" t="s">
        <v>21</v>
      </c>
      <c r="B9" s="1">
        <v>0</v>
      </c>
      <c r="C9" t="s">
        <v>31</v>
      </c>
    </row>
    <row r="10" spans="1:3" x14ac:dyDescent="0.25">
      <c r="A10" t="s">
        <v>20</v>
      </c>
      <c r="B10" s="1">
        <v>200</v>
      </c>
    </row>
    <row r="11" spans="1:3" x14ac:dyDescent="0.25">
      <c r="A11" t="s">
        <v>19</v>
      </c>
      <c r="B11" s="1">
        <v>100</v>
      </c>
    </row>
    <row r="12" spans="1:3" x14ac:dyDescent="0.25">
      <c r="A12" t="s">
        <v>18</v>
      </c>
      <c r="B12" s="1">
        <v>400</v>
      </c>
    </row>
    <row r="13" spans="1:3" x14ac:dyDescent="0.25">
      <c r="A13" t="s">
        <v>26</v>
      </c>
      <c r="B13" s="1">
        <f>SUM(B8:B12)</f>
        <v>5700</v>
      </c>
    </row>
    <row r="14" spans="1:3" x14ac:dyDescent="0.25">
      <c r="A14" t="s">
        <v>11</v>
      </c>
      <c r="B14" s="1">
        <f>B13*12+B7</f>
        <v>175500</v>
      </c>
    </row>
    <row r="17" spans="1:2" x14ac:dyDescent="0.25">
      <c r="A17" t="s">
        <v>29</v>
      </c>
    </row>
    <row r="18" spans="1:2" x14ac:dyDescent="0.25">
      <c r="A18" t="s">
        <v>13</v>
      </c>
      <c r="B18" s="1">
        <v>20</v>
      </c>
    </row>
    <row r="19" spans="1:2" x14ac:dyDescent="0.25">
      <c r="A19" t="s">
        <v>14</v>
      </c>
      <c r="B19" s="1">
        <v>15</v>
      </c>
    </row>
    <row r="21" spans="1:2" x14ac:dyDescent="0.25">
      <c r="A21" t="s">
        <v>30</v>
      </c>
    </row>
    <row r="22" spans="1:2" x14ac:dyDescent="0.25">
      <c r="A22" t="s">
        <v>4</v>
      </c>
      <c r="B22" s="2">
        <v>500</v>
      </c>
    </row>
    <row r="24" spans="1:2" x14ac:dyDescent="0.25">
      <c r="A24" t="s">
        <v>5</v>
      </c>
    </row>
    <row r="25" spans="1:2" x14ac:dyDescent="0.25">
      <c r="A25" s="3" t="s">
        <v>1</v>
      </c>
      <c r="B25" s="2">
        <v>2.5</v>
      </c>
    </row>
    <row r="26" spans="1:2" x14ac:dyDescent="0.25">
      <c r="A26" s="3" t="s">
        <v>2</v>
      </c>
      <c r="B26" s="4">
        <v>0.2</v>
      </c>
    </row>
    <row r="27" spans="1:2" x14ac:dyDescent="0.25">
      <c r="A27" s="3" t="s">
        <v>16</v>
      </c>
      <c r="B27" s="1">
        <f>B19*B25*B26*B22</f>
        <v>3750</v>
      </c>
    </row>
    <row r="29" spans="1:2" x14ac:dyDescent="0.25">
      <c r="A29" s="3" t="s">
        <v>15</v>
      </c>
      <c r="B29" s="2">
        <v>1.5</v>
      </c>
    </row>
    <row r="30" spans="1:2" x14ac:dyDescent="0.25">
      <c r="A30" s="3" t="s">
        <v>3</v>
      </c>
      <c r="B30" s="5">
        <v>0.8</v>
      </c>
    </row>
    <row r="31" spans="1:2" x14ac:dyDescent="0.25">
      <c r="A31" s="3" t="s">
        <v>17</v>
      </c>
      <c r="B31" s="1">
        <f>B22*B18*B29*B30</f>
        <v>12000</v>
      </c>
    </row>
    <row r="33" spans="1:2" x14ac:dyDescent="0.25">
      <c r="A33" t="s">
        <v>6</v>
      </c>
      <c r="B33" s="1">
        <f>B27+B31</f>
        <v>15750</v>
      </c>
    </row>
    <row r="34" spans="1:2" x14ac:dyDescent="0.25">
      <c r="A34" s="3" t="s">
        <v>7</v>
      </c>
      <c r="B34" s="1">
        <f>B33*4</f>
        <v>63000</v>
      </c>
    </row>
    <row r="35" spans="1:2" x14ac:dyDescent="0.25">
      <c r="A35" s="3" t="s">
        <v>8</v>
      </c>
      <c r="B35" s="1">
        <f>B33*51</f>
        <v>803250</v>
      </c>
    </row>
    <row r="36" spans="1:2" x14ac:dyDescent="0.25">
      <c r="A36" s="3" t="s">
        <v>9</v>
      </c>
      <c r="B36" s="1">
        <f>B35*0.25</f>
        <v>200812.5</v>
      </c>
    </row>
    <row r="37" spans="1:2" x14ac:dyDescent="0.25">
      <c r="A37" s="3" t="s">
        <v>10</v>
      </c>
      <c r="B37" s="1">
        <f>B35-B36</f>
        <v>602437.5</v>
      </c>
    </row>
    <row r="38" spans="1:2" x14ac:dyDescent="0.25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8"/>
  <sheetViews>
    <sheetView workbookViewId="0">
      <selection activeCell="E33" sqref="E33"/>
    </sheetView>
  </sheetViews>
  <sheetFormatPr defaultRowHeight="15" x14ac:dyDescent="0.25"/>
  <cols>
    <col min="1" max="1" width="31" bestFit="1" customWidth="1"/>
    <col min="2" max="2" width="21.85546875" customWidth="1"/>
    <col min="3" max="7" width="12.5703125" bestFit="1" customWidth="1"/>
    <col min="8" max="8" width="11.140625" bestFit="1" customWidth="1"/>
  </cols>
  <sheetData>
    <row r="3" spans="1:7" x14ac:dyDescent="0.25">
      <c r="A3" t="s">
        <v>227</v>
      </c>
      <c r="B3" s="7">
        <f>Gaming!D12</f>
        <v>19680</v>
      </c>
    </row>
    <row r="4" spans="1:7" x14ac:dyDescent="0.25">
      <c r="A4" t="s">
        <v>76</v>
      </c>
      <c r="B4" s="7">
        <f>Dance_Studio!D8</f>
        <v>16500</v>
      </c>
    </row>
    <row r="5" spans="1:7" x14ac:dyDescent="0.25">
      <c r="A5" t="s">
        <v>77</v>
      </c>
      <c r="B5" s="7">
        <f>Kitchen!G20</f>
        <v>47315</v>
      </c>
    </row>
    <row r="6" spans="1:7" x14ac:dyDescent="0.25">
      <c r="A6" t="s">
        <v>78</v>
      </c>
      <c r="B6" s="7">
        <f>Liabilities!B7</f>
        <v>150</v>
      </c>
    </row>
    <row r="7" spans="1:7" x14ac:dyDescent="0.25">
      <c r="A7" t="s">
        <v>82</v>
      </c>
      <c r="B7" s="7">
        <f>decor!K7</f>
        <v>800</v>
      </c>
    </row>
    <row r="8" spans="1:7" x14ac:dyDescent="0.25">
      <c r="A8" t="s">
        <v>89</v>
      </c>
      <c r="B8" s="7">
        <f>'Eating Area'!F10</f>
        <v>3200</v>
      </c>
    </row>
    <row r="10" spans="1:7" x14ac:dyDescent="0.25">
      <c r="A10" t="s">
        <v>81</v>
      </c>
      <c r="B10" s="7">
        <f>SUM(B3:B8)</f>
        <v>87645</v>
      </c>
    </row>
    <row r="11" spans="1:7" x14ac:dyDescent="0.25">
      <c r="A11" t="s">
        <v>244</v>
      </c>
      <c r="B11" s="6">
        <v>2000</v>
      </c>
    </row>
    <row r="12" spans="1:7" x14ac:dyDescent="0.25">
      <c r="A12" t="s">
        <v>226</v>
      </c>
      <c r="B12" s="1">
        <v>10000</v>
      </c>
    </row>
    <row r="13" spans="1:7" x14ac:dyDescent="0.25">
      <c r="A13" t="s">
        <v>245</v>
      </c>
      <c r="B13" s="7">
        <f>SUM(B10:B12)</f>
        <v>99645</v>
      </c>
    </row>
    <row r="15" spans="1:7" x14ac:dyDescent="0.25">
      <c r="A15" t="s">
        <v>126</v>
      </c>
      <c r="B15" s="7">
        <f>Operating_Costs!F13</f>
        <v>393966.66666666663</v>
      </c>
    </row>
    <row r="16" spans="1:7" x14ac:dyDescent="0.25">
      <c r="A16" t="s">
        <v>127</v>
      </c>
      <c r="B16">
        <v>6</v>
      </c>
      <c r="C16">
        <v>5</v>
      </c>
      <c r="D16">
        <v>4</v>
      </c>
      <c r="E16">
        <v>3</v>
      </c>
      <c r="F16">
        <v>2</v>
      </c>
      <c r="G16">
        <v>1</v>
      </c>
    </row>
    <row r="17" spans="1:8" x14ac:dyDescent="0.25">
      <c r="A17" t="s">
        <v>128</v>
      </c>
      <c r="B17">
        <f>B16/12</f>
        <v>0.5</v>
      </c>
      <c r="C17">
        <f t="shared" ref="C17:G17" si="0">C16/12</f>
        <v>0.41666666666666669</v>
      </c>
      <c r="D17">
        <f t="shared" si="0"/>
        <v>0.33333333333333331</v>
      </c>
      <c r="E17">
        <f t="shared" si="0"/>
        <v>0.25</v>
      </c>
      <c r="F17">
        <f t="shared" si="0"/>
        <v>0.16666666666666666</v>
      </c>
      <c r="G17">
        <f t="shared" si="0"/>
        <v>8.3333333333333329E-2</v>
      </c>
    </row>
    <row r="18" spans="1:8" x14ac:dyDescent="0.25">
      <c r="A18" t="s">
        <v>223</v>
      </c>
      <c r="B18" s="7">
        <f t="shared" ref="B18:G18" si="1">$B$15*B$17</f>
        <v>196983.33333333331</v>
      </c>
      <c r="C18" s="7">
        <f t="shared" si="1"/>
        <v>164152.77777777778</v>
      </c>
      <c r="D18" s="7">
        <f t="shared" si="1"/>
        <v>131322.22222222219</v>
      </c>
      <c r="E18" s="7">
        <f t="shared" si="1"/>
        <v>98491.666666666657</v>
      </c>
      <c r="F18" s="7">
        <f t="shared" si="1"/>
        <v>65661.111111111095</v>
      </c>
      <c r="G18" s="7">
        <f t="shared" si="1"/>
        <v>32830.555555555547</v>
      </c>
      <c r="H18" s="7"/>
    </row>
    <row r="19" spans="1:8" x14ac:dyDescent="0.25">
      <c r="A19" t="s">
        <v>129</v>
      </c>
      <c r="B19" s="7">
        <f>$B$10+($B$15*B$17)+$B$12+$B$11</f>
        <v>296628.33333333331</v>
      </c>
      <c r="C19" s="7">
        <f t="shared" ref="C19:G19" si="2">$B$10+($B$15*C$17)+$B$12+$B$11</f>
        <v>263797.77777777775</v>
      </c>
      <c r="D19" s="7">
        <f t="shared" si="2"/>
        <v>230967.22222222219</v>
      </c>
      <c r="E19" s="7">
        <f t="shared" si="2"/>
        <v>198136.66666666666</v>
      </c>
      <c r="F19" s="7">
        <f t="shared" si="2"/>
        <v>165306.11111111109</v>
      </c>
      <c r="G19" s="7">
        <f t="shared" si="2"/>
        <v>132475.55555555556</v>
      </c>
      <c r="H19" s="7"/>
    </row>
    <row r="22" spans="1:8" x14ac:dyDescent="0.25">
      <c r="A22" t="s">
        <v>209</v>
      </c>
      <c r="B22" t="s">
        <v>208</v>
      </c>
    </row>
    <row r="23" spans="1:8" x14ac:dyDescent="0.25">
      <c r="A23" t="s">
        <v>205</v>
      </c>
      <c r="B23" t="s">
        <v>208</v>
      </c>
    </row>
    <row r="24" spans="1:8" x14ac:dyDescent="0.25">
      <c r="A24" t="s">
        <v>204</v>
      </c>
      <c r="B24" t="s">
        <v>208</v>
      </c>
    </row>
    <row r="25" spans="1:8" x14ac:dyDescent="0.25">
      <c r="A25" t="s">
        <v>130</v>
      </c>
      <c r="B25" t="s">
        <v>206</v>
      </c>
    </row>
    <row r="26" spans="1:8" x14ac:dyDescent="0.25">
      <c r="A26" t="s">
        <v>131</v>
      </c>
      <c r="B26" t="s">
        <v>210</v>
      </c>
    </row>
    <row r="27" spans="1:8" x14ac:dyDescent="0.25">
      <c r="A27" t="s">
        <v>207</v>
      </c>
      <c r="B27" t="s">
        <v>254</v>
      </c>
    </row>
    <row r="28" spans="1:8" x14ac:dyDescent="0.25">
      <c r="A28" t="s">
        <v>211</v>
      </c>
      <c r="B28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tabSelected="1" workbookViewId="0">
      <selection activeCell="H15" sqref="H15"/>
    </sheetView>
  </sheetViews>
  <sheetFormatPr defaultRowHeight="15" x14ac:dyDescent="0.25"/>
  <cols>
    <col min="1" max="1" width="32.7109375" bestFit="1" customWidth="1"/>
    <col min="2" max="2" width="13.42578125" bestFit="1" customWidth="1"/>
    <col min="3" max="3" width="16.28515625" customWidth="1"/>
    <col min="4" max="7" width="13.42578125" bestFit="1" customWidth="1"/>
    <col min="8" max="8" width="15" bestFit="1" customWidth="1"/>
    <col min="9" max="9" width="16.42578125" style="15" bestFit="1" customWidth="1"/>
    <col min="10" max="10" width="12.5703125" bestFit="1" customWidth="1"/>
    <col min="11" max="12" width="13.7109375" bestFit="1" customWidth="1"/>
    <col min="13" max="13" width="12.5703125" style="17" bestFit="1" customWidth="1"/>
  </cols>
  <sheetData>
    <row r="4" spans="1:13" x14ac:dyDescent="0.25">
      <c r="I4" s="15" t="s">
        <v>242</v>
      </c>
      <c r="M4" s="17" t="s">
        <v>176</v>
      </c>
    </row>
    <row r="5" spans="1:13" x14ac:dyDescent="0.25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>
        <f>Gross!I30</f>
        <v>250</v>
      </c>
      <c r="I5" s="15">
        <f>Gross!J30</f>
        <v>380</v>
      </c>
      <c r="J5">
        <f>Gross!K30</f>
        <v>450</v>
      </c>
      <c r="K5">
        <f>Gross!L30</f>
        <v>500</v>
      </c>
      <c r="L5">
        <f>Gross!M30</f>
        <v>540</v>
      </c>
      <c r="M5" s="17">
        <f>Gross!N30</f>
        <v>580</v>
      </c>
    </row>
    <row r="6" spans="1:13" x14ac:dyDescent="0.25">
      <c r="A6" t="s">
        <v>172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7">
        <f>Gross!I45</f>
        <v>260000.00000000006</v>
      </c>
      <c r="I6" s="16">
        <f>Gross!J45</f>
        <v>395200.00000000006</v>
      </c>
      <c r="J6" s="7">
        <f>Gross!K45</f>
        <v>468000.00000000012</v>
      </c>
      <c r="K6" s="7">
        <f>Gross!L45</f>
        <v>520000.00000000012</v>
      </c>
      <c r="L6" s="7">
        <f>Gross!M45</f>
        <v>561600.00000000012</v>
      </c>
      <c r="M6" s="18">
        <f>Gross!N45</f>
        <v>603200.00000000012</v>
      </c>
    </row>
    <row r="7" spans="1:13" x14ac:dyDescent="0.25">
      <c r="H7" s="7"/>
      <c r="I7" s="16"/>
      <c r="J7" s="7"/>
      <c r="K7" s="7"/>
      <c r="L7" s="7"/>
    </row>
    <row r="8" spans="1:13" x14ac:dyDescent="0.25">
      <c r="A8" t="s">
        <v>171</v>
      </c>
      <c r="B8" s="7">
        <f>Operating_Costs!F13</f>
        <v>393966.66666666663</v>
      </c>
      <c r="H8" s="7"/>
      <c r="I8" s="16"/>
      <c r="J8" s="7"/>
      <c r="K8" s="7"/>
      <c r="L8" s="7"/>
    </row>
    <row r="9" spans="1:13" x14ac:dyDescent="0.25">
      <c r="H9" s="7"/>
      <c r="I9" s="16"/>
      <c r="J9" s="7"/>
      <c r="K9" s="7"/>
      <c r="L9" s="7"/>
    </row>
    <row r="10" spans="1:13" x14ac:dyDescent="0.25">
      <c r="A10" t="s">
        <v>173</v>
      </c>
      <c r="B10" s="7">
        <f>B6-$B$8</f>
        <v>-388766.66666666663</v>
      </c>
      <c r="C10" s="7">
        <f t="shared" ref="C10:L10" si="0">C6-$B$8</f>
        <v>-383566.66666666663</v>
      </c>
      <c r="D10" s="7">
        <f t="shared" si="0"/>
        <v>-373166.66666666663</v>
      </c>
      <c r="E10" s="7">
        <f t="shared" si="0"/>
        <v>-352366.66666666663</v>
      </c>
      <c r="F10" s="7">
        <f t="shared" si="0"/>
        <v>-310766.66666666663</v>
      </c>
      <c r="G10" s="7">
        <f t="shared" si="0"/>
        <v>-227566.6666666666</v>
      </c>
      <c r="H10" s="7">
        <f t="shared" si="0"/>
        <v>-133966.66666666657</v>
      </c>
      <c r="I10" s="16">
        <f t="shared" si="0"/>
        <v>1233.3333333334303</v>
      </c>
      <c r="J10" s="7">
        <f t="shared" si="0"/>
        <v>74033.333333333489</v>
      </c>
      <c r="K10" s="7">
        <f t="shared" si="0"/>
        <v>126033.33333333349</v>
      </c>
      <c r="L10" s="7">
        <f t="shared" si="0"/>
        <v>167633.33333333349</v>
      </c>
      <c r="M10" s="18">
        <f t="shared" ref="M10" si="1">M6-$B$8</f>
        <v>209233.33333333349</v>
      </c>
    </row>
    <row r="11" spans="1:13" x14ac:dyDescent="0.25">
      <c r="B11" t="s">
        <v>109</v>
      </c>
    </row>
    <row r="12" spans="1:13" x14ac:dyDescent="0.25">
      <c r="A12" t="s">
        <v>174</v>
      </c>
      <c r="B12">
        <f>H5</f>
        <v>250</v>
      </c>
    </row>
    <row r="13" spans="1:13" x14ac:dyDescent="0.25">
      <c r="A13" t="s">
        <v>175</v>
      </c>
      <c r="B13">
        <f>Gross!I37</f>
        <v>40.000000000000007</v>
      </c>
    </row>
    <row r="15" spans="1:13" x14ac:dyDescent="0.25">
      <c r="B15" t="s">
        <v>109</v>
      </c>
    </row>
    <row r="16" spans="1:13" x14ac:dyDescent="0.25">
      <c r="A16" t="s">
        <v>178</v>
      </c>
      <c r="B16">
        <f>M5</f>
        <v>580</v>
      </c>
      <c r="C16" t="s">
        <v>186</v>
      </c>
    </row>
    <row r="17" spans="1:3" x14ac:dyDescent="0.25">
      <c r="A17" t="s">
        <v>139</v>
      </c>
      <c r="B17">
        <f>B16*0.2</f>
        <v>116</v>
      </c>
      <c r="C17">
        <f>B17/2</f>
        <v>58</v>
      </c>
    </row>
    <row r="18" spans="1:3" x14ac:dyDescent="0.25">
      <c r="A18" t="s">
        <v>184</v>
      </c>
      <c r="B18">
        <f>B16-(0.2*710)</f>
        <v>438</v>
      </c>
    </row>
    <row r="20" spans="1:3" x14ac:dyDescent="0.25">
      <c r="A20" t="s">
        <v>179</v>
      </c>
      <c r="B20">
        <f>Gross!L37</f>
        <v>80.000000000000014</v>
      </c>
    </row>
    <row r="21" spans="1:3" x14ac:dyDescent="0.25">
      <c r="A21" t="s">
        <v>180</v>
      </c>
      <c r="B21" s="9">
        <v>0.75</v>
      </c>
    </row>
    <row r="22" spans="1:3" x14ac:dyDescent="0.25">
      <c r="A22" t="s">
        <v>183</v>
      </c>
      <c r="B22">
        <f>B20*(1+B21)</f>
        <v>140.00000000000003</v>
      </c>
      <c r="C22" t="s">
        <v>185</v>
      </c>
    </row>
    <row r="24" spans="1:3" x14ac:dyDescent="0.25">
      <c r="A24" t="s">
        <v>177</v>
      </c>
      <c r="B24">
        <f>Gross!B7</f>
        <v>85</v>
      </c>
    </row>
    <row r="25" spans="1:3" x14ac:dyDescent="0.25">
      <c r="A25" t="s">
        <v>182</v>
      </c>
      <c r="B25">
        <v>2</v>
      </c>
    </row>
    <row r="26" spans="1:3" x14ac:dyDescent="0.25">
      <c r="A26" t="s">
        <v>181</v>
      </c>
      <c r="B26">
        <f>B24*B25</f>
        <v>170</v>
      </c>
    </row>
    <row r="28" spans="1:3" x14ac:dyDescent="0.25">
      <c r="A28" t="s">
        <v>188</v>
      </c>
      <c r="B28">
        <f>B26-B22</f>
        <v>29.999999999999972</v>
      </c>
    </row>
    <row r="29" spans="1:3" x14ac:dyDescent="0.25">
      <c r="A29" t="s">
        <v>187</v>
      </c>
      <c r="B29">
        <f>C17-B28</f>
        <v>28.000000000000028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opLeftCell="A16" workbookViewId="0">
      <selection activeCell="M28" sqref="M28"/>
    </sheetView>
  </sheetViews>
  <sheetFormatPr defaultRowHeight="15" x14ac:dyDescent="0.25"/>
  <cols>
    <col min="1" max="1" width="24.28515625" bestFit="1" customWidth="1"/>
    <col min="2" max="2" width="22.5703125" bestFit="1" customWidth="1"/>
    <col min="3" max="3" width="22.28515625" customWidth="1"/>
    <col min="4" max="4" width="18.7109375" customWidth="1"/>
    <col min="5" max="5" width="19.7109375" bestFit="1" customWidth="1"/>
    <col min="6" max="6" width="15" customWidth="1"/>
    <col min="7" max="7" width="14.7109375" bestFit="1" customWidth="1"/>
    <col min="8" max="11" width="12.5703125" bestFit="1" customWidth="1"/>
    <col min="12" max="13" width="13.7109375" bestFit="1" customWidth="1"/>
    <col min="14" max="14" width="12.28515625" bestFit="1" customWidth="1"/>
  </cols>
  <sheetData>
    <row r="1" spans="1:7" x14ac:dyDescent="0.25">
      <c r="B1" t="s">
        <v>137</v>
      </c>
      <c r="F1" t="s">
        <v>138</v>
      </c>
    </row>
    <row r="2" spans="1:7" x14ac:dyDescent="0.25">
      <c r="A2" t="s">
        <v>132</v>
      </c>
      <c r="B2">
        <v>20</v>
      </c>
      <c r="F2" t="s">
        <v>141</v>
      </c>
      <c r="G2" t="s">
        <v>142</v>
      </c>
    </row>
    <row r="3" spans="1:7" x14ac:dyDescent="0.25">
      <c r="A3" t="s">
        <v>133</v>
      </c>
      <c r="B3">
        <f>10</f>
        <v>10</v>
      </c>
      <c r="D3" t="s">
        <v>139</v>
      </c>
      <c r="F3" s="9">
        <v>0.2</v>
      </c>
      <c r="G3" s="6"/>
    </row>
    <row r="4" spans="1:7" x14ac:dyDescent="0.25">
      <c r="A4" t="s">
        <v>134</v>
      </c>
      <c r="B4">
        <v>40</v>
      </c>
      <c r="D4" t="s">
        <v>140</v>
      </c>
      <c r="F4" s="9">
        <v>0.8</v>
      </c>
    </row>
    <row r="5" spans="1:7" x14ac:dyDescent="0.25">
      <c r="A5" t="s">
        <v>135</v>
      </c>
      <c r="B5">
        <v>15</v>
      </c>
    </row>
    <row r="7" spans="1:7" x14ac:dyDescent="0.25">
      <c r="A7" t="s">
        <v>43</v>
      </c>
      <c r="B7">
        <f>SUM(B2:B5)</f>
        <v>85</v>
      </c>
    </row>
    <row r="9" spans="1:7" x14ac:dyDescent="0.25">
      <c r="C9" t="s">
        <v>149</v>
      </c>
    </row>
    <row r="10" spans="1:7" x14ac:dyDescent="0.25">
      <c r="C10" t="s">
        <v>148</v>
      </c>
    </row>
    <row r="11" spans="1:7" x14ac:dyDescent="0.25">
      <c r="C11" t="s">
        <v>147</v>
      </c>
    </row>
    <row r="12" spans="1:7" x14ac:dyDescent="0.25">
      <c r="B12" t="s">
        <v>143</v>
      </c>
      <c r="C12" s="9">
        <v>0.2</v>
      </c>
      <c r="D12" s="9">
        <v>0.8</v>
      </c>
    </row>
    <row r="13" spans="1:7" x14ac:dyDescent="0.25">
      <c r="A13" t="s">
        <v>144</v>
      </c>
      <c r="B13" s="1">
        <v>40</v>
      </c>
      <c r="C13">
        <v>5</v>
      </c>
      <c r="D13">
        <v>3</v>
      </c>
    </row>
    <row r="14" spans="1:7" x14ac:dyDescent="0.25">
      <c r="A14" t="s">
        <v>145</v>
      </c>
      <c r="B14" s="1">
        <v>10</v>
      </c>
      <c r="C14">
        <v>3</v>
      </c>
      <c r="D14">
        <v>2</v>
      </c>
    </row>
    <row r="15" spans="1:7" x14ac:dyDescent="0.25">
      <c r="A15" t="s">
        <v>146</v>
      </c>
      <c r="B15" s="1">
        <v>20</v>
      </c>
      <c r="C15">
        <v>2</v>
      </c>
      <c r="D15">
        <v>1</v>
      </c>
    </row>
    <row r="17" spans="1:14" x14ac:dyDescent="0.25">
      <c r="D17" s="9">
        <v>0.2</v>
      </c>
      <c r="E17">
        <f>D17*100</f>
        <v>20</v>
      </c>
    </row>
    <row r="18" spans="1:14" s="3" customFormat="1" x14ac:dyDescent="0.25"/>
    <row r="19" spans="1:14" x14ac:dyDescent="0.25">
      <c r="A19" t="s">
        <v>159</v>
      </c>
      <c r="B19" t="s">
        <v>161</v>
      </c>
      <c r="C19" t="s">
        <v>155</v>
      </c>
      <c r="D19" t="s">
        <v>212</v>
      </c>
      <c r="E19" t="s">
        <v>160</v>
      </c>
      <c r="F19" t="s">
        <v>158</v>
      </c>
      <c r="G19" t="s">
        <v>169</v>
      </c>
    </row>
    <row r="20" spans="1:14" x14ac:dyDescent="0.25">
      <c r="A20" s="19">
        <v>0.8</v>
      </c>
      <c r="B20">
        <v>0.2</v>
      </c>
      <c r="C20" s="3" t="s">
        <v>151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25">
      <c r="A21" s="19"/>
      <c r="B21">
        <v>0.2</v>
      </c>
      <c r="C21" s="3" t="s">
        <v>152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 t="shared" ref="G21:G23" si="1">E21*F21</f>
        <v>9.600000000000003E-2</v>
      </c>
    </row>
    <row r="22" spans="1:14" x14ac:dyDescent="0.25">
      <c r="A22" s="19"/>
      <c r="B22">
        <v>0.8</v>
      </c>
      <c r="C22" s="3" t="s">
        <v>153</v>
      </c>
      <c r="D22" s="8">
        <v>0.8</v>
      </c>
      <c r="E22" s="3">
        <f t="shared" si="0"/>
        <v>0.51200000000000012</v>
      </c>
      <c r="F22" s="2">
        <v>1</v>
      </c>
      <c r="G22">
        <f t="shared" si="1"/>
        <v>0.51200000000000012</v>
      </c>
    </row>
    <row r="23" spans="1:14" x14ac:dyDescent="0.25">
      <c r="A23" s="19"/>
      <c r="B23">
        <v>0.8</v>
      </c>
      <c r="C23" s="3" t="s">
        <v>154</v>
      </c>
      <c r="D23" s="8">
        <v>0.2</v>
      </c>
      <c r="E23" s="3">
        <f t="shared" si="0"/>
        <v>0.12800000000000003</v>
      </c>
      <c r="F23" s="2">
        <v>2</v>
      </c>
      <c r="G23">
        <f t="shared" si="1"/>
        <v>0.25600000000000006</v>
      </c>
    </row>
    <row r="24" spans="1:14" x14ac:dyDescent="0.25">
      <c r="D24" s="3"/>
      <c r="E24" s="3">
        <f>SUM(E20:E23)</f>
        <v>0.80000000000000016</v>
      </c>
      <c r="F24" t="s">
        <v>43</v>
      </c>
      <c r="G24">
        <f>SUM(G20:G23)</f>
        <v>1.1200000000000003</v>
      </c>
    </row>
    <row r="25" spans="1:14" x14ac:dyDescent="0.25">
      <c r="A25" s="19">
        <v>0.2</v>
      </c>
      <c r="B25" s="8">
        <v>0.8</v>
      </c>
      <c r="C25" s="3" t="s">
        <v>156</v>
      </c>
      <c r="D25" t="s">
        <v>163</v>
      </c>
      <c r="E25" s="3">
        <f>$A$25*$B25</f>
        <v>0.16000000000000003</v>
      </c>
      <c r="F25" s="2">
        <v>3</v>
      </c>
    </row>
    <row r="26" spans="1:14" x14ac:dyDescent="0.25">
      <c r="A26" s="19"/>
      <c r="B26" s="8">
        <v>0.2</v>
      </c>
      <c r="C26" s="3" t="s">
        <v>157</v>
      </c>
      <c r="D26" t="s">
        <v>163</v>
      </c>
      <c r="E26" s="3">
        <f>$A$25*$B26</f>
        <v>4.0000000000000008E-2</v>
      </c>
      <c r="F26" s="2">
        <v>5</v>
      </c>
    </row>
    <row r="27" spans="1:14" x14ac:dyDescent="0.25">
      <c r="E27">
        <f>SUM(E25:E26)</f>
        <v>0.20000000000000004</v>
      </c>
    </row>
    <row r="28" spans="1:14" x14ac:dyDescent="0.25">
      <c r="E28">
        <f>E24+E27</f>
        <v>1.0000000000000002</v>
      </c>
    </row>
    <row r="29" spans="1:14" x14ac:dyDescent="0.25">
      <c r="B29" t="s">
        <v>150</v>
      </c>
      <c r="K29" s="3"/>
    </row>
    <row r="30" spans="1:14" x14ac:dyDescent="0.25">
      <c r="A30" t="s">
        <v>155</v>
      </c>
      <c r="B30" t="s">
        <v>142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250</v>
      </c>
      <c r="J30">
        <v>380</v>
      </c>
      <c r="K30">
        <v>450</v>
      </c>
      <c r="L30">
        <v>500</v>
      </c>
      <c r="M30">
        <v>540</v>
      </c>
      <c r="N30">
        <v>580</v>
      </c>
    </row>
    <row r="31" spans="1:14" x14ac:dyDescent="0.25">
      <c r="A31" s="3" t="s">
        <v>151</v>
      </c>
      <c r="B31" s="1">
        <v>10</v>
      </c>
      <c r="C31" s="1">
        <f>$E20*$F20*$B31*C$30</f>
        <v>12.800000000000002</v>
      </c>
      <c r="D31" s="1">
        <f t="shared" ref="D31:H31" si="2">$E20*$F20*$B31*D$30</f>
        <v>25.600000000000005</v>
      </c>
      <c r="E31" s="1">
        <f t="shared" si="2"/>
        <v>51.20000000000001</v>
      </c>
      <c r="F31" s="1">
        <f t="shared" si="2"/>
        <v>102.40000000000002</v>
      </c>
      <c r="G31" s="1">
        <f t="shared" si="2"/>
        <v>204.80000000000004</v>
      </c>
      <c r="H31" s="1">
        <f t="shared" si="2"/>
        <v>409.60000000000008</v>
      </c>
      <c r="I31" s="1">
        <f t="shared" ref="I31" si="3">$E20*$F20*$B31*I$30</f>
        <v>640.00000000000011</v>
      </c>
      <c r="J31" s="1">
        <f t="shared" ref="J31:M34" si="4">$E20*$F20*$B31*J$30</f>
        <v>972.80000000000018</v>
      </c>
      <c r="K31" s="1">
        <f t="shared" si="4"/>
        <v>1152.0000000000002</v>
      </c>
      <c r="L31" s="1">
        <f t="shared" si="4"/>
        <v>1280.0000000000002</v>
      </c>
      <c r="M31" s="1">
        <f t="shared" si="4"/>
        <v>1382.4000000000003</v>
      </c>
      <c r="N31" s="1">
        <f>$E20*$F20*$B31*N$30</f>
        <v>1484.8000000000002</v>
      </c>
    </row>
    <row r="32" spans="1:14" x14ac:dyDescent="0.25">
      <c r="A32" s="3" t="s">
        <v>152</v>
      </c>
      <c r="B32" s="1">
        <v>10</v>
      </c>
      <c r="C32" s="1">
        <f t="shared" ref="C32:H34" si="5">$E21*$F21*$B32*C$30</f>
        <v>4.8000000000000016</v>
      </c>
      <c r="D32" s="1">
        <f t="shared" si="5"/>
        <v>9.6000000000000032</v>
      </c>
      <c r="E32" s="1">
        <f t="shared" si="5"/>
        <v>19.200000000000006</v>
      </c>
      <c r="F32" s="1">
        <f t="shared" si="5"/>
        <v>38.400000000000013</v>
      </c>
      <c r="G32" s="1">
        <f t="shared" si="5"/>
        <v>76.800000000000026</v>
      </c>
      <c r="H32" s="1">
        <f t="shared" si="5"/>
        <v>153.60000000000005</v>
      </c>
      <c r="I32" s="1">
        <f t="shared" ref="I32" si="6">$E21*$F21*$B32*I$30</f>
        <v>240.00000000000009</v>
      </c>
      <c r="J32" s="1">
        <f t="shared" si="4"/>
        <v>364.80000000000013</v>
      </c>
      <c r="K32" s="1">
        <f t="shared" si="4"/>
        <v>432.00000000000011</v>
      </c>
      <c r="L32" s="1">
        <f t="shared" si="4"/>
        <v>480.00000000000017</v>
      </c>
      <c r="M32" s="1">
        <f t="shared" si="4"/>
        <v>518.4000000000002</v>
      </c>
      <c r="N32" s="1">
        <f t="shared" ref="N32" si="7">$E21*$F21*$B32*N$30</f>
        <v>556.80000000000018</v>
      </c>
    </row>
    <row r="33" spans="1:14" x14ac:dyDescent="0.25">
      <c r="A33" s="3" t="s">
        <v>153</v>
      </c>
      <c r="B33" s="1">
        <v>20</v>
      </c>
      <c r="C33" s="1">
        <f t="shared" si="5"/>
        <v>51.20000000000001</v>
      </c>
      <c r="D33" s="1">
        <f t="shared" si="5"/>
        <v>102.40000000000002</v>
      </c>
      <c r="E33" s="1">
        <f t="shared" si="5"/>
        <v>204.80000000000004</v>
      </c>
      <c r="F33" s="1">
        <f t="shared" si="5"/>
        <v>409.60000000000008</v>
      </c>
      <c r="G33" s="1">
        <f t="shared" si="5"/>
        <v>819.20000000000016</v>
      </c>
      <c r="H33" s="1">
        <f t="shared" si="5"/>
        <v>1638.4000000000003</v>
      </c>
      <c r="I33" s="1">
        <f t="shared" ref="I33" si="8">$E22*$F22*$B33*I$30</f>
        <v>2560.0000000000005</v>
      </c>
      <c r="J33" s="1">
        <f t="shared" si="4"/>
        <v>3891.2000000000007</v>
      </c>
      <c r="K33" s="1">
        <f t="shared" si="4"/>
        <v>4608.0000000000009</v>
      </c>
      <c r="L33" s="1">
        <f t="shared" si="4"/>
        <v>5120.0000000000009</v>
      </c>
      <c r="M33" s="1">
        <f t="shared" si="4"/>
        <v>5529.6000000000013</v>
      </c>
      <c r="N33" s="1">
        <f t="shared" ref="N33" si="9">$E22*$F22*$B33*N$30</f>
        <v>5939.2000000000007</v>
      </c>
    </row>
    <row r="34" spans="1:14" x14ac:dyDescent="0.25">
      <c r="A34" s="3" t="s">
        <v>154</v>
      </c>
      <c r="B34" s="1">
        <v>20</v>
      </c>
      <c r="C34" s="1">
        <f t="shared" si="5"/>
        <v>25.600000000000005</v>
      </c>
      <c r="D34" s="1">
        <f t="shared" si="5"/>
        <v>51.20000000000001</v>
      </c>
      <c r="E34" s="1">
        <f t="shared" si="5"/>
        <v>102.40000000000002</v>
      </c>
      <c r="F34" s="1">
        <f t="shared" si="5"/>
        <v>204.80000000000004</v>
      </c>
      <c r="G34" s="1">
        <f t="shared" si="5"/>
        <v>409.60000000000008</v>
      </c>
      <c r="H34" s="1">
        <f t="shared" si="5"/>
        <v>819.20000000000016</v>
      </c>
      <c r="I34" s="1">
        <f t="shared" ref="I34" si="10">$E23*$F23*$B34*I$30</f>
        <v>1280.0000000000002</v>
      </c>
      <c r="J34" s="1">
        <f t="shared" si="4"/>
        <v>1945.6000000000004</v>
      </c>
      <c r="K34" s="1">
        <f t="shared" si="4"/>
        <v>2304.0000000000005</v>
      </c>
      <c r="L34" s="1">
        <f t="shared" si="4"/>
        <v>2560.0000000000005</v>
      </c>
      <c r="M34" s="1">
        <f t="shared" si="4"/>
        <v>2764.8000000000006</v>
      </c>
      <c r="N34" s="1">
        <f t="shared" ref="N34" si="11">$E23*$F23*$B34*N$30</f>
        <v>2969.6000000000004</v>
      </c>
    </row>
    <row r="35" spans="1:14" x14ac:dyDescent="0.25">
      <c r="A35" s="3" t="s">
        <v>162</v>
      </c>
      <c r="C35" s="7">
        <f>SUM(C31:C34)</f>
        <v>94.40000000000002</v>
      </c>
      <c r="D35" s="7">
        <f>SUM(D31:D34)</f>
        <v>188.80000000000004</v>
      </c>
      <c r="E35" s="7">
        <f t="shared" ref="E35:I35" si="12">SUM(E31:E34)</f>
        <v>377.60000000000008</v>
      </c>
      <c r="F35" s="7">
        <f t="shared" si="12"/>
        <v>755.20000000000016</v>
      </c>
      <c r="G35" s="7">
        <f t="shared" si="12"/>
        <v>1510.4000000000003</v>
      </c>
      <c r="H35" s="7">
        <f t="shared" si="12"/>
        <v>3020.8000000000006</v>
      </c>
      <c r="I35" s="7">
        <f t="shared" si="12"/>
        <v>4720.0000000000009</v>
      </c>
      <c r="J35" s="7">
        <f>SUM(J31:J34)</f>
        <v>7174.4000000000015</v>
      </c>
      <c r="K35" s="7">
        <f>SUM(K31:K34)</f>
        <v>8496.0000000000018</v>
      </c>
      <c r="L35" s="7">
        <f>SUM(L31:L34)</f>
        <v>9440.0000000000018</v>
      </c>
      <c r="M35" s="7">
        <f>SUM(M31:M34)</f>
        <v>10195.200000000003</v>
      </c>
      <c r="N35" s="7">
        <f>SUM(N31:N34)</f>
        <v>10950.400000000001</v>
      </c>
    </row>
    <row r="36" spans="1:14" x14ac:dyDescent="0.25">
      <c r="A36" s="3" t="s">
        <v>168</v>
      </c>
      <c r="C36" s="3">
        <f>C$30*($G$24)</f>
        <v>5.6000000000000014</v>
      </c>
      <c r="D36" s="3">
        <f t="shared" ref="D36:I36" si="13">D$30*($G$24)</f>
        <v>11.200000000000003</v>
      </c>
      <c r="E36" s="3">
        <f t="shared" si="13"/>
        <v>22.400000000000006</v>
      </c>
      <c r="F36" s="3">
        <f t="shared" si="13"/>
        <v>44.800000000000011</v>
      </c>
      <c r="G36" s="3">
        <f t="shared" si="13"/>
        <v>89.600000000000023</v>
      </c>
      <c r="H36" s="3">
        <f t="shared" si="13"/>
        <v>179.20000000000005</v>
      </c>
      <c r="I36" s="3">
        <f t="shared" si="13"/>
        <v>280.00000000000006</v>
      </c>
      <c r="J36" s="3">
        <f>J$30*($G$24)</f>
        <v>425.60000000000014</v>
      </c>
      <c r="K36" s="3">
        <f>K$30*($G$24)</f>
        <v>504.00000000000017</v>
      </c>
      <c r="L36" s="3">
        <f>L$30*($G$24)</f>
        <v>560.00000000000011</v>
      </c>
      <c r="M36" s="3">
        <f>M$30*($G$24)</f>
        <v>604.80000000000018</v>
      </c>
      <c r="N36" s="3">
        <f>N$30*($G$24)</f>
        <v>649.60000000000014</v>
      </c>
    </row>
    <row r="37" spans="1:14" x14ac:dyDescent="0.25">
      <c r="A37" s="3" t="s">
        <v>170</v>
      </c>
      <c r="C37">
        <f>C36/7</f>
        <v>0.80000000000000016</v>
      </c>
      <c r="D37">
        <f t="shared" ref="D37:I37" si="14">D36/7</f>
        <v>1.6000000000000003</v>
      </c>
      <c r="E37">
        <f t="shared" si="14"/>
        <v>3.2000000000000006</v>
      </c>
      <c r="F37">
        <f t="shared" si="14"/>
        <v>6.4000000000000012</v>
      </c>
      <c r="G37">
        <f t="shared" si="14"/>
        <v>12.800000000000002</v>
      </c>
      <c r="H37">
        <f t="shared" si="14"/>
        <v>25.600000000000005</v>
      </c>
      <c r="I37">
        <f t="shared" si="14"/>
        <v>40.000000000000007</v>
      </c>
      <c r="J37">
        <f>J36/7</f>
        <v>60.800000000000018</v>
      </c>
      <c r="K37">
        <f>K36/7</f>
        <v>72.000000000000028</v>
      </c>
      <c r="L37">
        <f>L36/7</f>
        <v>80.000000000000014</v>
      </c>
      <c r="M37">
        <f>M36/7</f>
        <v>86.40000000000002</v>
      </c>
      <c r="N37">
        <f>N36/7</f>
        <v>92.800000000000026</v>
      </c>
    </row>
    <row r="41" spans="1:14" x14ac:dyDescent="0.25">
      <c r="A41" s="3" t="s">
        <v>166</v>
      </c>
      <c r="C41" s="7">
        <f t="shared" ref="C41:M41" si="15">C35*50</f>
        <v>4720.0000000000009</v>
      </c>
      <c r="D41" s="7">
        <f t="shared" si="15"/>
        <v>9440.0000000000018</v>
      </c>
      <c r="E41" s="7">
        <f t="shared" si="15"/>
        <v>18880.000000000004</v>
      </c>
      <c r="F41" s="7">
        <f t="shared" si="15"/>
        <v>37760.000000000007</v>
      </c>
      <c r="G41" s="7">
        <f t="shared" si="15"/>
        <v>75520.000000000015</v>
      </c>
      <c r="H41" s="7">
        <f t="shared" si="15"/>
        <v>151040.00000000003</v>
      </c>
      <c r="I41" s="7">
        <f t="shared" si="15"/>
        <v>236000.00000000006</v>
      </c>
      <c r="J41" s="7">
        <f t="shared" si="15"/>
        <v>358720.00000000006</v>
      </c>
      <c r="K41" s="7">
        <f t="shared" si="15"/>
        <v>424800.00000000012</v>
      </c>
      <c r="L41" s="7">
        <f t="shared" si="15"/>
        <v>472000.00000000012</v>
      </c>
      <c r="M41" s="7">
        <f t="shared" si="15"/>
        <v>509760.00000000012</v>
      </c>
      <c r="N41" s="7">
        <f t="shared" ref="N41" si="16">N35*50</f>
        <v>547520.00000000012</v>
      </c>
    </row>
    <row r="42" spans="1:14" x14ac:dyDescent="0.25">
      <c r="A42" t="s">
        <v>164</v>
      </c>
      <c r="B42" s="1">
        <v>40</v>
      </c>
      <c r="C42" s="7">
        <f t="shared" ref="C42:N42" si="17">C$30*$B42*$A$25</f>
        <v>40</v>
      </c>
      <c r="D42" s="7">
        <f t="shared" si="17"/>
        <v>80</v>
      </c>
      <c r="E42" s="7">
        <f t="shared" si="17"/>
        <v>160</v>
      </c>
      <c r="F42" s="7">
        <f t="shared" si="17"/>
        <v>320</v>
      </c>
      <c r="G42" s="7">
        <f t="shared" si="17"/>
        <v>640</v>
      </c>
      <c r="H42" s="7">
        <f t="shared" si="17"/>
        <v>1280</v>
      </c>
      <c r="I42" s="7">
        <f t="shared" si="17"/>
        <v>2000</v>
      </c>
      <c r="J42" s="7">
        <f t="shared" si="17"/>
        <v>3040</v>
      </c>
      <c r="K42" s="7">
        <f t="shared" si="17"/>
        <v>3600</v>
      </c>
      <c r="L42" s="7">
        <f t="shared" si="17"/>
        <v>4000</v>
      </c>
      <c r="M42" s="7">
        <f t="shared" si="17"/>
        <v>4320</v>
      </c>
      <c r="N42" s="7">
        <f t="shared" si="17"/>
        <v>4640</v>
      </c>
    </row>
    <row r="43" spans="1:14" x14ac:dyDescent="0.25">
      <c r="A43" t="s">
        <v>165</v>
      </c>
      <c r="C43" s="7">
        <f>C42*12</f>
        <v>480</v>
      </c>
      <c r="D43" s="7">
        <f t="shared" ref="D43:I43" si="18">D42*12</f>
        <v>960</v>
      </c>
      <c r="E43" s="7">
        <f t="shared" si="18"/>
        <v>1920</v>
      </c>
      <c r="F43" s="7">
        <f t="shared" si="18"/>
        <v>3840</v>
      </c>
      <c r="G43" s="7">
        <f t="shared" si="18"/>
        <v>7680</v>
      </c>
      <c r="H43" s="7">
        <f t="shared" si="18"/>
        <v>15360</v>
      </c>
      <c r="I43" s="7">
        <f t="shared" si="18"/>
        <v>24000</v>
      </c>
      <c r="J43" s="7">
        <f>J42*12</f>
        <v>36480</v>
      </c>
      <c r="K43" s="7">
        <f>K42*12</f>
        <v>43200</v>
      </c>
      <c r="L43" s="7">
        <f>L42*12</f>
        <v>48000</v>
      </c>
      <c r="M43" s="7">
        <f>M42*12</f>
        <v>51840</v>
      </c>
      <c r="N43" s="7">
        <f>N42*12</f>
        <v>55680</v>
      </c>
    </row>
    <row r="45" spans="1:14" x14ac:dyDescent="0.25">
      <c r="A45" t="s">
        <v>167</v>
      </c>
      <c r="C45" s="7">
        <f t="shared" ref="C45:M45" si="19">C43+C41</f>
        <v>5200.0000000000009</v>
      </c>
      <c r="D45" s="7">
        <f t="shared" si="19"/>
        <v>10400.000000000002</v>
      </c>
      <c r="E45" s="7">
        <f t="shared" si="19"/>
        <v>20800.000000000004</v>
      </c>
      <c r="F45" s="7">
        <f t="shared" si="19"/>
        <v>41600.000000000007</v>
      </c>
      <c r="G45" s="7">
        <f t="shared" si="19"/>
        <v>83200.000000000015</v>
      </c>
      <c r="H45" s="7">
        <f t="shared" si="19"/>
        <v>166400.00000000003</v>
      </c>
      <c r="I45" s="7">
        <f t="shared" si="19"/>
        <v>260000.00000000006</v>
      </c>
      <c r="J45" s="7">
        <f t="shared" si="19"/>
        <v>395200.00000000006</v>
      </c>
      <c r="K45" s="7">
        <f t="shared" si="19"/>
        <v>468000.00000000012</v>
      </c>
      <c r="L45" s="7">
        <f t="shared" si="19"/>
        <v>520000.00000000012</v>
      </c>
      <c r="M45" s="7">
        <f t="shared" si="19"/>
        <v>561600.00000000012</v>
      </c>
      <c r="N45" s="7">
        <f t="shared" ref="N45" si="20">N43+N41</f>
        <v>603200.00000000012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J17"/>
  <sheetViews>
    <sheetView workbookViewId="0">
      <selection activeCell="A2" sqref="A2"/>
    </sheetView>
  </sheetViews>
  <sheetFormatPr defaultRowHeight="15" x14ac:dyDescent="0.25"/>
  <cols>
    <col min="1" max="1" width="47.5703125" bestFit="1" customWidth="1"/>
    <col min="2" max="2" width="15.140625" style="1" customWidth="1"/>
    <col min="3" max="3" width="14.7109375" style="1" bestFit="1" customWidth="1"/>
    <col min="4" max="4" width="15.28515625" style="1" bestFit="1" customWidth="1"/>
    <col min="5" max="5" width="18.7109375" style="1" bestFit="1" customWidth="1"/>
    <col min="6" max="6" width="14.42578125" style="1" bestFit="1" customWidth="1"/>
    <col min="8" max="8" width="14.42578125" customWidth="1"/>
  </cols>
  <sheetData>
    <row r="3" spans="1:10" x14ac:dyDescent="0.25">
      <c r="B3" s="1" t="s">
        <v>96</v>
      </c>
      <c r="C3" s="1" t="s">
        <v>94</v>
      </c>
      <c r="D3" s="1" t="s">
        <v>97</v>
      </c>
      <c r="E3" s="1" t="s">
        <v>124</v>
      </c>
      <c r="F3" s="1" t="s">
        <v>98</v>
      </c>
      <c r="J3" t="s">
        <v>122</v>
      </c>
    </row>
    <row r="4" spans="1:10" x14ac:dyDescent="0.25">
      <c r="A4" t="s">
        <v>91</v>
      </c>
      <c r="B4" s="1">
        <f>C4/7</f>
        <v>10.989010989010989</v>
      </c>
      <c r="C4" s="1">
        <f>F4/52</f>
        <v>76.92307692307692</v>
      </c>
      <c r="D4" s="1">
        <f>employees!B11</f>
        <v>2342.3076923076924</v>
      </c>
      <c r="E4" s="1">
        <f>D4*2</f>
        <v>4684.6153846153848</v>
      </c>
      <c r="F4" s="1">
        <v>4000</v>
      </c>
    </row>
    <row r="5" spans="1:10" x14ac:dyDescent="0.25">
      <c r="A5" t="s">
        <v>125</v>
      </c>
      <c r="B5" s="1">
        <f>C5/7</f>
        <v>334.61538461538464</v>
      </c>
      <c r="C5" s="1">
        <f>employees!B11</f>
        <v>2342.3076923076924</v>
      </c>
      <c r="D5" s="1">
        <f>employees!B12</f>
        <v>4684.6153846153848</v>
      </c>
      <c r="E5" s="1">
        <f>D5*2</f>
        <v>9369.2307692307695</v>
      </c>
      <c r="F5" s="1">
        <f>employees!B8</f>
        <v>121800</v>
      </c>
    </row>
    <row r="6" spans="1:10" x14ac:dyDescent="0.25">
      <c r="A6" t="s">
        <v>92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>C6*50</f>
        <v>2333.3333333333335</v>
      </c>
    </row>
    <row r="7" spans="1:10" x14ac:dyDescent="0.25">
      <c r="A7" t="s">
        <v>93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>C7*50</f>
        <v>4666.666666666667</v>
      </c>
    </row>
    <row r="8" spans="1:10" x14ac:dyDescent="0.25">
      <c r="A8" t="s">
        <v>120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>C8*50</f>
        <v>1166.6666666666667</v>
      </c>
    </row>
    <row r="9" spans="1:10" x14ac:dyDescent="0.25">
      <c r="A9" t="s">
        <v>119</v>
      </c>
      <c r="B9" s="1">
        <f>C9/7</f>
        <v>77.142857142857139</v>
      </c>
      <c r="C9" s="1">
        <f>food!C2</f>
        <v>540</v>
      </c>
      <c r="D9" s="1">
        <f>food!D2</f>
        <v>1080</v>
      </c>
      <c r="E9" s="1">
        <f>food!E2</f>
        <v>2160</v>
      </c>
      <c r="F9" s="1">
        <f>food!F2</f>
        <v>27000</v>
      </c>
    </row>
    <row r="10" spans="1:10" x14ac:dyDescent="0.25">
      <c r="A10" t="s">
        <v>123</v>
      </c>
      <c r="B10" s="1">
        <f>C10/7</f>
        <v>2.8571428571428572</v>
      </c>
      <c r="C10" s="1">
        <v>20</v>
      </c>
      <c r="D10" s="1">
        <f t="shared" ref="D10:E12" si="0">C10*2</f>
        <v>40</v>
      </c>
      <c r="E10" s="1">
        <f t="shared" si="0"/>
        <v>80</v>
      </c>
      <c r="F10" s="1">
        <f>C10*50</f>
        <v>1000</v>
      </c>
    </row>
    <row r="11" spans="1:10" x14ac:dyDescent="0.25">
      <c r="A11" t="s">
        <v>121</v>
      </c>
      <c r="B11" s="1">
        <f>C11/7</f>
        <v>5.4945054945054945</v>
      </c>
      <c r="C11" s="1">
        <f>F11/52</f>
        <v>38.46153846153846</v>
      </c>
      <c r="D11" s="1">
        <f t="shared" si="0"/>
        <v>76.92307692307692</v>
      </c>
      <c r="E11" s="1">
        <f t="shared" si="0"/>
        <v>153.84615384615384</v>
      </c>
      <c r="F11" s="1">
        <v>2000</v>
      </c>
    </row>
    <row r="12" spans="1:10" x14ac:dyDescent="0.25">
      <c r="A12" t="s">
        <v>213</v>
      </c>
      <c r="B12" s="1">
        <f>C12/7</f>
        <v>631.86813186813185</v>
      </c>
      <c r="C12" s="1">
        <f>F12/52</f>
        <v>4423.0769230769229</v>
      </c>
      <c r="D12" s="1">
        <f t="shared" si="0"/>
        <v>8846.1538461538457</v>
      </c>
      <c r="E12" s="1">
        <f t="shared" si="0"/>
        <v>17692.307692307691</v>
      </c>
      <c r="F12" s="1">
        <f>D16</f>
        <v>230000</v>
      </c>
      <c r="H12" t="s">
        <v>214</v>
      </c>
    </row>
    <row r="13" spans="1:10" x14ac:dyDescent="0.25">
      <c r="A13" t="s">
        <v>43</v>
      </c>
      <c r="B13" s="1">
        <f>SUM(B4:B12)</f>
        <v>1086.3003663003662</v>
      </c>
      <c r="C13" s="1">
        <f t="shared" ref="C13:F13" si="1">SUM(C4:C12)</f>
        <v>7604.1025641025644</v>
      </c>
      <c r="D13" s="1">
        <f t="shared" si="1"/>
        <v>17396.666666666664</v>
      </c>
      <c r="E13" s="1">
        <f t="shared" si="1"/>
        <v>34793.333333333328</v>
      </c>
      <c r="F13" s="1">
        <f t="shared" si="1"/>
        <v>393966.66666666663</v>
      </c>
      <c r="H13" s="6">
        <f>F12/12</f>
        <v>19166.666666666668</v>
      </c>
    </row>
    <row r="15" spans="1:10" x14ac:dyDescent="0.25">
      <c r="B15" s="1" t="s">
        <v>249</v>
      </c>
      <c r="C15" s="1" t="s">
        <v>250</v>
      </c>
      <c r="D15" s="1" t="s">
        <v>252</v>
      </c>
    </row>
    <row r="16" spans="1:10" x14ac:dyDescent="0.25">
      <c r="A16" t="s">
        <v>253</v>
      </c>
      <c r="B16" s="14">
        <v>17</v>
      </c>
      <c r="C16" s="14">
        <v>23</v>
      </c>
      <c r="D16" s="1">
        <f>B17*C16</f>
        <v>230000</v>
      </c>
    </row>
    <row r="17" spans="1:2" x14ac:dyDescent="0.25">
      <c r="A17" t="s">
        <v>251</v>
      </c>
      <c r="B17" s="1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/>
  </sheetViews>
  <sheetFormatPr defaultRowHeight="15" x14ac:dyDescent="0.25"/>
  <cols>
    <col min="1" max="1" width="56.28515625" customWidth="1"/>
    <col min="2" max="2" width="11.140625" bestFit="1" customWidth="1"/>
    <col min="3" max="3" width="12.5703125" bestFit="1" customWidth="1"/>
    <col min="4" max="4" width="10.5703125" bestFit="1" customWidth="1"/>
    <col min="5" max="5" width="10.85546875" bestFit="1" customWidth="1"/>
    <col min="6" max="6" width="11.5703125" bestFit="1" customWidth="1"/>
  </cols>
  <sheetData>
    <row r="1" spans="1:6" x14ac:dyDescent="0.25">
      <c r="B1" t="s">
        <v>34</v>
      </c>
      <c r="C1" t="s">
        <v>104</v>
      </c>
      <c r="D1" t="s">
        <v>105</v>
      </c>
      <c r="E1" t="s">
        <v>106</v>
      </c>
      <c r="F1" t="s">
        <v>107</v>
      </c>
    </row>
    <row r="2" spans="1:6" x14ac:dyDescent="0.25">
      <c r="A2" t="s">
        <v>103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25">
      <c r="A3" t="s">
        <v>99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25">
      <c r="A4" t="s">
        <v>100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25">
      <c r="A5" t="s">
        <v>101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25">
      <c r="A6" t="s">
        <v>102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25">
      <c r="A7" t="s">
        <v>118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25">
      <c r="A8" t="s">
        <v>43</v>
      </c>
      <c r="B8" s="9">
        <f>SUM(B3:B7)</f>
        <v>1</v>
      </c>
    </row>
    <row r="11" spans="1:6" x14ac:dyDescent="0.25">
      <c r="A11" t="s">
        <v>111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25">
      <c r="A12" t="s">
        <v>108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25">
      <c r="A14" t="s">
        <v>110</v>
      </c>
      <c r="B14">
        <v>4</v>
      </c>
    </row>
    <row r="15" spans="1:6" x14ac:dyDescent="0.25">
      <c r="A15" t="s">
        <v>113</v>
      </c>
      <c r="B15">
        <v>15</v>
      </c>
    </row>
    <row r="16" spans="1:6" x14ac:dyDescent="0.25">
      <c r="A16" t="s">
        <v>112</v>
      </c>
      <c r="B16" s="7">
        <f>B12*B15</f>
        <v>112.5</v>
      </c>
    </row>
    <row r="17" spans="1:2" x14ac:dyDescent="0.25">
      <c r="A17" t="s">
        <v>116</v>
      </c>
      <c r="B17" s="7">
        <f>B14*B16</f>
        <v>450</v>
      </c>
    </row>
    <row r="18" spans="1:2" x14ac:dyDescent="0.25">
      <c r="A18" t="s">
        <v>114</v>
      </c>
      <c r="B18" s="9">
        <v>0.2</v>
      </c>
    </row>
    <row r="19" spans="1:2" x14ac:dyDescent="0.25">
      <c r="A19" t="s">
        <v>117</v>
      </c>
      <c r="B19" s="7">
        <f>B17*(B18+1)</f>
        <v>540</v>
      </c>
    </row>
    <row r="20" spans="1:2" x14ac:dyDescent="0.25">
      <c r="B20" s="7"/>
    </row>
    <row r="21" spans="1:2" x14ac:dyDescent="0.25">
      <c r="B21" s="7"/>
    </row>
    <row r="22" spans="1:2" x14ac:dyDescent="0.25">
      <c r="A22" t="s">
        <v>115</v>
      </c>
      <c r="B2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D13"/>
  <sheetViews>
    <sheetView workbookViewId="0"/>
  </sheetViews>
  <sheetFormatPr defaultRowHeight="15" x14ac:dyDescent="0.25"/>
  <cols>
    <col min="1" max="1" width="33.28515625" bestFit="1" customWidth="1"/>
    <col min="2" max="2" width="12.5703125" style="1" bestFit="1" customWidth="1"/>
    <col min="3" max="3" width="27" bestFit="1" customWidth="1"/>
  </cols>
  <sheetData>
    <row r="1" spans="1:4" x14ac:dyDescent="0.25">
      <c r="B1" s="1" t="s">
        <v>38</v>
      </c>
    </row>
    <row r="2" spans="1:4" x14ac:dyDescent="0.25">
      <c r="C2" t="s">
        <v>256</v>
      </c>
      <c r="D2" t="s">
        <v>257</v>
      </c>
    </row>
    <row r="3" spans="1:4" x14ac:dyDescent="0.25">
      <c r="A3" t="s">
        <v>216</v>
      </c>
      <c r="B3" s="1">
        <v>50000</v>
      </c>
    </row>
    <row r="4" spans="1:4" x14ac:dyDescent="0.25">
      <c r="A4" t="s">
        <v>90</v>
      </c>
      <c r="B4" s="1">
        <v>45000</v>
      </c>
    </row>
    <row r="5" spans="1:4" x14ac:dyDescent="0.25">
      <c r="A5" t="s">
        <v>240</v>
      </c>
      <c r="B5" s="1">
        <v>25000</v>
      </c>
    </row>
    <row r="6" spans="1:4" x14ac:dyDescent="0.25">
      <c r="A6" t="s">
        <v>255</v>
      </c>
      <c r="B6" s="1">
        <f>C6*D6</f>
        <v>1800</v>
      </c>
      <c r="C6">
        <v>3</v>
      </c>
      <c r="D6">
        <v>600</v>
      </c>
    </row>
    <row r="8" spans="1:4" x14ac:dyDescent="0.25">
      <c r="A8" t="s">
        <v>43</v>
      </c>
      <c r="B8" s="1">
        <f>SUM(B2:B6)</f>
        <v>121800</v>
      </c>
    </row>
    <row r="11" spans="1:4" x14ac:dyDescent="0.25">
      <c r="A11" t="s">
        <v>94</v>
      </c>
      <c r="B11" s="1">
        <f>B8/52</f>
        <v>2342.3076923076924</v>
      </c>
    </row>
    <row r="12" spans="1:4" x14ac:dyDescent="0.25">
      <c r="A12" t="s">
        <v>95</v>
      </c>
      <c r="B12" s="1">
        <f>B8/26</f>
        <v>4684.6153846153848</v>
      </c>
    </row>
    <row r="13" spans="1:4" x14ac:dyDescent="0.25">
      <c r="A13" t="s">
        <v>106</v>
      </c>
      <c r="B13" s="1">
        <f>B12*2</f>
        <v>9369.2307692307695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A9" sqref="A9"/>
    </sheetView>
  </sheetViews>
  <sheetFormatPr defaultRowHeight="15" x14ac:dyDescent="0.25"/>
  <cols>
    <col min="1" max="1" width="49.7109375" bestFit="1" customWidth="1"/>
    <col min="2" max="2" width="15" style="1" bestFit="1" customWidth="1"/>
    <col min="3" max="3" width="15.28515625" customWidth="1"/>
    <col min="4" max="4" width="11.28515625" bestFit="1" customWidth="1"/>
  </cols>
  <sheetData>
    <row r="1" spans="1:4" x14ac:dyDescent="0.25">
      <c r="B1" s="1" t="s">
        <v>40</v>
      </c>
      <c r="C1" t="s">
        <v>37</v>
      </c>
      <c r="D1" t="s">
        <v>39</v>
      </c>
    </row>
    <row r="2" spans="1:4" x14ac:dyDescent="0.25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25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25">
      <c r="A4" t="s">
        <v>221</v>
      </c>
      <c r="B4" s="1">
        <v>100</v>
      </c>
      <c r="C4">
        <f>C3</f>
        <v>12</v>
      </c>
      <c r="D4" s="7">
        <f>B4*C4</f>
        <v>1200</v>
      </c>
    </row>
    <row r="5" spans="1:4" x14ac:dyDescent="0.25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25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25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25">
      <c r="A8" t="s">
        <v>220</v>
      </c>
      <c r="B8" s="1">
        <v>300</v>
      </c>
      <c r="C8">
        <v>1</v>
      </c>
      <c r="D8" s="7">
        <f t="shared" si="0"/>
        <v>300</v>
      </c>
    </row>
    <row r="12" spans="1:4" x14ac:dyDescent="0.25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workbookViewId="0">
      <selection activeCell="A8" sqref="A8"/>
    </sheetView>
  </sheetViews>
  <sheetFormatPr defaultRowHeight="15" x14ac:dyDescent="0.25"/>
  <cols>
    <col min="1" max="1" width="33.7109375" bestFit="1" customWidth="1"/>
    <col min="2" max="2" width="8.85546875" style="1"/>
    <col min="3" max="3" width="10.7109375" bestFit="1" customWidth="1"/>
    <col min="4" max="4" width="11.28515625" bestFit="1" customWidth="1"/>
  </cols>
  <sheetData>
    <row r="1" spans="1:7" x14ac:dyDescent="0.25">
      <c r="G1" t="s">
        <v>46</v>
      </c>
    </row>
    <row r="2" spans="1:7" x14ac:dyDescent="0.25">
      <c r="B2" s="1" t="s">
        <v>38</v>
      </c>
      <c r="C2" t="s">
        <v>45</v>
      </c>
      <c r="G2" t="s">
        <v>47</v>
      </c>
    </row>
    <row r="3" spans="1:7" x14ac:dyDescent="0.25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25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25">
      <c r="A5" t="s">
        <v>79</v>
      </c>
      <c r="D5" s="1">
        <v>5000</v>
      </c>
    </row>
    <row r="6" spans="1:7" x14ac:dyDescent="0.25">
      <c r="A6" t="s">
        <v>224</v>
      </c>
      <c r="D6" s="1">
        <v>3000</v>
      </c>
    </row>
    <row r="8" spans="1:7" x14ac:dyDescent="0.25">
      <c r="A8" t="s">
        <v>225</v>
      </c>
      <c r="D8" s="7">
        <f>D3+D6</f>
        <v>16500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Gaming</vt:lpstr>
      <vt:lpstr>Dance_Studio</vt:lpstr>
      <vt:lpstr>Kitchen</vt:lpstr>
      <vt:lpstr>Liabilities</vt:lpstr>
      <vt:lpstr>Eating Area</vt:lpstr>
      <vt:lpstr>decor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Thomas Francis</cp:lastModifiedBy>
  <dcterms:created xsi:type="dcterms:W3CDTF">2020-06-03T22:48:35Z</dcterms:created>
  <dcterms:modified xsi:type="dcterms:W3CDTF">2020-07-02T14:11:34Z</dcterms:modified>
</cp:coreProperties>
</file>