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1428" documentId="8_{6C3C763F-D9E1-4E6D-8C86-4D28C6C6C4A6}" xr6:coauthVersionLast="44" xr6:coauthVersionMax="45" xr10:uidLastSave="{05A4C228-D2E3-4A20-BCAD-35551C7CA63E}"/>
  <bookViews>
    <workbookView xWindow="-108" yWindow="-108" windowWidth="23256" windowHeight="12576" activeTab="1" xr2:uid="{7EC05EA9-5315-43E9-8396-FB9501FE745C}"/>
  </bookViews>
  <sheets>
    <sheet name="Comprehensive" sheetId="3" r:id="rId1"/>
    <sheet name="Net_And_Analysis" sheetId="18" r:id="rId2"/>
    <sheet name="Gross" sheetId="16" r:id="rId3"/>
    <sheet name="Overhead" sheetId="2" r:id="rId4"/>
    <sheet name="Operating_Costs" sheetId="4" r:id="rId5"/>
    <sheet name="food" sheetId="15" r:id="rId6"/>
    <sheet name="employees" sheetId="10" r:id="rId7"/>
    <sheet name="Gaming" sheetId="7" r:id="rId8"/>
    <sheet name="Dance_Studio" sheetId="8" r:id="rId9"/>
    <sheet name="Kitchen" sheetId="9" r:id="rId10"/>
    <sheet name="Liabilities" sheetId="12" r:id="rId11"/>
    <sheet name="Eating Area" sheetId="13" r:id="rId12"/>
    <sheet name="decor" sheetId="11" r:id="rId13"/>
    <sheet name="Initial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8" l="1"/>
  <c r="E28" i="16"/>
  <c r="E27" i="16"/>
  <c r="B26" i="18"/>
  <c r="B24" i="18"/>
  <c r="B13" i="18"/>
  <c r="B12" i="18"/>
  <c r="I6" i="18"/>
  <c r="I5" i="18"/>
  <c r="J5" i="18"/>
  <c r="K5" i="18"/>
  <c r="L5" i="18"/>
  <c r="H5" i="18"/>
  <c r="I31" i="16"/>
  <c r="I32" i="16"/>
  <c r="I33" i="16"/>
  <c r="I34" i="16"/>
  <c r="I36" i="16"/>
  <c r="I37" i="16" s="1"/>
  <c r="I42" i="16"/>
  <c r="I43" i="16" s="1"/>
  <c r="B8" i="18"/>
  <c r="C5" i="18"/>
  <c r="D5" i="18"/>
  <c r="E5" i="18"/>
  <c r="F5" i="18"/>
  <c r="G5" i="18"/>
  <c r="B5" i="18"/>
  <c r="K42" i="16"/>
  <c r="K43" i="16" s="1"/>
  <c r="M42" i="16"/>
  <c r="M43" i="16" s="1"/>
  <c r="B17" i="18" l="1"/>
  <c r="C17" i="18" s="1"/>
  <c r="B18" i="18"/>
  <c r="I35" i="16"/>
  <c r="I41" i="16" s="1"/>
  <c r="I45" i="16" s="1"/>
  <c r="H6" i="18" s="1"/>
  <c r="H10" i="18" s="1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F3" i="13"/>
  <c r="B3" i="13"/>
  <c r="D3" i="13"/>
  <c r="D5" i="13"/>
  <c r="D6" i="13"/>
  <c r="D4" i="13"/>
  <c r="C14" i="2"/>
  <c r="D14" i="2"/>
  <c r="E14" i="2"/>
  <c r="F14" i="2"/>
  <c r="G14" i="2"/>
  <c r="B14" i="2"/>
  <c r="B12" i="2"/>
  <c r="C12" i="4"/>
  <c r="D12" i="4"/>
  <c r="E12" i="4"/>
  <c r="B12" i="4"/>
  <c r="B11" i="4"/>
  <c r="D11" i="4"/>
  <c r="E11" i="4"/>
  <c r="C11" i="4"/>
  <c r="B9" i="4"/>
  <c r="E9" i="4"/>
  <c r="D9" i="4"/>
  <c r="B4" i="4"/>
  <c r="D4" i="4"/>
  <c r="E4" i="4"/>
  <c r="C4" i="4"/>
  <c r="B5" i="4"/>
  <c r="E5" i="4"/>
  <c r="D5" i="4"/>
  <c r="C5" i="4"/>
  <c r="E6" i="4"/>
  <c r="F6" i="4"/>
  <c r="C6" i="4"/>
  <c r="D6" i="4"/>
  <c r="B6" i="4"/>
  <c r="F7" i="4"/>
  <c r="E7" i="4"/>
  <c r="D7" i="4"/>
  <c r="C7" i="4"/>
  <c r="B7" i="4"/>
  <c r="F8" i="4"/>
  <c r="F12" i="4" s="1"/>
  <c r="E8" i="4"/>
  <c r="D8" i="4"/>
  <c r="C8" i="4"/>
  <c r="B8" i="4"/>
  <c r="C9" i="4"/>
  <c r="B10" i="4"/>
  <c r="F10" i="4"/>
  <c r="E10" i="4"/>
  <c r="D10" i="4"/>
  <c r="F9" i="4"/>
  <c r="C7" i="15"/>
  <c r="D7" i="15" s="1"/>
  <c r="E7" i="15" s="1"/>
  <c r="B8" i="15"/>
  <c r="B17" i="15"/>
  <c r="B19" i="15" s="1"/>
  <c r="C2" i="15" s="1"/>
  <c r="B16" i="15"/>
  <c r="D12" i="15"/>
  <c r="E12" i="15"/>
  <c r="F12" i="15"/>
  <c r="C12" i="15"/>
  <c r="B10" i="10"/>
  <c r="B9" i="10"/>
  <c r="B6" i="10"/>
  <c r="M31" i="16" l="1"/>
  <c r="K31" i="16"/>
  <c r="M34" i="16"/>
  <c r="K34" i="16"/>
  <c r="M32" i="16"/>
  <c r="K32" i="16"/>
  <c r="M33" i="16"/>
  <c r="M35" i="16" s="1"/>
  <c r="M41" i="16" s="1"/>
  <c r="M45" i="16" s="1"/>
  <c r="L6" i="18" s="1"/>
  <c r="L10" i="18" s="1"/>
  <c r="K33" i="16"/>
  <c r="K35" i="16" s="1"/>
  <c r="K41" i="16" s="1"/>
  <c r="K45" i="16" s="1"/>
  <c r="D33" i="16"/>
  <c r="G22" i="16"/>
  <c r="G32" i="16"/>
  <c r="G21" i="16"/>
  <c r="F31" i="16"/>
  <c r="G20" i="16"/>
  <c r="E34" i="16"/>
  <c r="G23" i="16"/>
  <c r="L32" i="16"/>
  <c r="C33" i="16"/>
  <c r="J31" i="16"/>
  <c r="F32" i="16"/>
  <c r="G33" i="16"/>
  <c r="E31" i="16"/>
  <c r="D34" i="16"/>
  <c r="E24" i="16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F7" i="15"/>
  <c r="C3" i="15"/>
  <c r="F3" i="15" s="1"/>
  <c r="F2" i="15"/>
  <c r="D2" i="15"/>
  <c r="E2" i="15" s="1"/>
  <c r="C4" i="15"/>
  <c r="D4" i="15" s="1"/>
  <c r="E4" i="15" s="1"/>
  <c r="D3" i="15"/>
  <c r="E3" i="15" s="1"/>
  <c r="F4" i="15"/>
  <c r="F4" i="13"/>
  <c r="F5" i="13"/>
  <c r="F6" i="13"/>
  <c r="K7" i="11"/>
  <c r="B7" i="2" s="1"/>
  <c r="B6" i="2"/>
  <c r="B4" i="2"/>
  <c r="B7" i="12"/>
  <c r="K2" i="11"/>
  <c r="J2" i="11"/>
  <c r="D2" i="11"/>
  <c r="C2" i="11" s="1"/>
  <c r="I10" i="18" l="1"/>
  <c r="J6" i="18"/>
  <c r="G24" i="16"/>
  <c r="D35" i="16"/>
  <c r="D41" i="16" s="1"/>
  <c r="D45" i="16" s="1"/>
  <c r="C6" i="18" s="1"/>
  <c r="C10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B28" i="18" s="1"/>
  <c r="B29" i="18" s="1"/>
  <c r="G36" i="16"/>
  <c r="G37" i="16" s="1"/>
  <c r="C36" i="16"/>
  <c r="C37" i="16" s="1"/>
  <c r="C35" i="16"/>
  <c r="C41" i="16" s="1"/>
  <c r="C45" i="16" s="1"/>
  <c r="B6" i="18" s="1"/>
  <c r="B10" i="18" s="1"/>
  <c r="J35" i="16"/>
  <c r="J41" i="16" s="1"/>
  <c r="J45" i="16" s="1"/>
  <c r="H35" i="16"/>
  <c r="H41" i="16" s="1"/>
  <c r="H45" i="16" s="1"/>
  <c r="G6" i="18" s="1"/>
  <c r="G10" i="18" s="1"/>
  <c r="L35" i="16"/>
  <c r="L41" i="16" s="1"/>
  <c r="L45" i="16" s="1"/>
  <c r="E35" i="16"/>
  <c r="E41" i="16" s="1"/>
  <c r="E45" i="16" s="1"/>
  <c r="D6" i="18" s="1"/>
  <c r="D10" i="18" s="1"/>
  <c r="G35" i="16"/>
  <c r="G41" i="16" s="1"/>
  <c r="G45" i="16" s="1"/>
  <c r="F6" i="18" s="1"/>
  <c r="F10" i="18" s="1"/>
  <c r="F35" i="16"/>
  <c r="F41" i="16" s="1"/>
  <c r="F45" i="16" s="1"/>
  <c r="E6" i="18" s="1"/>
  <c r="E10" i="18" s="1"/>
  <c r="F10" i="13"/>
  <c r="B8" i="2" s="1"/>
  <c r="B11" i="2" s="1"/>
  <c r="E15" i="2" s="1"/>
  <c r="C5" i="15"/>
  <c r="F5" i="15" s="1"/>
  <c r="D5" i="15"/>
  <c r="E5" i="15" s="1"/>
  <c r="F2" i="11"/>
  <c r="G14" i="9"/>
  <c r="G13" i="9"/>
  <c r="G12" i="9"/>
  <c r="G11" i="9"/>
  <c r="G10" i="9"/>
  <c r="G8" i="9"/>
  <c r="D2" i="9"/>
  <c r="G2" i="9" s="1"/>
  <c r="C9" i="9"/>
  <c r="G9" i="9" s="1"/>
  <c r="C7" i="9"/>
  <c r="G7" i="9" s="1"/>
  <c r="C4" i="9"/>
  <c r="G4" i="9" s="1"/>
  <c r="C5" i="9"/>
  <c r="G5" i="9" s="1"/>
  <c r="C6" i="9"/>
  <c r="G6" i="9" s="1"/>
  <c r="C3" i="9"/>
  <c r="G3" i="9" s="1"/>
  <c r="D8" i="7"/>
  <c r="D4" i="8"/>
  <c r="D3" i="8"/>
  <c r="D6" i="7"/>
  <c r="D7" i="7"/>
  <c r="D3" i="7"/>
  <c r="D4" i="7"/>
  <c r="D2" i="7"/>
  <c r="C5" i="7"/>
  <c r="D5" i="7" s="1"/>
  <c r="J10" i="18" l="1"/>
  <c r="K6" i="18"/>
  <c r="K10" i="18" s="1"/>
  <c r="M36" i="16"/>
  <c r="M37" i="16" s="1"/>
  <c r="K36" i="16"/>
  <c r="K37" i="16" s="1"/>
  <c r="C15" i="2"/>
  <c r="D15" i="2"/>
  <c r="G15" i="2"/>
  <c r="F15" i="2"/>
  <c r="B15" i="2"/>
  <c r="C6" i="15"/>
  <c r="D6" i="15" s="1"/>
  <c r="E6" i="15" s="1"/>
  <c r="F6" i="15"/>
  <c r="D11" i="7"/>
  <c r="B3" i="2" s="1"/>
  <c r="G17" i="9"/>
  <c r="B5" i="2" s="1"/>
  <c r="B27" i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<sst xmlns="http://schemas.openxmlformats.org/spreadsheetml/2006/main" count="231" uniqueCount="204">
  <si>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</si>
  <si>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</si>
  <si>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</si>
  <si>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</si>
  <si>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</si>
  <si>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</si>
  <si>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</si>
  <si>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</si>
  <si>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</si>
  <si>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</si>
  <si>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</si>
  <si>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</si>
  <si>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</si>
  <si>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</si>
  <si>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</si>
  <si>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</si>
  <si>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</si>
  <si>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</si>
  <si>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</si>
  <si>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</si>
  <si>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</si>
  <si>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</si>
  <si>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</si>
  <si>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</si>
  <si>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</si>
  <si>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</si>
  <si>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</si>
  <si>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</si>
  <si>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</si>
  <si>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</si>
  <si>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</si>
  <si>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</si>
  <si>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</si>
  <si>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</si>
  <si>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</si>
  <si>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</si>
  <si>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four chairs, hard dining chairs, emphasis on cleanability</t>
  </si>
  <si>
    <t>long table, fits three PCs, 3x8 ft^2 design</t>
  </si>
  <si>
    <t>Number needed</t>
  </si>
  <si>
    <t>Costs</t>
  </si>
  <si>
    <t>Total Costs</t>
  </si>
  <si>
    <t>Costs Estimate</t>
  </si>
  <si>
    <t>Custom Wooden Panel cover decorations per table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</si>
  <si>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</si>
  <si>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</si>
  <si>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</si>
  <si>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</si>
  <si>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</si>
  <si>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</si>
  <si>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</si>
  <si>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</si>
  <si>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</si>
  <si>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no mirror for now because it would a pose a risk if converted to a nightclub</t>
  </si>
  <si>
    <t>Wifi</t>
  </si>
  <si>
    <t>laminate countertops per square foot</t>
  </si>
  <si>
    <t>Electrical outlets</t>
  </si>
  <si>
    <t>sink installation and plumbing</t>
  </si>
  <si>
    <t>hot plates</t>
  </si>
  <si>
    <t>mini oven</t>
  </si>
  <si>
    <t>airflow modifications</t>
  </si>
  <si>
    <t>premium refrigerator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</si>
  <si>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</si>
  <si>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</si>
  <si>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</si>
  <si>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</si>
  <si>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</si>
  <si>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</si>
  <si>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</si>
  <si>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</si>
  <si>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</si>
  <si>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</si>
  <si>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</si>
  <si>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</si>
  <si>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</si>
  <si>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</si>
  <si>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</si>
  <si>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</si>
  <si>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</si>
  <si>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</si>
  <si>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</si>
  <si>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</si>
  <si>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</si>
  <si>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</si>
  <si>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</si>
  <si>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gaming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</si>
  <si>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</si>
  <si>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</si>
  <si>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</si>
  <si>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</si>
  <si>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</si>
  <si>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</si>
  <si>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</si>
  <si>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</si>
  <si>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</si>
  <si>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</si>
  <si>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</si>
  <si>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</si>
  <si>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</si>
  <si>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</si>
  <si>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Cooking Instructor</t>
  </si>
  <si>
    <t>Cooking Assistant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</si>
  <si>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</si>
  <si>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</si>
  <si>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</si>
  <si>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</si>
  <si>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</si>
  <si>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</si>
  <si>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</si>
  <si>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</si>
  <si>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</si>
  <si>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</si>
  <si>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</si>
  <si>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</si>
  <si>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</si>
  <si>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</si>
  <si>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</si>
  <si>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</si>
  <si>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</si>
  <si>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</si>
  <si>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</si>
  <si>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</si>
  <si>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</si>
  <si>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</si>
  <si>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</si>
  <si>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</si>
  <si>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</si>
  <si>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</si>
  <si>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</si>
  <si>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</si>
  <si>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</si>
  <si>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</si>
  <si>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</si>
  <si>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</si>
  <si>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</si>
  <si>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</si>
  <si>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</si>
  <si>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</si>
  <si>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</si>
  <si>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</si>
  <si>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</si>
  <si>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</si>
  <si>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</si>
  <si>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Training employees</t>
  </si>
  <si>
    <t>Month 2</t>
  </si>
  <si>
    <t>Grand opening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</si>
  <si>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</si>
  <si>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</si>
  <si>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</si>
  <si>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</si>
  <si>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</si>
  <si>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</si>
  <si>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</si>
  <si>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</si>
  <si>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</si>
  <si>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</si>
  <si>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</si>
  <si>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</si>
  <si>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</si>
  <si>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</si>
  <si>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</si>
  <si>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</si>
  <si>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</si>
  <si>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</si>
  <si>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</si>
  <si>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</si>
  <si>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</si>
  <si>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</si>
  <si>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</si>
  <si>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</si>
  <si>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</si>
  <si>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</si>
  <si>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</si>
  <si>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</si>
  <si>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</si>
  <si>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</si>
  <si>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</si>
  <si>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Fraction sub-sub-communities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</si>
  <si>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</si>
  <si>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</si>
  <si>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</si>
  <si>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</si>
  <si>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</si>
  <si>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</si>
  <si>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</si>
  <si>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</si>
  <si>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</si>
  <si>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</si>
  <si>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</si>
  <si>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</si>
  <si>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</si>
  <si>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</si>
  <si>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</si>
  <si>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</si>
  <si>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</si>
  <si>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</si>
  <si>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</si>
  <si>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</si>
  <si>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Breakeven Point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</si>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</sst>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0" fillId="0" borderId="0" xfId="2" applyNumberFormat="1" applyFont="1" applyAlignment="1">
      <alignment horizontal="center"/>
    </xf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7"/>
  <sheetViews>
    <sheetView workbookViewId="0">
      <selection activeCell="A17" sqref="A17"/>
    </sheetView>
  </sheetViews>
  <sheetFormatPr defaultRowHeight="14.4" x14ac:dyDescent="0.3"/>
  <cols>
    <col min="1" max="1" width="32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17.33203125" bestFit="1" customWidth="1"/>
    <col min="7" max="7" width="11.5546875" bestFit="1" customWidth="1"/>
  </cols>
  <sheetData>
    <row r="1" spans="1:7" x14ac:dyDescent="0.3">
      <c r="B1" s="1" t="s">
        <v>39</v>
      </c>
      <c r="C1" t="s">
        <v>64</v>
      </c>
      <c r="D1" t="s">
        <v>65</v>
      </c>
      <c r="E1" t="s">
        <v>67</v>
      </c>
      <c r="F1" t="s">
        <v>63</v>
      </c>
      <c r="G1" t="s">
        <v>66</v>
      </c>
    </row>
    <row r="2" spans="1:7" x14ac:dyDescent="0.3">
      <c r="A2" t="s">
        <v>54</v>
      </c>
      <c r="B2" s="1">
        <v>35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3825</v>
      </c>
    </row>
    <row r="3" spans="1:7" x14ac:dyDescent="0.3">
      <c r="A3" t="s">
        <v>68</v>
      </c>
      <c r="B3" s="1">
        <v>300</v>
      </c>
      <c r="C3">
        <f>$F$2</f>
        <v>3</v>
      </c>
      <c r="G3" s="7">
        <f>B3*C3</f>
        <v>900</v>
      </c>
    </row>
    <row r="4" spans="1:7" x14ac:dyDescent="0.3">
      <c r="A4" t="s">
        <v>55</v>
      </c>
      <c r="B4" s="1">
        <v>50</v>
      </c>
      <c r="C4">
        <f>$F$2</f>
        <v>3</v>
      </c>
      <c r="G4" s="7">
        <f t="shared" ref="G4:G14" si="0">B4*C4</f>
        <v>150</v>
      </c>
    </row>
    <row r="5" spans="1:7" x14ac:dyDescent="0.3">
      <c r="A5" t="s">
        <v>56</v>
      </c>
      <c r="B5" s="1">
        <v>500</v>
      </c>
      <c r="C5">
        <f>$F$2</f>
        <v>3</v>
      </c>
      <c r="G5" s="7">
        <f t="shared" si="0"/>
        <v>1500</v>
      </c>
    </row>
    <row r="6" spans="1:7" x14ac:dyDescent="0.3">
      <c r="A6" t="s">
        <v>57</v>
      </c>
      <c r="B6" s="1">
        <v>100</v>
      </c>
      <c r="C6">
        <f>$F$2</f>
        <v>3</v>
      </c>
      <c r="G6" s="7">
        <f t="shared" si="0"/>
        <v>300</v>
      </c>
    </row>
    <row r="7" spans="1:7" x14ac:dyDescent="0.3">
      <c r="A7" t="s">
        <v>58</v>
      </c>
      <c r="B7" s="1">
        <v>200</v>
      </c>
      <c r="C7">
        <f>$F$2</f>
        <v>3</v>
      </c>
      <c r="G7" s="7">
        <f t="shared" si="0"/>
        <v>600</v>
      </c>
    </row>
    <row r="8" spans="1:7" x14ac:dyDescent="0.3">
      <c r="A8" t="s">
        <v>59</v>
      </c>
      <c r="B8" s="1">
        <v>300</v>
      </c>
      <c r="C8">
        <v>1</v>
      </c>
      <c r="G8" s="7">
        <f t="shared" si="0"/>
        <v>300</v>
      </c>
    </row>
    <row r="9" spans="1:7" x14ac:dyDescent="0.3">
      <c r="A9" t="s">
        <v>60</v>
      </c>
      <c r="B9" s="1">
        <v>900</v>
      </c>
      <c r="C9">
        <f>$F$2</f>
        <v>3</v>
      </c>
      <c r="G9" s="7">
        <f t="shared" si="0"/>
        <v>2700</v>
      </c>
    </row>
    <row r="10" spans="1:7" x14ac:dyDescent="0.3">
      <c r="A10" t="s">
        <v>61</v>
      </c>
      <c r="B10" s="1">
        <v>1000</v>
      </c>
      <c r="C10">
        <v>1</v>
      </c>
      <c r="G10" s="7">
        <f t="shared" si="0"/>
        <v>1000</v>
      </c>
    </row>
    <row r="11" spans="1:7" x14ac:dyDescent="0.3">
      <c r="A11" t="s">
        <v>62</v>
      </c>
      <c r="B11" s="1">
        <v>0</v>
      </c>
      <c r="C11">
        <v>1</v>
      </c>
      <c r="G11" s="7">
        <f t="shared" si="0"/>
        <v>0</v>
      </c>
    </row>
    <row r="12" spans="1:7" x14ac:dyDescent="0.3">
      <c r="A12" t="s">
        <v>69</v>
      </c>
      <c r="B12" s="1">
        <v>100</v>
      </c>
      <c r="C12">
        <v>6</v>
      </c>
      <c r="G12" s="7">
        <f t="shared" si="0"/>
        <v>600</v>
      </c>
    </row>
    <row r="13" spans="1:7" x14ac:dyDescent="0.3">
      <c r="A13" t="s">
        <v>71</v>
      </c>
      <c r="B13" s="1">
        <v>250</v>
      </c>
      <c r="C13">
        <v>3</v>
      </c>
      <c r="G13" s="7">
        <f t="shared" si="0"/>
        <v>750</v>
      </c>
    </row>
    <row r="14" spans="1:7" x14ac:dyDescent="0.3">
      <c r="A14" t="s">
        <v>72</v>
      </c>
      <c r="B14" s="1">
        <v>80</v>
      </c>
      <c r="C14">
        <v>3</v>
      </c>
      <c r="G14" s="7">
        <f t="shared" si="0"/>
        <v>240</v>
      </c>
    </row>
    <row r="17" spans="1:7" x14ac:dyDescent="0.3">
      <c r="A17" t="s">
        <v>45</v>
      </c>
      <c r="G17" s="7">
        <f>SUM(G2:G14)</f>
        <v>12865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66</v>
      </c>
    </row>
    <row r="2" spans="1:2" x14ac:dyDescent="0.3">
      <c r="A2" t="s">
        <v>74</v>
      </c>
      <c r="B2" s="1">
        <v>100</v>
      </c>
    </row>
    <row r="3" spans="1:2" x14ac:dyDescent="0.3">
      <c r="A3" t="s">
        <v>73</v>
      </c>
      <c r="B3" s="1">
        <v>50</v>
      </c>
    </row>
    <row r="7" spans="1:2" x14ac:dyDescent="0.3">
      <c r="A7" t="s">
        <v>45</v>
      </c>
      <c r="B7" s="7">
        <f>B2+B3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21875" bestFit="1" customWidth="1"/>
    <col min="6" max="6" width="10.5546875" style="1" bestFit="1" customWidth="1"/>
  </cols>
  <sheetData>
    <row r="2" spans="1:6" x14ac:dyDescent="0.3">
      <c r="B2" t="s">
        <v>96</v>
      </c>
      <c r="C2" t="s">
        <v>97</v>
      </c>
      <c r="D2" t="s">
        <v>149</v>
      </c>
      <c r="E2" t="s">
        <v>66</v>
      </c>
      <c r="F2" s="1" t="s">
        <v>45</v>
      </c>
    </row>
    <row r="3" spans="1:6" x14ac:dyDescent="0.3">
      <c r="A3" t="s">
        <v>92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93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94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95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45</v>
      </c>
      <c r="F10" s="1">
        <f>SUM(F3:F6)</f>
        <v>3200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66</v>
      </c>
      <c r="C1" t="s">
        <v>77</v>
      </c>
      <c r="D1" t="s">
        <v>78</v>
      </c>
      <c r="E1" t="s">
        <v>75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s="1" t="s">
        <v>45</v>
      </c>
    </row>
    <row r="2" spans="1:11" x14ac:dyDescent="0.3">
      <c r="A2" t="s">
        <v>76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70</v>
      </c>
      <c r="K3" s="1">
        <v>400</v>
      </c>
    </row>
    <row r="4" spans="1:11" x14ac:dyDescent="0.3">
      <c r="A4" t="s">
        <v>89</v>
      </c>
      <c r="K4" s="1">
        <v>200</v>
      </c>
    </row>
    <row r="7" spans="1:11" x14ac:dyDescent="0.3">
      <c r="A7" t="s">
        <v>45</v>
      </c>
      <c r="K7" s="1">
        <f>SUM(K2:K4)</f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L29"/>
  <sheetViews>
    <sheetView tabSelected="1" topLeftCell="A4" workbookViewId="0">
      <selection activeCell="A15" sqref="A15"/>
    </sheetView>
  </sheetViews>
  <sheetFormatPr defaultRowHeight="14.4" x14ac:dyDescent="0.3"/>
  <cols>
    <col min="1" max="1" width="32.6640625" bestFit="1" customWidth="1"/>
    <col min="2" max="6" width="12.6640625" bestFit="1" customWidth="1"/>
    <col min="7" max="7" width="12.109375" bestFit="1" customWidth="1"/>
    <col min="8" max="8" width="14.33203125" style="11" bestFit="1" customWidth="1"/>
    <col min="9" max="10" width="12.109375" bestFit="1" customWidth="1"/>
    <col min="11" max="11" width="13.6640625" style="13" bestFit="1" customWidth="1"/>
    <col min="12" max="12" width="13.6640625" bestFit="1" customWidth="1"/>
  </cols>
  <sheetData>
    <row r="4" spans="1:12" x14ac:dyDescent="0.3">
      <c r="H4" s="11" t="s">
        <v>197</v>
      </c>
      <c r="K4" s="13" t="s">
        <v>190</v>
      </c>
    </row>
    <row r="5" spans="1:12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 s="11">
        <f>Gross!I30</f>
        <v>182</v>
      </c>
      <c r="I5">
        <f>Gross!J30</f>
        <v>320</v>
      </c>
      <c r="J5">
        <f>Gross!K30</f>
        <v>400</v>
      </c>
      <c r="K5" s="13">
        <f>Gross!L30</f>
        <v>500</v>
      </c>
      <c r="L5">
        <f>Gross!M30</f>
        <v>600</v>
      </c>
    </row>
    <row r="6" spans="1:12" x14ac:dyDescent="0.3">
      <c r="A6" t="s">
        <v>186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12">
        <f>Gross!I45</f>
        <v>189280.00000000003</v>
      </c>
      <c r="I6" s="7">
        <f>Gross!J45</f>
        <v>332800.00000000006</v>
      </c>
      <c r="J6" s="7">
        <f>Gross!K45</f>
        <v>416000.00000000012</v>
      </c>
      <c r="K6" s="14">
        <f>Gross!L45</f>
        <v>520000.00000000012</v>
      </c>
      <c r="L6" s="7">
        <f>Gross!M45</f>
        <v>624000.00000000012</v>
      </c>
    </row>
    <row r="8" spans="1:12" x14ac:dyDescent="0.3">
      <c r="A8" t="s">
        <v>185</v>
      </c>
      <c r="B8" s="7">
        <f>Operating_Costs!F12</f>
        <v>189166.66666666666</v>
      </c>
    </row>
    <row r="10" spans="1:12" x14ac:dyDescent="0.3">
      <c r="A10" t="s">
        <v>187</v>
      </c>
      <c r="B10" s="7">
        <f>B6-$B$8</f>
        <v>-183966.66666666666</v>
      </c>
      <c r="C10" s="7">
        <f t="shared" ref="C10:L10" si="0">C6-$B$8</f>
        <v>-178766.66666666666</v>
      </c>
      <c r="D10" s="7">
        <f t="shared" si="0"/>
        <v>-168366.66666666666</v>
      </c>
      <c r="E10" s="7">
        <f t="shared" si="0"/>
        <v>-147566.66666666666</v>
      </c>
      <c r="F10" s="7">
        <f t="shared" si="0"/>
        <v>-105966.66666666664</v>
      </c>
      <c r="G10" s="7">
        <f t="shared" si="0"/>
        <v>-22766.666666666628</v>
      </c>
      <c r="H10" s="12">
        <f t="shared" si="0"/>
        <v>113.33333333337214</v>
      </c>
      <c r="I10" s="7">
        <f t="shared" si="0"/>
        <v>143633.3333333334</v>
      </c>
      <c r="J10" s="7">
        <f t="shared" si="0"/>
        <v>226833.33333333346</v>
      </c>
      <c r="K10" s="14">
        <f t="shared" si="0"/>
        <v>330833.33333333349</v>
      </c>
      <c r="L10" s="7">
        <f t="shared" si="0"/>
        <v>434833.33333333349</v>
      </c>
    </row>
    <row r="11" spans="1:12" x14ac:dyDescent="0.3">
      <c r="B11" t="s">
        <v>120</v>
      </c>
    </row>
    <row r="12" spans="1:12" x14ac:dyDescent="0.3">
      <c r="A12" t="s">
        <v>188</v>
      </c>
      <c r="B12">
        <f>H5</f>
        <v>182</v>
      </c>
    </row>
    <row r="13" spans="1:12" x14ac:dyDescent="0.3">
      <c r="A13" t="s">
        <v>189</v>
      </c>
      <c r="B13">
        <f>Gross!I37</f>
        <v>29.120000000000008</v>
      </c>
    </row>
    <row r="15" spans="1:12" x14ac:dyDescent="0.3">
      <c r="B15" t="s">
        <v>120</v>
      </c>
    </row>
    <row r="16" spans="1:12" x14ac:dyDescent="0.3">
      <c r="A16" t="s">
        <v>192</v>
      </c>
      <c r="B16">
        <f>K5</f>
        <v>500</v>
      </c>
      <c r="C16" t="s">
        <v>201</v>
      </c>
    </row>
    <row r="17" spans="1:3" x14ac:dyDescent="0.3">
      <c r="A17" t="s">
        <v>152</v>
      </c>
      <c r="B17">
        <f>B16*0.2</f>
        <v>100</v>
      </c>
      <c r="C17">
        <f>B17/2</f>
        <v>50</v>
      </c>
    </row>
    <row r="18" spans="1:3" x14ac:dyDescent="0.3">
      <c r="A18" t="s">
        <v>199</v>
      </c>
      <c r="B18">
        <f>B16-(0.2*710)</f>
        <v>358</v>
      </c>
    </row>
    <row r="20" spans="1:3" x14ac:dyDescent="0.3">
      <c r="A20" t="s">
        <v>193</v>
      </c>
      <c r="B20">
        <f>Gross!L37</f>
        <v>80.000000000000014</v>
      </c>
    </row>
    <row r="21" spans="1:3" x14ac:dyDescent="0.3">
      <c r="A21" t="s">
        <v>194</v>
      </c>
      <c r="B21" s="9">
        <v>0.5</v>
      </c>
    </row>
    <row r="22" spans="1:3" x14ac:dyDescent="0.3">
      <c r="A22" t="s">
        <v>198</v>
      </c>
      <c r="B22">
        <f>B20*(1+B21)</f>
        <v>120.00000000000003</v>
      </c>
      <c r="C22" t="s">
        <v>200</v>
      </c>
    </row>
    <row r="24" spans="1:3" x14ac:dyDescent="0.3">
      <c r="A24" t="s">
        <v>191</v>
      </c>
      <c r="B24">
        <f>Gross!B7</f>
        <v>85</v>
      </c>
    </row>
    <row r="25" spans="1:3" x14ac:dyDescent="0.3">
      <c r="A25" t="s">
        <v>196</v>
      </c>
      <c r="B25">
        <v>2</v>
      </c>
    </row>
    <row r="26" spans="1:3" x14ac:dyDescent="0.3">
      <c r="A26" t="s">
        <v>195</v>
      </c>
      <c r="B26">
        <f>B24*B25</f>
        <v>170</v>
      </c>
    </row>
    <row r="28" spans="1:3" x14ac:dyDescent="0.3">
      <c r="A28" t="s">
        <v>203</v>
      </c>
      <c r="B28">
        <f>B26-B22</f>
        <v>49.999999999999972</v>
      </c>
    </row>
    <row r="29" spans="1:3" x14ac:dyDescent="0.3">
      <c r="A29" t="s">
        <v>202</v>
      </c>
      <c r="B29">
        <f>C17-B28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M45"/>
  <sheetViews>
    <sheetView topLeftCell="B22" workbookViewId="0">
      <selection activeCell="K30" sqref="K30"/>
    </sheetView>
  </sheetViews>
  <sheetFormatPr defaultRowHeight="14.4" x14ac:dyDescent="0.3"/>
  <cols>
    <col min="1" max="1" width="24.21875" bestFit="1" customWidth="1"/>
    <col min="2" max="2" width="22.5546875" bestFit="1" customWidth="1"/>
    <col min="3" max="3" width="22.21875" customWidth="1"/>
    <col min="4" max="4" width="25.88671875" bestFit="1" customWidth="1"/>
    <col min="5" max="5" width="19.6640625" bestFit="1" customWidth="1"/>
    <col min="6" max="6" width="12.109375" customWidth="1"/>
    <col min="7" max="7" width="11.109375" bestFit="1" customWidth="1"/>
    <col min="8" max="11" width="12.109375" bestFit="1" customWidth="1"/>
    <col min="12" max="13" width="13.6640625" bestFit="1" customWidth="1"/>
  </cols>
  <sheetData>
    <row r="1" spans="1:7" x14ac:dyDescent="0.3">
      <c r="B1" t="s">
        <v>150</v>
      </c>
      <c r="F1" t="s">
        <v>151</v>
      </c>
    </row>
    <row r="2" spans="1:7" x14ac:dyDescent="0.3">
      <c r="A2" t="s">
        <v>145</v>
      </c>
      <c r="B2">
        <v>20</v>
      </c>
      <c r="F2" t="s">
        <v>154</v>
      </c>
      <c r="G2" t="s">
        <v>155</v>
      </c>
    </row>
    <row r="3" spans="1:7" x14ac:dyDescent="0.3">
      <c r="A3" t="s">
        <v>146</v>
      </c>
      <c r="B3">
        <f>10</f>
        <v>10</v>
      </c>
      <c r="D3" t="s">
        <v>152</v>
      </c>
      <c r="F3" s="9">
        <v>0.2</v>
      </c>
      <c r="G3" s="6"/>
    </row>
    <row r="4" spans="1:7" x14ac:dyDescent="0.3">
      <c r="A4" t="s">
        <v>147</v>
      </c>
      <c r="B4">
        <v>40</v>
      </c>
      <c r="D4" t="s">
        <v>153</v>
      </c>
      <c r="F4" s="9">
        <v>0.8</v>
      </c>
    </row>
    <row r="5" spans="1:7" x14ac:dyDescent="0.3">
      <c r="A5" t="s">
        <v>148</v>
      </c>
      <c r="B5">
        <v>15</v>
      </c>
    </row>
    <row r="7" spans="1:7" x14ac:dyDescent="0.3">
      <c r="A7" t="s">
        <v>45</v>
      </c>
      <c r="B7">
        <f>SUM(B2:B5)</f>
        <v>85</v>
      </c>
    </row>
    <row r="9" spans="1:7" x14ac:dyDescent="0.3">
      <c r="C9" t="s">
        <v>162</v>
      </c>
    </row>
    <row r="10" spans="1:7" x14ac:dyDescent="0.3">
      <c r="C10" t="s">
        <v>161</v>
      </c>
    </row>
    <row r="11" spans="1:7" x14ac:dyDescent="0.3">
      <c r="C11" t="s">
        <v>160</v>
      </c>
    </row>
    <row r="12" spans="1:7" x14ac:dyDescent="0.3">
      <c r="B12" t="s">
        <v>156</v>
      </c>
      <c r="C12" s="9">
        <v>0.2</v>
      </c>
      <c r="D12" s="9">
        <v>0.8</v>
      </c>
    </row>
    <row r="13" spans="1:7" x14ac:dyDescent="0.3">
      <c r="A13" t="s">
        <v>157</v>
      </c>
      <c r="B13" s="1">
        <v>40</v>
      </c>
      <c r="C13">
        <v>5</v>
      </c>
      <c r="D13">
        <v>3</v>
      </c>
    </row>
    <row r="14" spans="1:7" x14ac:dyDescent="0.3">
      <c r="A14" t="s">
        <v>158</v>
      </c>
      <c r="B14" s="1">
        <v>10</v>
      </c>
      <c r="C14">
        <v>3</v>
      </c>
      <c r="D14">
        <v>2</v>
      </c>
    </row>
    <row r="15" spans="1:7" x14ac:dyDescent="0.3">
      <c r="A15" t="s">
        <v>159</v>
      </c>
      <c r="B15" s="1">
        <v>20</v>
      </c>
      <c r="C15">
        <v>2</v>
      </c>
      <c r="D15">
        <v>1</v>
      </c>
    </row>
    <row r="17" spans="1:13" x14ac:dyDescent="0.3">
      <c r="D17" s="9">
        <v>0.2</v>
      </c>
      <c r="E17">
        <f>D17*100</f>
        <v>20</v>
      </c>
    </row>
    <row r="18" spans="1:13" s="3" customFormat="1" x14ac:dyDescent="0.3"/>
    <row r="19" spans="1:13" x14ac:dyDescent="0.3">
      <c r="A19" t="s">
        <v>172</v>
      </c>
      <c r="B19" t="s">
        <v>174</v>
      </c>
      <c r="C19" t="s">
        <v>168</v>
      </c>
      <c r="D19" t="s">
        <v>176</v>
      </c>
      <c r="E19" t="s">
        <v>173</v>
      </c>
      <c r="F19" t="s">
        <v>171</v>
      </c>
      <c r="G19" t="s">
        <v>183</v>
      </c>
    </row>
    <row r="20" spans="1:13" x14ac:dyDescent="0.3">
      <c r="A20" s="10">
        <v>0.8</v>
      </c>
      <c r="B20">
        <v>0.2</v>
      </c>
      <c r="C20" s="3" t="s">
        <v>164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3" x14ac:dyDescent="0.3">
      <c r="A21" s="10"/>
      <c r="B21">
        <v>0.2</v>
      </c>
      <c r="C21" s="3" t="s">
        <v>165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 t="shared" ref="G21:G23" si="1">E21*F21</f>
        <v>9.600000000000003E-2</v>
      </c>
    </row>
    <row r="22" spans="1:13" x14ac:dyDescent="0.3">
      <c r="A22" s="10"/>
      <c r="B22">
        <v>0.8</v>
      </c>
      <c r="C22" s="3" t="s">
        <v>166</v>
      </c>
      <c r="D22" s="8">
        <v>0.8</v>
      </c>
      <c r="E22" s="3">
        <f t="shared" si="0"/>
        <v>0.51200000000000012</v>
      </c>
      <c r="F22" s="2">
        <v>1</v>
      </c>
      <c r="G22">
        <f t="shared" si="1"/>
        <v>0.51200000000000012</v>
      </c>
    </row>
    <row r="23" spans="1:13" x14ac:dyDescent="0.3">
      <c r="A23" s="10"/>
      <c r="B23">
        <v>0.8</v>
      </c>
      <c r="C23" s="3" t="s">
        <v>167</v>
      </c>
      <c r="D23" s="8">
        <v>0.2</v>
      </c>
      <c r="E23" s="3">
        <f t="shared" si="0"/>
        <v>0.12800000000000003</v>
      </c>
      <c r="F23" s="2">
        <v>2</v>
      </c>
      <c r="G23">
        <f t="shared" si="1"/>
        <v>0.25600000000000006</v>
      </c>
    </row>
    <row r="24" spans="1:13" x14ac:dyDescent="0.3">
      <c r="D24" s="3"/>
      <c r="E24" s="3">
        <f>SUM(E20:E23)</f>
        <v>0.80000000000000016</v>
      </c>
      <c r="F24" t="s">
        <v>45</v>
      </c>
      <c r="G24">
        <f>SUM(G20:G23)</f>
        <v>1.1200000000000003</v>
      </c>
    </row>
    <row r="25" spans="1:13" x14ac:dyDescent="0.3">
      <c r="A25" s="10">
        <v>0.2</v>
      </c>
      <c r="B25" s="8">
        <v>0.8</v>
      </c>
      <c r="C25" s="3" t="s">
        <v>169</v>
      </c>
      <c r="D25" t="s">
        <v>177</v>
      </c>
      <c r="E25" s="3">
        <f>$A$25*$B25</f>
        <v>0.16000000000000003</v>
      </c>
      <c r="F25" s="2">
        <v>3</v>
      </c>
    </row>
    <row r="26" spans="1:13" x14ac:dyDescent="0.3">
      <c r="A26" s="10"/>
      <c r="B26" s="8">
        <v>0.2</v>
      </c>
      <c r="C26" s="3" t="s">
        <v>170</v>
      </c>
      <c r="D26" t="s">
        <v>177</v>
      </c>
      <c r="E26" s="3">
        <f>$A$25*$B26</f>
        <v>4.0000000000000008E-2</v>
      </c>
      <c r="F26" s="2">
        <v>5</v>
      </c>
    </row>
    <row r="27" spans="1:13" x14ac:dyDescent="0.3">
      <c r="E27">
        <f>SUM(E25:E26)</f>
        <v>0.20000000000000004</v>
      </c>
    </row>
    <row r="28" spans="1:13" x14ac:dyDescent="0.3">
      <c r="E28">
        <f>E24+E27</f>
        <v>1.0000000000000002</v>
      </c>
    </row>
    <row r="29" spans="1:13" x14ac:dyDescent="0.3">
      <c r="B29" t="s">
        <v>163</v>
      </c>
      <c r="K29" s="3"/>
    </row>
    <row r="30" spans="1:13" x14ac:dyDescent="0.3">
      <c r="A30" t="s">
        <v>168</v>
      </c>
      <c r="B30" t="s">
        <v>155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182</v>
      </c>
      <c r="J30">
        <v>320</v>
      </c>
      <c r="K30">
        <v>400</v>
      </c>
      <c r="L30">
        <v>500</v>
      </c>
      <c r="M30">
        <v>600</v>
      </c>
    </row>
    <row r="31" spans="1:13" x14ac:dyDescent="0.3">
      <c r="A31" s="3" t="s">
        <v>164</v>
      </c>
      <c r="B31" s="1">
        <v>10</v>
      </c>
      <c r="C31" s="1">
        <f>$E20*$F20*$B31*C$30</f>
        <v>12.800000000000002</v>
      </c>
      <c r="D31" s="1">
        <f t="shared" ref="D31:I31" si="2">$E20*$F20*$B31*D$30</f>
        <v>25.600000000000005</v>
      </c>
      <c r="E31" s="1">
        <f t="shared" si="2"/>
        <v>51.20000000000001</v>
      </c>
      <c r="F31" s="1">
        <f t="shared" si="2"/>
        <v>102.40000000000002</v>
      </c>
      <c r="G31" s="1">
        <f t="shared" si="2"/>
        <v>204.80000000000004</v>
      </c>
      <c r="H31" s="1">
        <f t="shared" si="2"/>
        <v>409.60000000000008</v>
      </c>
      <c r="I31" s="1">
        <f t="shared" ref="I31" si="3">$E20*$F20*$B31*I$30</f>
        <v>465.92000000000007</v>
      </c>
      <c r="J31" s="1">
        <f>$E20*$F20*$B31*J$30</f>
        <v>819.20000000000016</v>
      </c>
      <c r="K31" s="1">
        <f>$E20*$F20*$B31*K$30</f>
        <v>1024.0000000000002</v>
      </c>
      <c r="L31" s="1">
        <f>$E20*$F20*$B31*L$30</f>
        <v>1280.0000000000002</v>
      </c>
      <c r="M31" s="1">
        <f>$E20*$F20*$B31*M$30</f>
        <v>1536.0000000000002</v>
      </c>
    </row>
    <row r="32" spans="1:13" x14ac:dyDescent="0.3">
      <c r="A32" s="3" t="s">
        <v>165</v>
      </c>
      <c r="B32" s="1">
        <v>10</v>
      </c>
      <c r="C32" s="1">
        <f t="shared" ref="C32:I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174.72000000000006</v>
      </c>
      <c r="J32" s="1">
        <f>$E21*$F21*$B32*J$30</f>
        <v>307.2000000000001</v>
      </c>
      <c r="K32" s="1">
        <f>$E21*$F21*$B32*K$30</f>
        <v>384.00000000000011</v>
      </c>
      <c r="L32" s="1">
        <f>$E21*$F21*$B32*L$30</f>
        <v>480.00000000000017</v>
      </c>
      <c r="M32" s="1">
        <f>$E21*$F21*$B32*M$30</f>
        <v>576.00000000000023</v>
      </c>
    </row>
    <row r="33" spans="1:13" x14ac:dyDescent="0.3">
      <c r="A33" s="3" t="s">
        <v>166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6">$E22*$F22*$B33*I$30</f>
        <v>1863.6800000000003</v>
      </c>
      <c r="J33" s="1">
        <f>$E22*$F22*$B33*J$30</f>
        <v>3276.8000000000006</v>
      </c>
      <c r="K33" s="1">
        <f>$E22*$F22*$B33*K$30</f>
        <v>4096.0000000000009</v>
      </c>
      <c r="L33" s="1">
        <f>$E22*$F22*$B33*L$30</f>
        <v>5120.0000000000009</v>
      </c>
      <c r="M33" s="1">
        <f>$E22*$F22*$B33*M$30</f>
        <v>6144.0000000000009</v>
      </c>
    </row>
    <row r="34" spans="1:13" x14ac:dyDescent="0.3">
      <c r="A34" s="3" t="s">
        <v>167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7">$E23*$F23*$B34*I$30</f>
        <v>931.84000000000015</v>
      </c>
      <c r="J34" s="1">
        <f>$E23*$F23*$B34*J$30</f>
        <v>1638.4000000000003</v>
      </c>
      <c r="K34" s="1">
        <f>$E23*$F23*$B34*K$30</f>
        <v>2048.0000000000005</v>
      </c>
      <c r="L34" s="1">
        <f>$E23*$F23*$B34*L$30</f>
        <v>2560.0000000000005</v>
      </c>
      <c r="M34" s="1">
        <f>$E23*$F23*$B34*M$30</f>
        <v>3072.0000000000005</v>
      </c>
    </row>
    <row r="35" spans="1:13" x14ac:dyDescent="0.3">
      <c r="A35" s="3" t="s">
        <v>175</v>
      </c>
      <c r="C35" s="7">
        <f>SUM(C31:C34)</f>
        <v>94.40000000000002</v>
      </c>
      <c r="D35" s="7">
        <f>SUM(D31:D34)</f>
        <v>188.80000000000004</v>
      </c>
      <c r="E35" s="7">
        <f t="shared" ref="E35:I35" si="8">SUM(E31:E34)</f>
        <v>377.60000000000008</v>
      </c>
      <c r="F35" s="7">
        <f t="shared" si="8"/>
        <v>755.20000000000016</v>
      </c>
      <c r="G35" s="7">
        <f t="shared" si="8"/>
        <v>1510.4000000000003</v>
      </c>
      <c r="H35" s="7">
        <f t="shared" si="8"/>
        <v>3020.8000000000006</v>
      </c>
      <c r="I35" s="7">
        <f t="shared" si="8"/>
        <v>3436.1600000000008</v>
      </c>
      <c r="J35" s="7">
        <f>SUM(J31:J34)</f>
        <v>6041.6000000000013</v>
      </c>
      <c r="K35" s="7">
        <f>SUM(K31:K34)</f>
        <v>7552.0000000000018</v>
      </c>
      <c r="L35" s="7">
        <f>SUM(L31:L34)</f>
        <v>9440.0000000000018</v>
      </c>
      <c r="M35" s="7">
        <f>SUM(M31:M34)</f>
        <v>11328.000000000002</v>
      </c>
    </row>
    <row r="36" spans="1:13" x14ac:dyDescent="0.3">
      <c r="A36" s="3" t="s">
        <v>182</v>
      </c>
      <c r="C36" s="3">
        <f>C$30*($G$24)</f>
        <v>5.6000000000000014</v>
      </c>
      <c r="D36" s="3">
        <f t="shared" ref="D36:I36" si="9">D$30*($G$24)</f>
        <v>11.200000000000003</v>
      </c>
      <c r="E36" s="3">
        <f t="shared" si="9"/>
        <v>22.400000000000006</v>
      </c>
      <c r="F36" s="3">
        <f t="shared" si="9"/>
        <v>44.800000000000011</v>
      </c>
      <c r="G36" s="3">
        <f t="shared" si="9"/>
        <v>89.600000000000023</v>
      </c>
      <c r="H36" s="3">
        <f t="shared" si="9"/>
        <v>179.20000000000005</v>
      </c>
      <c r="I36" s="3">
        <f t="shared" si="9"/>
        <v>203.84000000000006</v>
      </c>
      <c r="J36" s="3">
        <f>J$30*($G$24)</f>
        <v>358.40000000000009</v>
      </c>
      <c r="K36" s="3">
        <f>K$30*($G$24)</f>
        <v>448.00000000000011</v>
      </c>
      <c r="L36" s="3">
        <f>L$30*($G$24)</f>
        <v>560.00000000000011</v>
      </c>
      <c r="M36" s="3">
        <f>M$30*($G$24)</f>
        <v>672.00000000000023</v>
      </c>
    </row>
    <row r="37" spans="1:13" x14ac:dyDescent="0.3">
      <c r="A37" s="3" t="s">
        <v>184</v>
      </c>
      <c r="C37">
        <f>C36/7</f>
        <v>0.80000000000000016</v>
      </c>
      <c r="D37">
        <f t="shared" ref="D37:I37" si="10">D36/7</f>
        <v>1.6000000000000003</v>
      </c>
      <c r="E37">
        <f t="shared" si="10"/>
        <v>3.2000000000000006</v>
      </c>
      <c r="F37">
        <f t="shared" si="10"/>
        <v>6.4000000000000012</v>
      </c>
      <c r="G37">
        <f t="shared" si="10"/>
        <v>12.800000000000002</v>
      </c>
      <c r="H37">
        <f t="shared" si="10"/>
        <v>25.600000000000005</v>
      </c>
      <c r="I37">
        <f t="shared" si="10"/>
        <v>29.120000000000008</v>
      </c>
      <c r="J37">
        <f>J36/7</f>
        <v>51.20000000000001</v>
      </c>
      <c r="K37">
        <f>K36/7</f>
        <v>64.000000000000014</v>
      </c>
      <c r="L37">
        <f>L36/7</f>
        <v>80.000000000000014</v>
      </c>
      <c r="M37">
        <f>M36/7</f>
        <v>96.000000000000028</v>
      </c>
    </row>
    <row r="41" spans="1:13" x14ac:dyDescent="0.3">
      <c r="A41" s="3" t="s">
        <v>180</v>
      </c>
      <c r="C41" s="7">
        <f>C35*50</f>
        <v>4720.0000000000009</v>
      </c>
      <c r="D41" s="7">
        <f>D35*50</f>
        <v>9440.0000000000018</v>
      </c>
      <c r="E41" s="7">
        <f>E35*50</f>
        <v>18880.000000000004</v>
      </c>
      <c r="F41" s="7">
        <f>F35*50</f>
        <v>37760.000000000007</v>
      </c>
      <c r="G41" s="7">
        <f>G35*50</f>
        <v>75520.000000000015</v>
      </c>
      <c r="H41" s="7">
        <f>H35*50</f>
        <v>151040.00000000003</v>
      </c>
      <c r="I41" s="7">
        <f>I35*50</f>
        <v>171808.00000000003</v>
      </c>
      <c r="J41" s="7">
        <f>J35*50</f>
        <v>302080.00000000006</v>
      </c>
      <c r="K41" s="7">
        <f>K35*50</f>
        <v>377600.00000000012</v>
      </c>
      <c r="L41" s="7">
        <f>L35*50</f>
        <v>472000.00000000012</v>
      </c>
      <c r="M41" s="7">
        <f>M35*50</f>
        <v>566400.00000000012</v>
      </c>
    </row>
    <row r="42" spans="1:13" x14ac:dyDescent="0.3">
      <c r="A42" t="s">
        <v>178</v>
      </c>
      <c r="B42" s="1">
        <v>40</v>
      </c>
      <c r="C42" s="7">
        <f>C$30*$B42*$A$25</f>
        <v>40</v>
      </c>
      <c r="D42" s="7">
        <f>D$30*$B42*$A$25</f>
        <v>80</v>
      </c>
      <c r="E42" s="7">
        <f>E$30*$B42*$A$25</f>
        <v>160</v>
      </c>
      <c r="F42" s="7">
        <f>F$30*$B42*$A$25</f>
        <v>320</v>
      </c>
      <c r="G42" s="7">
        <f>G$30*$B42*$A$25</f>
        <v>640</v>
      </c>
      <c r="H42" s="7">
        <f>H$30*$B42*$A$25</f>
        <v>1280</v>
      </c>
      <c r="I42" s="7">
        <f>I$30*$B42*$A$25</f>
        <v>1456</v>
      </c>
      <c r="J42" s="7">
        <f>J$30*$B42*$A$25</f>
        <v>2560</v>
      </c>
      <c r="K42" s="7">
        <f>K$30*$B42*$A$25</f>
        <v>3200</v>
      </c>
      <c r="L42" s="7">
        <f>L$30*$B42*$A$25</f>
        <v>4000</v>
      </c>
      <c r="M42" s="7">
        <f>M$30*$B42*$A$25</f>
        <v>4800</v>
      </c>
    </row>
    <row r="43" spans="1:13" x14ac:dyDescent="0.3">
      <c r="A43" t="s">
        <v>179</v>
      </c>
      <c r="C43" s="7">
        <f>C42*12</f>
        <v>480</v>
      </c>
      <c r="D43" s="7">
        <f t="shared" ref="D43:I43" si="11">D42*12</f>
        <v>960</v>
      </c>
      <c r="E43" s="7">
        <f t="shared" si="11"/>
        <v>1920</v>
      </c>
      <c r="F43" s="7">
        <f t="shared" si="11"/>
        <v>3840</v>
      </c>
      <c r="G43" s="7">
        <f t="shared" si="11"/>
        <v>7680</v>
      </c>
      <c r="H43" s="7">
        <f t="shared" si="11"/>
        <v>15360</v>
      </c>
      <c r="I43" s="7">
        <f t="shared" si="11"/>
        <v>17472</v>
      </c>
      <c r="J43" s="7">
        <f>J42*12</f>
        <v>30720</v>
      </c>
      <c r="K43" s="7">
        <f>K42*12</f>
        <v>38400</v>
      </c>
      <c r="L43" s="7">
        <f>L42*12</f>
        <v>48000</v>
      </c>
      <c r="M43" s="7">
        <f>M42*12</f>
        <v>57600</v>
      </c>
    </row>
    <row r="45" spans="1:13" x14ac:dyDescent="0.3">
      <c r="A45" t="s">
        <v>181</v>
      </c>
      <c r="C45" s="7">
        <f>C43+C41</f>
        <v>5200.0000000000009</v>
      </c>
      <c r="D45" s="7">
        <f>D43+D41</f>
        <v>10400.000000000002</v>
      </c>
      <c r="E45" s="7">
        <f>E43+E41</f>
        <v>20800.000000000004</v>
      </c>
      <c r="F45" s="7">
        <f>F43+F41</f>
        <v>41600.000000000007</v>
      </c>
      <c r="G45" s="7">
        <f>G43+G41</f>
        <v>83200.000000000015</v>
      </c>
      <c r="H45" s="7">
        <f>H43+H41</f>
        <v>166400.00000000003</v>
      </c>
      <c r="I45" s="7">
        <f>I43+I41</f>
        <v>189280.00000000003</v>
      </c>
      <c r="J45" s="7">
        <f>J43+J41</f>
        <v>332800.00000000006</v>
      </c>
      <c r="K45" s="7">
        <f>K43+K41</f>
        <v>416000.00000000012</v>
      </c>
      <c r="L45" s="7">
        <f>L43+L41</f>
        <v>520000.00000000012</v>
      </c>
      <c r="M45" s="7">
        <f>M43+M41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18"/>
  <sheetViews>
    <sheetView workbookViewId="0">
      <selection activeCell="C18" sqref="C18"/>
    </sheetView>
  </sheetViews>
  <sheetFormatPr defaultRowHeight="14.4" x14ac:dyDescent="0.3"/>
  <cols>
    <col min="1" max="1" width="31" bestFit="1" customWidth="1"/>
    <col min="2" max="2" width="16.77734375" bestFit="1" customWidth="1"/>
    <col min="3" max="4" width="12.109375" bestFit="1" customWidth="1"/>
    <col min="5" max="5" width="11.109375" bestFit="1" customWidth="1"/>
    <col min="6" max="7" width="12" bestFit="1" customWidth="1"/>
    <col min="8" max="8" width="11.109375" bestFit="1" customWidth="1"/>
  </cols>
  <sheetData>
    <row r="3" spans="1:8" x14ac:dyDescent="0.3">
      <c r="A3" t="s">
        <v>84</v>
      </c>
      <c r="B3" s="7">
        <f>Gaming!D11</f>
        <v>16930</v>
      </c>
    </row>
    <row r="4" spans="1:8" x14ac:dyDescent="0.3">
      <c r="A4" t="s">
        <v>85</v>
      </c>
      <c r="B4" s="7">
        <f>Dance_Studio!D5</f>
        <v>5000</v>
      </c>
    </row>
    <row r="5" spans="1:8" x14ac:dyDescent="0.3">
      <c r="A5" t="s">
        <v>86</v>
      </c>
      <c r="B5" s="7">
        <f>Kitchen!G17</f>
        <v>12865</v>
      </c>
    </row>
    <row r="6" spans="1:8" x14ac:dyDescent="0.3">
      <c r="A6" t="s">
        <v>87</v>
      </c>
      <c r="B6" s="7">
        <f>Liabilities!B7</f>
        <v>150</v>
      </c>
    </row>
    <row r="7" spans="1:8" x14ac:dyDescent="0.3">
      <c r="A7" t="s">
        <v>91</v>
      </c>
      <c r="B7" s="7">
        <f>decor!K7</f>
        <v>800</v>
      </c>
    </row>
    <row r="8" spans="1:8" x14ac:dyDescent="0.3">
      <c r="A8" t="s">
        <v>98</v>
      </c>
      <c r="B8" s="7">
        <f>'Eating Area'!F10</f>
        <v>3200</v>
      </c>
    </row>
    <row r="11" spans="1:8" x14ac:dyDescent="0.3">
      <c r="A11" t="s">
        <v>90</v>
      </c>
      <c r="B11" s="7">
        <f>SUM(B3:B8)</f>
        <v>38945</v>
      </c>
    </row>
    <row r="12" spans="1:8" x14ac:dyDescent="0.3">
      <c r="A12" t="s">
        <v>137</v>
      </c>
      <c r="B12" s="7">
        <f>Operating_Costs!F12</f>
        <v>189166.66666666666</v>
      </c>
    </row>
    <row r="13" spans="1:8" x14ac:dyDescent="0.3">
      <c r="A13" t="s">
        <v>138</v>
      </c>
      <c r="B13">
        <v>6</v>
      </c>
      <c r="C13">
        <v>5</v>
      </c>
      <c r="D13">
        <v>4</v>
      </c>
      <c r="E13">
        <v>3</v>
      </c>
      <c r="F13">
        <v>2</v>
      </c>
      <c r="G13">
        <v>1</v>
      </c>
    </row>
    <row r="14" spans="1:8" x14ac:dyDescent="0.3">
      <c r="A14" t="s">
        <v>139</v>
      </c>
      <c r="B14">
        <f>B13/12</f>
        <v>0.5</v>
      </c>
      <c r="C14">
        <f t="shared" ref="C14:H14" si="0">C13/12</f>
        <v>0.41666666666666669</v>
      </c>
      <c r="D14">
        <f t="shared" si="0"/>
        <v>0.33333333333333331</v>
      </c>
      <c r="E14">
        <f t="shared" si="0"/>
        <v>0.25</v>
      </c>
      <c r="F14">
        <f t="shared" si="0"/>
        <v>0.16666666666666666</v>
      </c>
      <c r="G14">
        <f t="shared" si="0"/>
        <v>8.3333333333333329E-2</v>
      </c>
    </row>
    <row r="15" spans="1:8" x14ac:dyDescent="0.3">
      <c r="A15" t="s">
        <v>140</v>
      </c>
      <c r="B15" s="7">
        <f>$B$11+($B$12*B14)</f>
        <v>133528.33333333331</v>
      </c>
      <c r="C15" s="7">
        <f t="shared" ref="C15:H15" si="1">$B$11+($B$12*C14)</f>
        <v>117764.44444444444</v>
      </c>
      <c r="D15" s="7">
        <f t="shared" si="1"/>
        <v>102000.55555555555</v>
      </c>
      <c r="E15" s="7">
        <f t="shared" si="1"/>
        <v>86236.666666666657</v>
      </c>
      <c r="F15" s="7">
        <f t="shared" si="1"/>
        <v>70472.777777777781</v>
      </c>
      <c r="G15" s="7">
        <f t="shared" si="1"/>
        <v>54708.888888888891</v>
      </c>
      <c r="H15" s="7"/>
    </row>
    <row r="17" spans="1:2" x14ac:dyDescent="0.3">
      <c r="A17" t="s">
        <v>141</v>
      </c>
      <c r="B17" t="s">
        <v>142</v>
      </c>
    </row>
    <row r="18" spans="1:2" x14ac:dyDescent="0.3">
      <c r="A18" t="s">
        <v>143</v>
      </c>
      <c r="B18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F14"/>
  <sheetViews>
    <sheetView workbookViewId="0">
      <selection activeCell="A13" sqref="A13"/>
    </sheetView>
  </sheetViews>
  <sheetFormatPr defaultRowHeight="14.4" x14ac:dyDescent="0.3"/>
  <cols>
    <col min="1" max="1" width="23.3320312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</cols>
  <sheetData>
    <row r="3" spans="1:6" x14ac:dyDescent="0.3">
      <c r="B3" s="1" t="s">
        <v>107</v>
      </c>
      <c r="C3" s="1" t="s">
        <v>105</v>
      </c>
      <c r="D3" s="1" t="s">
        <v>108</v>
      </c>
      <c r="E3" s="1" t="s">
        <v>135</v>
      </c>
      <c r="F3" s="1" t="s">
        <v>109</v>
      </c>
    </row>
    <row r="4" spans="1:6" x14ac:dyDescent="0.3">
      <c r="A4" t="s">
        <v>102</v>
      </c>
      <c r="B4" s="1">
        <f>C4/7</f>
        <v>10.989010989010989</v>
      </c>
      <c r="C4" s="1">
        <f>F4/52</f>
        <v>76.92307692307692</v>
      </c>
      <c r="D4" s="1">
        <f>employees!B9</f>
        <v>2884.6153846153848</v>
      </c>
      <c r="E4" s="1">
        <f>D4*2</f>
        <v>5769.2307692307695</v>
      </c>
      <c r="F4" s="1">
        <v>4000</v>
      </c>
    </row>
    <row r="5" spans="1:6" x14ac:dyDescent="0.3">
      <c r="A5" t="s">
        <v>136</v>
      </c>
      <c r="B5" s="1">
        <f>C5/7</f>
        <v>412.08791208791212</v>
      </c>
      <c r="C5" s="1">
        <f>employees!B9</f>
        <v>2884.6153846153848</v>
      </c>
      <c r="D5" s="1">
        <f>employees!B10</f>
        <v>5769.2307692307695</v>
      </c>
      <c r="E5" s="1">
        <f>D5*2</f>
        <v>11538.461538461539</v>
      </c>
      <c r="F5" s="1">
        <v>150000</v>
      </c>
    </row>
    <row r="6" spans="1:6" x14ac:dyDescent="0.3">
      <c r="A6" t="s">
        <v>103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6" x14ac:dyDescent="0.3">
      <c r="A7" t="s">
        <v>104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6" x14ac:dyDescent="0.3">
      <c r="A8" t="s">
        <v>131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6" x14ac:dyDescent="0.3">
      <c r="A9" t="s">
        <v>130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6" x14ac:dyDescent="0.3">
      <c r="A10" t="s">
        <v>134</v>
      </c>
      <c r="B10" s="1">
        <f>C10/7</f>
        <v>2.8571428571428572</v>
      </c>
      <c r="C10" s="1">
        <v>20</v>
      </c>
      <c r="D10" s="1">
        <f>C10*2</f>
        <v>40</v>
      </c>
      <c r="E10" s="1">
        <f>D10*2</f>
        <v>80</v>
      </c>
      <c r="F10" s="1">
        <f>C10*50</f>
        <v>1000</v>
      </c>
    </row>
    <row r="11" spans="1:6" x14ac:dyDescent="0.3">
      <c r="A11" t="s">
        <v>132</v>
      </c>
      <c r="B11" s="1">
        <f>C11/7</f>
        <v>5.4945054945054945</v>
      </c>
      <c r="C11" s="1">
        <f>F11/52</f>
        <v>38.46153846153846</v>
      </c>
      <c r="D11" s="1">
        <f>C11*2</f>
        <v>76.92307692307692</v>
      </c>
      <c r="E11" s="1">
        <f>D11*2</f>
        <v>153.84615384615384</v>
      </c>
      <c r="F11" s="1">
        <v>2000</v>
      </c>
    </row>
    <row r="12" spans="1:6" x14ac:dyDescent="0.3">
      <c r="A12" t="s">
        <v>45</v>
      </c>
      <c r="B12" s="1">
        <f>SUM(B4:B11)</f>
        <v>531.90476190476193</v>
      </c>
      <c r="C12" s="1">
        <f t="shared" ref="C12:E12" si="0">SUM(C4:C11)</f>
        <v>3723.3333333333339</v>
      </c>
      <c r="D12" s="1">
        <f t="shared" si="0"/>
        <v>10177.435897435897</v>
      </c>
      <c r="E12" s="1">
        <f t="shared" si="0"/>
        <v>20354.871794871793</v>
      </c>
      <c r="F12" s="1">
        <f>SUM(F4:F9)</f>
        <v>189166.66666666666</v>
      </c>
    </row>
    <row r="14" spans="1:6" x14ac:dyDescent="0.3">
      <c r="A14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F2" sqref="F2"/>
    </sheetView>
  </sheetViews>
  <sheetFormatPr defaultRowHeight="14.4" x14ac:dyDescent="0.3"/>
  <cols>
    <col min="1" max="1" width="56.21875" customWidth="1"/>
    <col min="2" max="2" width="11.109375" bestFit="1" customWidth="1"/>
    <col min="3" max="3" width="12.5546875" bestFit="1" customWidth="1"/>
    <col min="4" max="4" width="10.109375" bestFit="1" customWidth="1"/>
    <col min="5" max="5" width="10" bestFit="1" customWidth="1"/>
    <col min="6" max="6" width="11.109375" bestFit="1" customWidth="1"/>
  </cols>
  <sheetData>
    <row r="1" spans="1:6" x14ac:dyDescent="0.3">
      <c r="B1" t="s">
        <v>34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3">
      <c r="A2" t="s">
        <v>114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110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111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112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113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129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45</v>
      </c>
      <c r="B8" s="9">
        <f>SUM(B3:B7)</f>
        <v>1</v>
      </c>
    </row>
    <row r="11" spans="1:6" x14ac:dyDescent="0.3">
      <c r="A11" t="s">
        <v>122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119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121</v>
      </c>
      <c r="B14">
        <v>4</v>
      </c>
    </row>
    <row r="15" spans="1:6" x14ac:dyDescent="0.3">
      <c r="A15" t="s">
        <v>124</v>
      </c>
      <c r="B15">
        <v>15</v>
      </c>
    </row>
    <row r="16" spans="1:6" x14ac:dyDescent="0.3">
      <c r="A16" t="s">
        <v>123</v>
      </c>
      <c r="B16" s="7">
        <f>B12*B15</f>
        <v>112.5</v>
      </c>
    </row>
    <row r="17" spans="1:2" x14ac:dyDescent="0.3">
      <c r="A17" t="s">
        <v>127</v>
      </c>
      <c r="B17" s="7">
        <f>B14*B16</f>
        <v>450</v>
      </c>
    </row>
    <row r="18" spans="1:2" x14ac:dyDescent="0.3">
      <c r="A18" t="s">
        <v>125</v>
      </c>
      <c r="B18" s="9">
        <v>0.2</v>
      </c>
    </row>
    <row r="19" spans="1:2" x14ac:dyDescent="0.3">
      <c r="A19" t="s">
        <v>128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126</v>
      </c>
      <c r="B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B10"/>
  <sheetViews>
    <sheetView workbookViewId="0">
      <selection activeCell="B6" sqref="B6"/>
    </sheetView>
  </sheetViews>
  <sheetFormatPr defaultRowHeight="14.4" x14ac:dyDescent="0.3"/>
  <cols>
    <col min="1" max="1" width="16.109375" bestFit="1" customWidth="1"/>
    <col min="2" max="2" width="12.109375" style="1" bestFit="1" customWidth="1"/>
  </cols>
  <sheetData>
    <row r="1" spans="1:2" x14ac:dyDescent="0.3">
      <c r="B1" s="1" t="s">
        <v>39</v>
      </c>
    </row>
    <row r="2" spans="1:2" x14ac:dyDescent="0.3">
      <c r="A2" t="s">
        <v>99</v>
      </c>
      <c r="B2" s="1">
        <v>60000</v>
      </c>
    </row>
    <row r="3" spans="1:2" x14ac:dyDescent="0.3">
      <c r="A3" t="s">
        <v>100</v>
      </c>
      <c r="B3" s="1">
        <v>45000</v>
      </c>
    </row>
    <row r="4" spans="1:2" x14ac:dyDescent="0.3">
      <c r="A4" t="s">
        <v>101</v>
      </c>
      <c r="B4" s="1">
        <v>45000</v>
      </c>
    </row>
    <row r="6" spans="1:2" x14ac:dyDescent="0.3">
      <c r="A6" t="s">
        <v>45</v>
      </c>
      <c r="B6" s="1">
        <f>SUM(B2:B4)</f>
        <v>150000</v>
      </c>
    </row>
    <row r="9" spans="1:2" x14ac:dyDescent="0.3">
      <c r="A9" t="s">
        <v>105</v>
      </c>
      <c r="B9" s="1">
        <f>B6/52</f>
        <v>2884.6153846153848</v>
      </c>
    </row>
    <row r="10" spans="1:2" x14ac:dyDescent="0.3">
      <c r="A10" t="s">
        <v>106</v>
      </c>
      <c r="B10" s="1">
        <f>B6/26</f>
        <v>5769.2307692307695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1"/>
  <sheetViews>
    <sheetView workbookViewId="0">
      <selection activeCell="C8" sqref="C8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41</v>
      </c>
      <c r="C1" t="s">
        <v>38</v>
      </c>
      <c r="D1" t="s">
        <v>40</v>
      </c>
    </row>
    <row r="2" spans="1:4" x14ac:dyDescent="0.3">
      <c r="A2" t="s">
        <v>35</v>
      </c>
      <c r="B2" s="1">
        <v>1500</v>
      </c>
      <c r="C2">
        <v>10</v>
      </c>
      <c r="D2" s="7">
        <f>B2*C2</f>
        <v>15000</v>
      </c>
    </row>
    <row r="3" spans="1:4" x14ac:dyDescent="0.3">
      <c r="A3" t="s">
        <v>37</v>
      </c>
      <c r="B3" s="1">
        <v>100</v>
      </c>
      <c r="C3">
        <v>4</v>
      </c>
      <c r="D3" s="7">
        <f t="shared" ref="D3:D8" si="0">B3*C3</f>
        <v>400</v>
      </c>
    </row>
    <row r="4" spans="1:4" x14ac:dyDescent="0.3">
      <c r="A4" t="s">
        <v>36</v>
      </c>
      <c r="B4" s="1">
        <v>110</v>
      </c>
      <c r="C4">
        <v>3</v>
      </c>
      <c r="D4" s="7">
        <f t="shared" si="0"/>
        <v>330</v>
      </c>
    </row>
    <row r="5" spans="1:4" x14ac:dyDescent="0.3">
      <c r="A5" t="s">
        <v>42</v>
      </c>
      <c r="B5" s="1">
        <v>100</v>
      </c>
      <c r="C5">
        <f>C3</f>
        <v>4</v>
      </c>
      <c r="D5" s="7">
        <f t="shared" si="0"/>
        <v>400</v>
      </c>
    </row>
    <row r="6" spans="1:4" x14ac:dyDescent="0.3">
      <c r="A6" t="s">
        <v>44</v>
      </c>
      <c r="B6" s="1">
        <v>500</v>
      </c>
      <c r="C6">
        <v>1</v>
      </c>
      <c r="D6" s="7">
        <f t="shared" si="0"/>
        <v>500</v>
      </c>
    </row>
    <row r="7" spans="1:4" x14ac:dyDescent="0.3">
      <c r="A7" t="s">
        <v>43</v>
      </c>
      <c r="B7" s="1">
        <v>100</v>
      </c>
      <c r="C7">
        <v>1</v>
      </c>
      <c r="D7" s="7">
        <f t="shared" si="0"/>
        <v>100</v>
      </c>
    </row>
    <row r="8" spans="1:4" x14ac:dyDescent="0.3">
      <c r="A8" t="s">
        <v>53</v>
      </c>
      <c r="B8" s="1">
        <v>200</v>
      </c>
      <c r="C8">
        <v>1</v>
      </c>
      <c r="D8" s="7">
        <f t="shared" si="0"/>
        <v>200</v>
      </c>
    </row>
    <row r="11" spans="1:4" x14ac:dyDescent="0.3">
      <c r="A11" t="s">
        <v>45</v>
      </c>
      <c r="D11" s="7">
        <f>SUM(D2:D8)</f>
        <v>16930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6"/>
  <sheetViews>
    <sheetView workbookViewId="0">
      <selection activeCell="D5" sqref="D5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48</v>
      </c>
    </row>
    <row r="2" spans="1:7" x14ac:dyDescent="0.3">
      <c r="B2" s="1" t="s">
        <v>39</v>
      </c>
      <c r="C2" t="s">
        <v>47</v>
      </c>
      <c r="G2" t="s">
        <v>49</v>
      </c>
    </row>
    <row r="3" spans="1:7" x14ac:dyDescent="0.3">
      <c r="A3" t="s">
        <v>46</v>
      </c>
      <c r="B3" s="1">
        <v>15</v>
      </c>
      <c r="C3">
        <v>900</v>
      </c>
      <c r="D3" s="7">
        <f>C3*B3</f>
        <v>13500</v>
      </c>
      <c r="G3" t="s">
        <v>50</v>
      </c>
    </row>
    <row r="4" spans="1:7" x14ac:dyDescent="0.3">
      <c r="A4" t="s">
        <v>51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88</v>
      </c>
      <c r="D5" s="1">
        <v>5000</v>
      </c>
    </row>
    <row r="6" spans="1:7" x14ac:dyDescent="0.3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Comprehensive</vt:lpstr>
      <vt:lpstr>Net_And_Analysis</vt:lpstr>
      <vt:lpstr>Gross</vt:lpstr>
      <vt:lpstr>Overhead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2020-06-23T17:26:10Z</dcterms:modified>
</cp:coreProperties>
</file>