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francis\OneDrive - Hearst\Documents\Custom Office Templates\dogen\Finances\"/>
    </mc:Choice>
  </mc:AlternateContent>
  <xr:revisionPtr revIDLastSave="1806" documentId="8_{6C3C763F-D9E1-4E6D-8C86-4D28C6C6C4A6}" xr6:coauthVersionLast="44" xr6:coauthVersionMax="45" xr10:uidLastSave="{4C86C5F9-210D-433E-85CA-06C25F0C1889}"/>
  <bookViews>
    <workbookView xWindow="28680" yWindow="-120" windowWidth="29040" windowHeight="15840" activeTab="1" xr2:uid="{7EC05EA9-5315-43E9-8396-FB9501FE745C}"/>
  </bookViews>
  <sheets>
    <sheet name="Comprehensive" sheetId="3" r:id="rId1"/>
    <sheet name="Overhead" sheetId="2" r:id="rId2"/>
    <sheet name="Net_And_Analysis" sheetId="18" r:id="rId3"/>
    <sheet name="Gross" sheetId="16" r:id="rId4"/>
    <sheet name="Operating_Costs" sheetId="4" r:id="rId5"/>
    <sheet name="food" sheetId="15" r:id="rId6"/>
    <sheet name="employees" sheetId="10" r:id="rId7"/>
    <sheet name="Gaming" sheetId="7" r:id="rId8"/>
    <sheet name="Dance_Studio" sheetId="8" r:id="rId9"/>
    <sheet name="Kitchen" sheetId="9" r:id="rId10"/>
    <sheet name="Liabilities" sheetId="12" r:id="rId11"/>
    <sheet name="Eating Area" sheetId="13" r:id="rId12"/>
    <sheet name="decor" sheetId="11" r:id="rId13"/>
    <sheet name="Initial" sheetId="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0" l="1"/>
  <c r="H5" i="18"/>
  <c r="B6" i="3" s="1"/>
  <c r="B35" i="3"/>
  <c r="B31" i="3"/>
  <c r="B28" i="3"/>
  <c r="B11" i="3"/>
  <c r="B10" i="3"/>
  <c r="B9" i="3"/>
  <c r="B8" i="3"/>
  <c r="N31" i="16"/>
  <c r="B4" i="2"/>
  <c r="D8" i="8"/>
  <c r="G3" i="9"/>
  <c r="D8" i="7"/>
  <c r="M5" i="18"/>
  <c r="B16" i="18" s="1"/>
  <c r="N32" i="16"/>
  <c r="N33" i="16"/>
  <c r="N34" i="16"/>
  <c r="N36" i="16"/>
  <c r="N37" i="16" s="1"/>
  <c r="N42" i="16"/>
  <c r="N43" i="16" s="1"/>
  <c r="C12" i="4"/>
  <c r="F5" i="4"/>
  <c r="C9" i="9"/>
  <c r="G7" i="9"/>
  <c r="G8" i="9"/>
  <c r="N35" i="16" l="1"/>
  <c r="N41" i="16" s="1"/>
  <c r="N45" i="16" s="1"/>
  <c r="M6" i="18" s="1"/>
  <c r="F13" i="4"/>
  <c r="B13" i="2" s="1"/>
  <c r="B12" i="4"/>
  <c r="D12" i="4"/>
  <c r="E12" i="4" s="1"/>
  <c r="D17" i="2" l="1"/>
  <c r="B17" i="2"/>
  <c r="G17" i="2"/>
  <c r="E17" i="2"/>
  <c r="F17" i="2"/>
  <c r="C17" i="2"/>
  <c r="B4" i="3"/>
  <c r="B34" i="3" s="1"/>
  <c r="E28" i="16" l="1"/>
  <c r="E27" i="16"/>
  <c r="B26" i="18"/>
  <c r="B24" i="18"/>
  <c r="B12" i="18"/>
  <c r="I5" i="18"/>
  <c r="B7" i="3" s="1"/>
  <c r="J5" i="18"/>
  <c r="K5" i="18"/>
  <c r="L5" i="18"/>
  <c r="I31" i="16"/>
  <c r="I32" i="16"/>
  <c r="I33" i="16"/>
  <c r="I34" i="16"/>
  <c r="I36" i="16"/>
  <c r="I37" i="16" s="1"/>
  <c r="B13" i="18" s="1"/>
  <c r="I42" i="16"/>
  <c r="I43" i="16" s="1"/>
  <c r="C5" i="18"/>
  <c r="D5" i="18"/>
  <c r="E5" i="18"/>
  <c r="F5" i="18"/>
  <c r="G5" i="18"/>
  <c r="B5" i="18"/>
  <c r="K42" i="16"/>
  <c r="K43" i="16" s="1"/>
  <c r="M42" i="16"/>
  <c r="M43" i="16" s="1"/>
  <c r="B17" i="18" l="1"/>
  <c r="C17" i="18" s="1"/>
  <c r="B18" i="18"/>
  <c r="I35" i="16"/>
  <c r="I41" i="16" s="1"/>
  <c r="I45" i="16" s="1"/>
  <c r="H6" i="18" s="1"/>
  <c r="D42" i="16"/>
  <c r="D43" i="16" s="1"/>
  <c r="E42" i="16"/>
  <c r="E43" i="16" s="1"/>
  <c r="F42" i="16"/>
  <c r="F43" i="16" s="1"/>
  <c r="G42" i="16"/>
  <c r="G43" i="16" s="1"/>
  <c r="H42" i="16"/>
  <c r="H43" i="16" s="1"/>
  <c r="J42" i="16"/>
  <c r="J43" i="16" s="1"/>
  <c r="L42" i="16"/>
  <c r="L43" i="16" s="1"/>
  <c r="C42" i="16"/>
  <c r="C43" i="16" s="1"/>
  <c r="E26" i="16"/>
  <c r="E25" i="16"/>
  <c r="E21" i="16"/>
  <c r="E22" i="16"/>
  <c r="E23" i="16"/>
  <c r="E20" i="16"/>
  <c r="E17" i="16"/>
  <c r="B3" i="16"/>
  <c r="B7" i="16" s="1"/>
  <c r="F3" i="13"/>
  <c r="B3" i="13"/>
  <c r="D3" i="13"/>
  <c r="D5" i="13"/>
  <c r="D6" i="13"/>
  <c r="D4" i="13"/>
  <c r="C15" i="2"/>
  <c r="C16" i="2" s="1"/>
  <c r="D15" i="2"/>
  <c r="D16" i="2" s="1"/>
  <c r="E15" i="2"/>
  <c r="E16" i="2" s="1"/>
  <c r="F15" i="2"/>
  <c r="F16" i="2" s="1"/>
  <c r="G15" i="2"/>
  <c r="G16" i="2" s="1"/>
  <c r="B15" i="2"/>
  <c r="B16" i="2" s="1"/>
  <c r="C11" i="4"/>
  <c r="B11" i="4" s="1"/>
  <c r="E9" i="4"/>
  <c r="D9" i="4"/>
  <c r="B4" i="4"/>
  <c r="C4" i="4"/>
  <c r="B6" i="4"/>
  <c r="C6" i="4" s="1"/>
  <c r="C7" i="4"/>
  <c r="F7" i="4" s="1"/>
  <c r="B7" i="4"/>
  <c r="B8" i="4"/>
  <c r="C8" i="4" s="1"/>
  <c r="C9" i="4"/>
  <c r="B9" i="4" s="1"/>
  <c r="B10" i="4"/>
  <c r="F10" i="4"/>
  <c r="D10" i="4"/>
  <c r="E10" i="4" s="1"/>
  <c r="F9" i="4"/>
  <c r="C7" i="15"/>
  <c r="D7" i="15" s="1"/>
  <c r="E7" i="15" s="1"/>
  <c r="B8" i="15"/>
  <c r="B17" i="15"/>
  <c r="B19" i="15" s="1"/>
  <c r="C2" i="15" s="1"/>
  <c r="B16" i="15"/>
  <c r="D12" i="15"/>
  <c r="E12" i="15"/>
  <c r="F12" i="15"/>
  <c r="C12" i="15"/>
  <c r="B10" i="10"/>
  <c r="D5" i="4" l="1"/>
  <c r="E5" i="4" s="1"/>
  <c r="B11" i="10"/>
  <c r="B9" i="10"/>
  <c r="F6" i="4"/>
  <c r="D6" i="4"/>
  <c r="E6" i="4" s="1"/>
  <c r="F8" i="4"/>
  <c r="D8" i="4"/>
  <c r="E8" i="4" s="1"/>
  <c r="D11" i="4"/>
  <c r="E11" i="4" s="1"/>
  <c r="D7" i="4"/>
  <c r="E7" i="4" s="1"/>
  <c r="M31" i="16"/>
  <c r="K31" i="16"/>
  <c r="M34" i="16"/>
  <c r="K34" i="16"/>
  <c r="M32" i="16"/>
  <c r="K32" i="16"/>
  <c r="M33" i="16"/>
  <c r="M35" i="16" s="1"/>
  <c r="M41" i="16" s="1"/>
  <c r="M45" i="16" s="1"/>
  <c r="L6" i="18" s="1"/>
  <c r="K33" i="16"/>
  <c r="K35" i="16" s="1"/>
  <c r="K41" i="16" s="1"/>
  <c r="K45" i="16" s="1"/>
  <c r="D33" i="16"/>
  <c r="G22" i="16"/>
  <c r="G32" i="16"/>
  <c r="G21" i="16"/>
  <c r="F31" i="16"/>
  <c r="G20" i="16"/>
  <c r="E34" i="16"/>
  <c r="G23" i="16"/>
  <c r="L32" i="16"/>
  <c r="C33" i="16"/>
  <c r="J31" i="16"/>
  <c r="F32" i="16"/>
  <c r="G33" i="16"/>
  <c r="E31" i="16"/>
  <c r="D34" i="16"/>
  <c r="E24" i="16"/>
  <c r="C32" i="16"/>
  <c r="G34" i="16"/>
  <c r="L33" i="16"/>
  <c r="F33" i="16"/>
  <c r="J32" i="16"/>
  <c r="E32" i="16"/>
  <c r="H31" i="16"/>
  <c r="D31" i="16"/>
  <c r="C31" i="16"/>
  <c r="L34" i="16"/>
  <c r="F34" i="16"/>
  <c r="J33" i="16"/>
  <c r="E33" i="16"/>
  <c r="H32" i="16"/>
  <c r="D32" i="16"/>
  <c r="G31" i="16"/>
  <c r="H34" i="16"/>
  <c r="C34" i="16"/>
  <c r="J34" i="16"/>
  <c r="H33" i="16"/>
  <c r="L31" i="16"/>
  <c r="F7" i="15"/>
  <c r="C3" i="15"/>
  <c r="F3" i="15" s="1"/>
  <c r="F2" i="15"/>
  <c r="D2" i="15"/>
  <c r="E2" i="15" s="1"/>
  <c r="C4" i="15"/>
  <c r="D4" i="15" s="1"/>
  <c r="E4" i="15" s="1"/>
  <c r="D3" i="15"/>
  <c r="E3" i="15" s="1"/>
  <c r="F4" i="15"/>
  <c r="F4" i="13"/>
  <c r="F5" i="13"/>
  <c r="F6" i="13"/>
  <c r="K7" i="11"/>
  <c r="B7" i="2" s="1"/>
  <c r="B6" i="2"/>
  <c r="B7" i="12"/>
  <c r="K2" i="11"/>
  <c r="J2" i="11"/>
  <c r="D2" i="11"/>
  <c r="C2" i="11" s="1"/>
  <c r="D4" i="4" l="1"/>
  <c r="C5" i="4"/>
  <c r="B8" i="18"/>
  <c r="J6" i="18"/>
  <c r="G24" i="16"/>
  <c r="D35" i="16"/>
  <c r="D41" i="16" s="1"/>
  <c r="D45" i="16" s="1"/>
  <c r="C6" i="18" s="1"/>
  <c r="D36" i="16"/>
  <c r="D37" i="16" s="1"/>
  <c r="H36" i="16"/>
  <c r="H37" i="16" s="1"/>
  <c r="E36" i="16"/>
  <c r="E37" i="16" s="1"/>
  <c r="J36" i="16"/>
  <c r="J37" i="16" s="1"/>
  <c r="F36" i="16"/>
  <c r="F37" i="16" s="1"/>
  <c r="L36" i="16"/>
  <c r="L37" i="16" s="1"/>
  <c r="B20" i="18" s="1"/>
  <c r="B22" i="18" s="1"/>
  <c r="G36" i="16"/>
  <c r="G37" i="16" s="1"/>
  <c r="C36" i="16"/>
  <c r="C37" i="16" s="1"/>
  <c r="C35" i="16"/>
  <c r="C41" i="16" s="1"/>
  <c r="C45" i="16" s="1"/>
  <c r="B6" i="18" s="1"/>
  <c r="J35" i="16"/>
  <c r="J41" i="16" s="1"/>
  <c r="J45" i="16" s="1"/>
  <c r="I6" i="18" s="1"/>
  <c r="H35" i="16"/>
  <c r="H41" i="16" s="1"/>
  <c r="H45" i="16" s="1"/>
  <c r="G6" i="18" s="1"/>
  <c r="L35" i="16"/>
  <c r="L41" i="16" s="1"/>
  <c r="L45" i="16" s="1"/>
  <c r="E35" i="16"/>
  <c r="E41" i="16" s="1"/>
  <c r="E45" i="16" s="1"/>
  <c r="D6" i="18" s="1"/>
  <c r="G35" i="16"/>
  <c r="G41" i="16" s="1"/>
  <c r="G45" i="16" s="1"/>
  <c r="F6" i="18" s="1"/>
  <c r="F35" i="16"/>
  <c r="F41" i="16" s="1"/>
  <c r="F45" i="16" s="1"/>
  <c r="E6" i="18" s="1"/>
  <c r="F10" i="13"/>
  <c r="B8" i="2" s="1"/>
  <c r="C5" i="15"/>
  <c r="F5" i="15" s="1"/>
  <c r="D5" i="15"/>
  <c r="E5" i="15" s="1"/>
  <c r="F2" i="11"/>
  <c r="G15" i="9"/>
  <c r="G14" i="9"/>
  <c r="G13" i="9"/>
  <c r="G12" i="9"/>
  <c r="G11" i="9"/>
  <c r="G9" i="9"/>
  <c r="D2" i="9"/>
  <c r="G2" i="9" s="1"/>
  <c r="C10" i="9"/>
  <c r="G10" i="9" s="1"/>
  <c r="G5" i="9"/>
  <c r="G6" i="9"/>
  <c r="G4" i="9"/>
  <c r="D7" i="7"/>
  <c r="D4" i="8"/>
  <c r="D3" i="8"/>
  <c r="D5" i="7"/>
  <c r="D6" i="7"/>
  <c r="D3" i="7"/>
  <c r="D2" i="7"/>
  <c r="C4" i="7"/>
  <c r="D4" i="7" s="1"/>
  <c r="E10" i="18" l="1"/>
  <c r="F10" i="18"/>
  <c r="H10" i="18"/>
  <c r="M10" i="18"/>
  <c r="G10" i="18"/>
  <c r="D12" i="7"/>
  <c r="B28" i="18"/>
  <c r="B29" i="18" s="1"/>
  <c r="C10" i="18"/>
  <c r="L10" i="18"/>
  <c r="D10" i="18"/>
  <c r="B10" i="18"/>
  <c r="I10" i="18"/>
  <c r="C13" i="4"/>
  <c r="B5" i="4"/>
  <c r="B13" i="4" s="1"/>
  <c r="D13" i="4"/>
  <c r="E4" i="4"/>
  <c r="E13" i="4" s="1"/>
  <c r="J10" i="18"/>
  <c r="K6" i="18"/>
  <c r="K10" i="18" s="1"/>
  <c r="M36" i="16"/>
  <c r="M37" i="16" s="1"/>
  <c r="K36" i="16"/>
  <c r="K37" i="16" s="1"/>
  <c r="C6" i="15"/>
  <c r="D6" i="15" s="1"/>
  <c r="E6" i="15" s="1"/>
  <c r="F6" i="15"/>
  <c r="B3" i="2"/>
  <c r="G17" i="9"/>
  <c r="B5" i="2" s="1"/>
  <c r="B27" i="1"/>
  <c r="B10" i="2" l="1"/>
  <c r="B5" i="1"/>
  <c r="B7" i="1" s="1"/>
  <c r="B13" i="1"/>
  <c r="B31" i="1"/>
  <c r="B6" i="1" l="1"/>
  <c r="B14" i="1"/>
  <c r="B33" i="1"/>
  <c r="B35" i="1" s="1"/>
  <c r="B36" i="1" s="1"/>
  <c r="B37" i="1" s="1"/>
  <c r="B38" i="1" l="1"/>
  <c r="B34" i="1"/>
</calcChain>
</file>

<file path=xl/sharedStrings.xml><?xml version="1.0" encoding="utf-8"?>
<sst xmlns="http://schemas.openxmlformats.org/spreadsheetml/2006/main" count="277" uniqueCount="246">
  <si>
    <t>Overhead</t>
  </si>
  <si>
    <t>Regulars Frequency</t>
  </si>
  <si>
    <t>Regulars %</t>
  </si>
  <si>
    <t>Weekly %</t>
  </si>
  <si>
    <t>Community</t>
  </si>
  <si>
    <t>Customers per week</t>
  </si>
  <si>
    <t>Weekly Gross Income</t>
  </si>
  <si>
    <t>Four-week Income</t>
  </si>
  <si>
    <t>Gross Annual Income</t>
  </si>
  <si>
    <t>Taxes</t>
  </si>
  <si>
    <t>Income after taxes</t>
  </si>
  <si>
    <t>Total COGS Per Year</t>
  </si>
  <si>
    <t>Income after COGS</t>
  </si>
  <si>
    <t>Charge Entry per person on the weekends</t>
  </si>
  <si>
    <t>Charge Entry per person on a weekday</t>
  </si>
  <si>
    <t>About Once per week</t>
  </si>
  <si>
    <t>Regulars Income</t>
  </si>
  <si>
    <t>About Once per week  Gross Income</t>
  </si>
  <si>
    <t>utilities per month</t>
  </si>
  <si>
    <t>repairs per month</t>
  </si>
  <si>
    <t>supplies per month</t>
  </si>
  <si>
    <t>food per month</t>
  </si>
  <si>
    <t>rent per month</t>
  </si>
  <si>
    <t>staff per week</t>
  </si>
  <si>
    <t>Staff per four weeks</t>
  </si>
  <si>
    <t>Staff per year</t>
  </si>
  <si>
    <t>Total Per Month COGS (no staff)</t>
  </si>
  <si>
    <t>Number of daily staff</t>
  </si>
  <si>
    <t>Payment per staff per week</t>
  </si>
  <si>
    <t>Controllable Profit Variables</t>
  </si>
  <si>
    <t>Uncontrollable Profit Variables</t>
  </si>
  <si>
    <t>charge by rounding up to the nearest dollar</t>
  </si>
  <si>
    <t>security, food, greeting desk</t>
  </si>
  <si>
    <t>I will be maintenance</t>
  </si>
  <si>
    <t>Percentage</t>
  </si>
  <si>
    <t>per PC, accessories, and software</t>
  </si>
  <si>
    <t>long table, fits three PCs, 3x8 ft^2 design</t>
  </si>
  <si>
    <t>Number needed</t>
  </si>
  <si>
    <t>Costs</t>
  </si>
  <si>
    <t>Total Costs</t>
  </si>
  <si>
    <t>Costs Estimate</t>
  </si>
  <si>
    <t>Cleaning Supplies</t>
  </si>
  <si>
    <t>Games fund</t>
  </si>
  <si>
    <t>Total</t>
  </si>
  <si>
    <t>sprung wood flooring per square feet</t>
  </si>
  <si>
    <t>square feet</t>
  </si>
  <si>
    <t>sprung wood flooring per square feet costs</t>
  </si>
  <si>
    <t>$ 4 - 6</t>
  </si>
  <si>
    <t>Best case scenario</t>
  </si>
  <si>
    <t>Best case dance floor (synthetic)</t>
  </si>
  <si>
    <t>Wifi</t>
  </si>
  <si>
    <t>laminate countertops per square foot</t>
  </si>
  <si>
    <t>Electrical outlets</t>
  </si>
  <si>
    <t>sink installation and plumbing</t>
  </si>
  <si>
    <t>premium refrigerator</t>
  </si>
  <si>
    <t>shared kitchen appliances</t>
  </si>
  <si>
    <t>plates and utensils</t>
  </si>
  <si>
    <t>number of countertops</t>
  </si>
  <si>
    <t>Amount needed</t>
  </si>
  <si>
    <t>Sq. feet per countertop</t>
  </si>
  <si>
    <t>Cost</t>
  </si>
  <si>
    <t>Counter Installation</t>
  </si>
  <si>
    <t>double basin sinks</t>
  </si>
  <si>
    <t>kitchen shelves</t>
  </si>
  <si>
    <t>decorations</t>
  </si>
  <si>
    <t>stainless steel cookware</t>
  </si>
  <si>
    <t>knives</t>
  </si>
  <si>
    <t>allergy form</t>
  </si>
  <si>
    <t>liabaility waiver for the kitchen use</t>
  </si>
  <si>
    <t>sq feet per 1 gal. can</t>
  </si>
  <si>
    <t>paint per 1 gal</t>
  </si>
  <si>
    <t>sq feet (3 walls and half of fourth)</t>
  </si>
  <si>
    <t>One normal wall sq feet</t>
  </si>
  <si>
    <t>paint cans per wall</t>
  </si>
  <si>
    <t>Number of walls</t>
  </si>
  <si>
    <t>Length (ft)</t>
  </si>
  <si>
    <t>height (ft)</t>
  </si>
  <si>
    <t>Paint cans needed</t>
  </si>
  <si>
    <t>dancing</t>
  </si>
  <si>
    <t>cooking</t>
  </si>
  <si>
    <t>liability forms</t>
  </si>
  <si>
    <t>Likely scenario</t>
  </si>
  <si>
    <t>cleaning supplies</t>
  </si>
  <si>
    <t>Total Equipment Costs</t>
  </si>
  <si>
    <t>décor</t>
  </si>
  <si>
    <t>chairs</t>
  </si>
  <si>
    <t>8 seater tables</t>
  </si>
  <si>
    <t>4 seater tables</t>
  </si>
  <si>
    <t>2 seater tables</t>
  </si>
  <si>
    <t>Amount</t>
  </si>
  <si>
    <t>People per</t>
  </si>
  <si>
    <t>eating area</t>
  </si>
  <si>
    <t>Greeter/security</t>
  </si>
  <si>
    <t>Insurance</t>
  </si>
  <si>
    <t>wifi</t>
  </si>
  <si>
    <t>electricity</t>
  </si>
  <si>
    <t>weekly expenses</t>
  </si>
  <si>
    <t>biweekly expenses</t>
  </si>
  <si>
    <t>daily expenses</t>
  </si>
  <si>
    <t>biweekly expense</t>
  </si>
  <si>
    <t>annual expenses</t>
  </si>
  <si>
    <t>meats</t>
  </si>
  <si>
    <t>vegetables</t>
  </si>
  <si>
    <t>dairy</t>
  </si>
  <si>
    <t>carbohydrates</t>
  </si>
  <si>
    <t>Money set for food</t>
  </si>
  <si>
    <t>Cost per week</t>
  </si>
  <si>
    <t>biweekly</t>
  </si>
  <si>
    <t>four weeks</t>
  </si>
  <si>
    <t>Annually</t>
  </si>
  <si>
    <t>Food usage per cooking session</t>
  </si>
  <si>
    <t>People</t>
  </si>
  <si>
    <t>guided cooking sessions per week</t>
  </si>
  <si>
    <t>Number of People</t>
  </si>
  <si>
    <t>Cost per cooking session</t>
  </si>
  <si>
    <t>People per cooking session (including cook)</t>
  </si>
  <si>
    <t>Percent excess food needed for unguided cooking*</t>
  </si>
  <si>
    <t>*Based on 80/20 rule</t>
  </si>
  <si>
    <t>Cost per week before 80/20 rule</t>
  </si>
  <si>
    <t>Estimated Final cost of food per week</t>
  </si>
  <si>
    <t>spices</t>
  </si>
  <si>
    <t>food**</t>
  </si>
  <si>
    <t>water**</t>
  </si>
  <si>
    <t>new equipment budget</t>
  </si>
  <si>
    <t>**Food, cleaning supplies, and water are based on 50 weeks of expenses</t>
  </si>
  <si>
    <t>cleaning supplies**</t>
  </si>
  <si>
    <t>four week expenses</t>
  </si>
  <si>
    <t>employees</t>
  </si>
  <si>
    <t>Total Annual Operating Costs</t>
  </si>
  <si>
    <t>Borrowed time (months)</t>
  </si>
  <si>
    <t>Borrowed time (years)</t>
  </si>
  <si>
    <t>Estimated loan amount</t>
  </si>
  <si>
    <t>Month 1</t>
  </si>
  <si>
    <t>Month 2</t>
  </si>
  <si>
    <t>Dance</t>
  </si>
  <si>
    <t>PCs</t>
  </si>
  <si>
    <t>Eating area</t>
  </si>
  <si>
    <t>Kitchen</t>
  </si>
  <si>
    <t>Total People</t>
  </si>
  <si>
    <t>Capacity (people)</t>
  </si>
  <si>
    <t>Applying 80/20 rule for consumers</t>
  </si>
  <si>
    <t>Members</t>
  </si>
  <si>
    <t>Entry Fees</t>
  </si>
  <si>
    <t>Percent of Engaged Community Estimates</t>
  </si>
  <si>
    <t>Charge</t>
  </si>
  <si>
    <t>Charges</t>
  </si>
  <si>
    <t>Monthly member</t>
  </si>
  <si>
    <t>Weekday entry fee</t>
  </si>
  <si>
    <t>Weekend entry fee</t>
  </si>
  <si>
    <t>Frequency Estimates per week (% of community)</t>
  </si>
  <si>
    <t>Frequency is the number of visits</t>
  </si>
  <si>
    <t>Calculating member capacity</t>
  </si>
  <si>
    <t>Community (people)</t>
  </si>
  <si>
    <t>Weekday 80%</t>
  </si>
  <si>
    <t>Weekday 20%</t>
  </si>
  <si>
    <t>Weekend 80%</t>
  </si>
  <si>
    <t>Weekend 20%</t>
  </si>
  <si>
    <t>Assuming exclusive groups</t>
  </si>
  <si>
    <t>Members 80%</t>
  </si>
  <si>
    <t>Members 20%</t>
  </si>
  <si>
    <t>Frequency</t>
  </si>
  <si>
    <t>Fraction of Community</t>
  </si>
  <si>
    <t>Fraction of community</t>
  </si>
  <si>
    <t>Fraction subcommunities</t>
  </si>
  <si>
    <t>Total entry fees per week</t>
  </si>
  <si>
    <t>N/A</t>
  </si>
  <si>
    <t>Membership fees per month</t>
  </si>
  <si>
    <t>Annual membership fees</t>
  </si>
  <si>
    <t>Annual entry fees</t>
  </si>
  <si>
    <t>Annual Gross</t>
  </si>
  <si>
    <t>Total Visits per week</t>
  </si>
  <si>
    <t>Visits per week</t>
  </si>
  <si>
    <t>Average Visits per day</t>
  </si>
  <si>
    <t>Annual Operating Costs</t>
  </si>
  <si>
    <t>Annual Gross Income</t>
  </si>
  <si>
    <t>Annual Net Income</t>
  </si>
  <si>
    <t>Community Break even estimate</t>
  </si>
  <si>
    <t>Average visits per day</t>
  </si>
  <si>
    <t>Max Capacity</t>
  </si>
  <si>
    <t>Max real time capacity</t>
  </si>
  <si>
    <t>Max Visitor Capacity Estimate</t>
  </si>
  <si>
    <t>Average visits per day*</t>
  </si>
  <si>
    <t>Percent Greater than average visits</t>
  </si>
  <si>
    <t>Max possible visits per day</t>
  </si>
  <si>
    <t>Waves of people</t>
  </si>
  <si>
    <t>Breakeven Point</t>
  </si>
  <si>
    <t>Estimated possible visits per day</t>
  </si>
  <si>
    <t>subtract members</t>
  </si>
  <si>
    <t>There must be room for regular members to come in</t>
  </si>
  <si>
    <t>Expected Visits per day</t>
  </si>
  <si>
    <t>Overflow Amount of People</t>
  </si>
  <si>
    <t>Extra Room for Members</t>
  </si>
  <si>
    <t>Breakeven point</t>
  </si>
  <si>
    <t>Engaged Community</t>
  </si>
  <si>
    <t>First year goal</t>
  </si>
  <si>
    <t>Second year goal</t>
  </si>
  <si>
    <t>Third year goal</t>
  </si>
  <si>
    <t>Fourth year goal</t>
  </si>
  <si>
    <t>Target demographic</t>
  </si>
  <si>
    <t>Target demographic size in New Haven County</t>
  </si>
  <si>
    <t>not including 18-19 year=olds due to lack of data</t>
  </si>
  <si>
    <t>conservative estimate of 18-19 year-olds*</t>
  </si>
  <si>
    <t>True Total</t>
  </si>
  <si>
    <t>Percent of people needed to break even</t>
  </si>
  <si>
    <t>Percent of people needed to reach max capacity</t>
  </si>
  <si>
    <t>Sixth year max capacity goal</t>
  </si>
  <si>
    <t>Fifth year goal</t>
  </si>
  <si>
    <t>Month 1 prior</t>
  </si>
  <si>
    <t>Month 2 prior</t>
  </si>
  <si>
    <t>Create a team of potential employees: dedicated leaders</t>
  </si>
  <si>
    <t>Month 3</t>
  </si>
  <si>
    <t>Securing funding</t>
  </si>
  <si>
    <t>Month 3 prior</t>
  </si>
  <si>
    <t>Build the space</t>
  </si>
  <si>
    <t>Dance groups arrive</t>
  </si>
  <si>
    <t>Month 4 -12</t>
  </si>
  <si>
    <t>sub-sub-communities</t>
  </si>
  <si>
    <t>rent</t>
  </si>
  <si>
    <t>monthly rent estimate</t>
  </si>
  <si>
    <t>Attempt to reach target of break-even community members</t>
  </si>
  <si>
    <t>Business Management/Maintenance</t>
  </si>
  <si>
    <t>gas range</t>
  </si>
  <si>
    <t>range hoods</t>
  </si>
  <si>
    <t>hood installations</t>
  </si>
  <si>
    <t>White board and markers</t>
  </si>
  <si>
    <t>Comfy office chairs</t>
  </si>
  <si>
    <t>counter installation</t>
  </si>
  <si>
    <t>Operating Costs</t>
  </si>
  <si>
    <t>mirror</t>
  </si>
  <si>
    <t>Total for worst case scenario</t>
  </si>
  <si>
    <t>Unforeseen Costs</t>
  </si>
  <si>
    <t>PC area</t>
  </si>
  <si>
    <t>https://data.census.gov/cedsci/table?q=S0101&amp;g=1600000USundefined_0500000US09009_0400000US09&amp;tid=ACSST1Y2018.S0101</t>
  </si>
  <si>
    <t>40-44</t>
  </si>
  <si>
    <t>35-39</t>
  </si>
  <si>
    <t>29-34</t>
  </si>
  <si>
    <t>25-29</t>
  </si>
  <si>
    <t>20-24</t>
  </si>
  <si>
    <t>45-49</t>
  </si>
  <si>
    <t>50-54</t>
  </si>
  <si>
    <t>55-59</t>
  </si>
  <si>
    <t>60-64</t>
  </si>
  <si>
    <t>65-69</t>
  </si>
  <si>
    <t>70-74</t>
  </si>
  <si>
    <t>Part-time greeter/security</t>
  </si>
  <si>
    <t>18-80 year-olds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</si>
</sst>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0" fillId="0" borderId="0" xfId="0" applyNumberFormat="1"/>
    <xf numFmtId="9" fontId="0" fillId="0" borderId="0" xfId="2" applyFont="1"/>
    <xf numFmtId="10" fontId="0" fillId="0" borderId="0" xfId="1" applyNumberFormat="1" applyFont="1"/>
    <xf numFmtId="6" fontId="0" fillId="0" borderId="0" xfId="0" applyNumberFormat="1"/>
    <xf numFmtId="44" fontId="0" fillId="0" borderId="0" xfId="0" applyNumberFormat="1"/>
    <xf numFmtId="0" fontId="0" fillId="0" borderId="0" xfId="2" applyNumberFormat="1" applyFont="1"/>
    <xf numFmtId="9" fontId="0" fillId="0" borderId="0" xfId="0" applyNumberFormat="1"/>
    <xf numFmtId="0" fontId="0" fillId="2" borderId="0" xfId="0" applyFill="1"/>
    <xf numFmtId="44" fontId="0" fillId="2" borderId="0" xfId="0" applyNumberFormat="1" applyFill="1"/>
    <xf numFmtId="0" fontId="0" fillId="3" borderId="0" xfId="0" applyFill="1"/>
    <xf numFmtId="44" fontId="0" fillId="3" borderId="0" xfId="0" applyNumberFormat="1" applyFill="1"/>
    <xf numFmtId="0" fontId="2" fillId="0" borderId="0" xfId="4"/>
    <xf numFmtId="164" fontId="0" fillId="0" borderId="0" xfId="3" applyNumberFormat="1" applyFont="1"/>
    <xf numFmtId="164" fontId="0" fillId="0" borderId="0" xfId="0" applyNumberFormat="1"/>
    <xf numFmtId="166" fontId="0" fillId="0" borderId="0" xfId="2" applyNumberFormat="1" applyFont="1"/>
    <xf numFmtId="0" fontId="0" fillId="0" borderId="0" xfId="2" applyNumberFormat="1" applyFont="1" applyAlignment="1">
      <alignment horizontal="center"/>
    </xf>
    <xf numFmtId="0" fontId="0" fillId="4" borderId="1" xfId="0" applyFill="1" applyBorder="1"/>
    <xf numFmtId="44" fontId="0" fillId="4" borderId="1" xfId="0" applyNumberFormat="1" applyFill="1" applyBorder="1"/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ensus.gov/cedsci/table?q=S0101&amp;g=1600000USundefined_0500000US09009_0400000US09&amp;tid=ACSST1Y2018.S0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28D9-1DCE-4B51-AE60-9CCAF40EB9F8}">
  <dimension ref="A3:C35"/>
  <sheetViews>
    <sheetView workbookViewId="0">
      <selection activeCell="A27" sqref="A27"/>
    </sheetView>
  </sheetViews>
  <sheetFormatPr defaultRowHeight="14.4" x14ac:dyDescent="0.3"/>
  <cols>
    <col min="1" max="1" width="43.33203125" bestFit="1" customWidth="1"/>
    <col min="2" max="2" width="17.77734375" bestFit="1" customWidth="1"/>
  </cols>
  <sheetData>
    <row r="3" spans="1:3" x14ac:dyDescent="0.3">
      <c r="B3" t="s">
        <v>193</v>
      </c>
    </row>
    <row r="4" spans="1:3" x14ac:dyDescent="0.3">
      <c r="A4" t="s">
        <v>192</v>
      </c>
      <c r="B4">
        <f>Net_And_Analysis!H5</f>
        <v>214</v>
      </c>
    </row>
    <row r="6" spans="1:3" x14ac:dyDescent="0.3">
      <c r="A6" t="s">
        <v>194</v>
      </c>
      <c r="B6">
        <f>Net_And_Analysis!H5</f>
        <v>214</v>
      </c>
    </row>
    <row r="7" spans="1:3" x14ac:dyDescent="0.3">
      <c r="A7" t="s">
        <v>195</v>
      </c>
      <c r="B7">
        <f>Net_And_Analysis!I5</f>
        <v>250</v>
      </c>
    </row>
    <row r="8" spans="1:3" x14ac:dyDescent="0.3">
      <c r="A8" t="s">
        <v>196</v>
      </c>
      <c r="B8">
        <f>Net_And_Analysis!J5</f>
        <v>300</v>
      </c>
    </row>
    <row r="9" spans="1:3" x14ac:dyDescent="0.3">
      <c r="A9" t="s">
        <v>197</v>
      </c>
      <c r="B9">
        <f>Net_And_Analysis!K5</f>
        <v>400</v>
      </c>
    </row>
    <row r="10" spans="1:3" x14ac:dyDescent="0.3">
      <c r="A10" t="s">
        <v>206</v>
      </c>
      <c r="B10">
        <f>Net_And_Analysis!L5</f>
        <v>500</v>
      </c>
    </row>
    <row r="11" spans="1:3" x14ac:dyDescent="0.3">
      <c r="A11" t="s">
        <v>205</v>
      </c>
      <c r="B11">
        <f>Net_And_Analysis!M5</f>
        <v>580</v>
      </c>
    </row>
    <row r="13" spans="1:3" x14ac:dyDescent="0.3">
      <c r="A13" t="s">
        <v>198</v>
      </c>
      <c r="B13" t="s">
        <v>245</v>
      </c>
      <c r="C13" s="14" t="s">
        <v>232</v>
      </c>
    </row>
    <row r="14" spans="1:3" x14ac:dyDescent="0.3">
      <c r="A14" t="s">
        <v>199</v>
      </c>
      <c r="C14">
        <v>2018</v>
      </c>
    </row>
    <row r="15" spans="1:3" x14ac:dyDescent="0.3">
      <c r="A15" t="s">
        <v>237</v>
      </c>
      <c r="B15">
        <v>58809</v>
      </c>
    </row>
    <row r="16" spans="1:3" x14ac:dyDescent="0.3">
      <c r="A16" t="s">
        <v>236</v>
      </c>
      <c r="B16">
        <v>56453</v>
      </c>
    </row>
    <row r="17" spans="1:2" x14ac:dyDescent="0.3">
      <c r="A17" t="s">
        <v>235</v>
      </c>
      <c r="B17">
        <v>58645</v>
      </c>
    </row>
    <row r="18" spans="1:2" x14ac:dyDescent="0.3">
      <c r="A18" t="s">
        <v>234</v>
      </c>
      <c r="B18">
        <v>49754</v>
      </c>
    </row>
    <row r="19" spans="1:2" x14ac:dyDescent="0.3">
      <c r="A19" t="s">
        <v>233</v>
      </c>
      <c r="B19">
        <v>50741</v>
      </c>
    </row>
    <row r="20" spans="1:2" x14ac:dyDescent="0.3">
      <c r="A20" t="s">
        <v>238</v>
      </c>
      <c r="B20">
        <v>54969</v>
      </c>
    </row>
    <row r="21" spans="1:2" x14ac:dyDescent="0.3">
      <c r="A21" t="s">
        <v>239</v>
      </c>
      <c r="B21">
        <v>59755</v>
      </c>
    </row>
    <row r="22" spans="1:2" x14ac:dyDescent="0.3">
      <c r="A22" t="s">
        <v>240</v>
      </c>
      <c r="B22">
        <v>59073</v>
      </c>
    </row>
    <row r="23" spans="1:2" x14ac:dyDescent="0.3">
      <c r="A23" t="s">
        <v>241</v>
      </c>
      <c r="B23">
        <v>60768</v>
      </c>
    </row>
    <row r="24" spans="1:2" x14ac:dyDescent="0.3">
      <c r="A24" t="s">
        <v>242</v>
      </c>
      <c r="B24">
        <v>45951</v>
      </c>
    </row>
    <row r="25" spans="1:2" x14ac:dyDescent="0.3">
      <c r="A25" t="s">
        <v>243</v>
      </c>
      <c r="B25">
        <v>37199</v>
      </c>
    </row>
    <row r="28" spans="1:2" x14ac:dyDescent="0.3">
      <c r="A28" t="s">
        <v>43</v>
      </c>
      <c r="B28" s="15">
        <f>SUM(B15:B25)</f>
        <v>592117</v>
      </c>
    </row>
    <row r="29" spans="1:2" x14ac:dyDescent="0.3">
      <c r="A29" t="s">
        <v>201</v>
      </c>
      <c r="B29" s="15">
        <v>25000</v>
      </c>
    </row>
    <row r="30" spans="1:2" x14ac:dyDescent="0.3">
      <c r="A30" t="s">
        <v>200</v>
      </c>
    </row>
    <row r="31" spans="1:2" x14ac:dyDescent="0.3">
      <c r="A31" t="s">
        <v>202</v>
      </c>
      <c r="B31" s="16">
        <f>B28+B29</f>
        <v>617117</v>
      </c>
    </row>
    <row r="32" spans="1:2" x14ac:dyDescent="0.3">
      <c r="B32" s="15"/>
    </row>
    <row r="34" spans="1:2" x14ac:dyDescent="0.3">
      <c r="A34" t="s">
        <v>203</v>
      </c>
      <c r="B34" s="17">
        <f>$B$4/$B$31</f>
        <v>3.4677378843882116E-4</v>
      </c>
    </row>
    <row r="35" spans="1:2" x14ac:dyDescent="0.3">
      <c r="A35" t="s">
        <v>204</v>
      </c>
      <c r="B35" s="17">
        <f>$B$11/$B$28</f>
        <v>9.7953613897253404E-4</v>
      </c>
    </row>
  </sheetData>
  <phoneticPr fontId="3" type="noConversion"/>
  <hyperlinks>
    <hyperlink ref="C13" r:id="rId1" xr:uid="{9F460612-A357-4BC2-96AB-6169A788747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605D-AE6F-456E-B5FE-7223BF3283FD}">
  <dimension ref="A1:G17"/>
  <sheetViews>
    <sheetView workbookViewId="0">
      <selection activeCell="G4" sqref="G4"/>
    </sheetView>
  </sheetViews>
  <sheetFormatPr defaultRowHeight="14.4" x14ac:dyDescent="0.3"/>
  <cols>
    <col min="1" max="1" width="33.88671875" bestFit="1" customWidth="1"/>
    <col min="2" max="2" width="10.5546875" style="1" bestFit="1" customWidth="1"/>
    <col min="3" max="3" width="22.44140625" bestFit="1" customWidth="1"/>
    <col min="4" max="4" width="20" bestFit="1" customWidth="1"/>
    <col min="5" max="5" width="20.109375" bestFit="1" customWidth="1"/>
    <col min="6" max="6" width="21.21875" bestFit="1" customWidth="1"/>
    <col min="7" max="7" width="11.5546875" bestFit="1" customWidth="1"/>
  </cols>
  <sheetData>
    <row r="1" spans="1:7" x14ac:dyDescent="0.3">
      <c r="B1" s="1" t="s">
        <v>38</v>
      </c>
      <c r="C1" t="s">
        <v>58</v>
      </c>
      <c r="D1" t="s">
        <v>59</v>
      </c>
      <c r="E1" t="s">
        <v>61</v>
      </c>
      <c r="F1" t="s">
        <v>57</v>
      </c>
      <c r="G1" t="s">
        <v>60</v>
      </c>
    </row>
    <row r="2" spans="1:7" x14ac:dyDescent="0.3">
      <c r="A2" t="s">
        <v>51</v>
      </c>
      <c r="B2" s="1">
        <v>35</v>
      </c>
      <c r="C2">
        <v>1</v>
      </c>
      <c r="D2">
        <f>5*5</f>
        <v>25</v>
      </c>
      <c r="E2">
        <v>400</v>
      </c>
      <c r="F2">
        <v>3</v>
      </c>
      <c r="G2" s="7">
        <f>(PRODUCT(B2:D2) +E2)*F2</f>
        <v>3825</v>
      </c>
    </row>
    <row r="3" spans="1:7" x14ac:dyDescent="0.3">
      <c r="A3" t="s">
        <v>226</v>
      </c>
      <c r="B3" s="1">
        <v>700</v>
      </c>
      <c r="C3">
        <v>4</v>
      </c>
      <c r="G3" s="7">
        <f>B3*C3</f>
        <v>2800</v>
      </c>
    </row>
    <row r="4" spans="1:7" x14ac:dyDescent="0.3">
      <c r="A4" t="s">
        <v>62</v>
      </c>
      <c r="B4" s="1">
        <v>300</v>
      </c>
      <c r="C4">
        <v>4</v>
      </c>
      <c r="G4" s="7">
        <f>B4*C4</f>
        <v>1200</v>
      </c>
    </row>
    <row r="5" spans="1:7" x14ac:dyDescent="0.3">
      <c r="A5" t="s">
        <v>52</v>
      </c>
      <c r="B5" s="1">
        <v>50</v>
      </c>
      <c r="C5">
        <v>4</v>
      </c>
      <c r="G5" s="7">
        <f t="shared" ref="G5:G15" si="0">B5*C5</f>
        <v>200</v>
      </c>
    </row>
    <row r="6" spans="1:7" x14ac:dyDescent="0.3">
      <c r="A6" t="s">
        <v>53</v>
      </c>
      <c r="B6" s="1">
        <v>500</v>
      </c>
      <c r="C6">
        <v>4</v>
      </c>
      <c r="G6" s="7">
        <f t="shared" si="0"/>
        <v>2000</v>
      </c>
    </row>
    <row r="7" spans="1:7" x14ac:dyDescent="0.3">
      <c r="A7" t="s">
        <v>221</v>
      </c>
      <c r="B7" s="1">
        <v>600</v>
      </c>
      <c r="C7">
        <v>4</v>
      </c>
      <c r="G7" s="7">
        <f t="shared" si="0"/>
        <v>2400</v>
      </c>
    </row>
    <row r="8" spans="1:7" x14ac:dyDescent="0.3">
      <c r="A8" t="s">
        <v>223</v>
      </c>
      <c r="B8" s="1">
        <v>8000</v>
      </c>
      <c r="C8">
        <v>1</v>
      </c>
      <c r="G8" s="7">
        <f t="shared" si="0"/>
        <v>8000</v>
      </c>
    </row>
    <row r="9" spans="1:7" x14ac:dyDescent="0.3">
      <c r="A9" t="s">
        <v>222</v>
      </c>
      <c r="B9" s="1">
        <v>350</v>
      </c>
      <c r="C9">
        <f>C7</f>
        <v>4</v>
      </c>
      <c r="G9" s="7">
        <f t="shared" si="0"/>
        <v>1400</v>
      </c>
    </row>
    <row r="10" spans="1:7" x14ac:dyDescent="0.3">
      <c r="A10" t="s">
        <v>54</v>
      </c>
      <c r="B10" s="1">
        <v>900</v>
      </c>
      <c r="C10">
        <f>$F$2</f>
        <v>3</v>
      </c>
      <c r="G10" s="7">
        <f t="shared" si="0"/>
        <v>2700</v>
      </c>
    </row>
    <row r="11" spans="1:7" x14ac:dyDescent="0.3">
      <c r="A11" t="s">
        <v>55</v>
      </c>
      <c r="B11" s="1">
        <v>1000</v>
      </c>
      <c r="C11">
        <v>1</v>
      </c>
      <c r="G11" s="7">
        <f t="shared" si="0"/>
        <v>1000</v>
      </c>
    </row>
    <row r="12" spans="1:7" x14ac:dyDescent="0.3">
      <c r="A12" t="s">
        <v>56</v>
      </c>
      <c r="B12" s="1">
        <v>0</v>
      </c>
      <c r="C12">
        <v>1</v>
      </c>
      <c r="G12" s="7">
        <f t="shared" si="0"/>
        <v>0</v>
      </c>
    </row>
    <row r="13" spans="1:7" x14ac:dyDescent="0.3">
      <c r="A13" t="s">
        <v>63</v>
      </c>
      <c r="B13" s="1">
        <v>100</v>
      </c>
      <c r="C13">
        <v>6</v>
      </c>
      <c r="G13" s="7">
        <f t="shared" si="0"/>
        <v>600</v>
      </c>
    </row>
    <row r="14" spans="1:7" x14ac:dyDescent="0.3">
      <c r="A14" t="s">
        <v>65</v>
      </c>
      <c r="B14" s="1">
        <v>250</v>
      </c>
      <c r="C14">
        <v>3</v>
      </c>
      <c r="G14" s="7">
        <f t="shared" si="0"/>
        <v>750</v>
      </c>
    </row>
    <row r="15" spans="1:7" x14ac:dyDescent="0.3">
      <c r="A15" t="s">
        <v>66</v>
      </c>
      <c r="B15" s="1">
        <v>80</v>
      </c>
      <c r="C15">
        <v>3</v>
      </c>
      <c r="G15" s="7">
        <f t="shared" si="0"/>
        <v>240</v>
      </c>
    </row>
    <row r="17" spans="1:7" x14ac:dyDescent="0.3">
      <c r="A17" t="s">
        <v>43</v>
      </c>
      <c r="G17" s="7">
        <f>SUM(G2:G15)</f>
        <v>27115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18DE-64EC-418D-B15A-DB7866B424E3}">
  <dimension ref="A1:B7"/>
  <sheetViews>
    <sheetView workbookViewId="0">
      <selection activeCell="A8" sqref="A8"/>
    </sheetView>
  </sheetViews>
  <sheetFormatPr defaultRowHeight="14.4" x14ac:dyDescent="0.3"/>
  <cols>
    <col min="1" max="1" width="32.88671875" bestFit="1" customWidth="1"/>
  </cols>
  <sheetData>
    <row r="1" spans="1:2" x14ac:dyDescent="0.3">
      <c r="B1" t="s">
        <v>60</v>
      </c>
    </row>
    <row r="2" spans="1:2" x14ac:dyDescent="0.3">
      <c r="A2" t="s">
        <v>68</v>
      </c>
      <c r="B2" s="1">
        <v>100</v>
      </c>
    </row>
    <row r="3" spans="1:2" x14ac:dyDescent="0.3">
      <c r="A3" t="s">
        <v>67</v>
      </c>
      <c r="B3" s="1">
        <v>50</v>
      </c>
    </row>
    <row r="7" spans="1:2" x14ac:dyDescent="0.3">
      <c r="A7" t="s">
        <v>43</v>
      </c>
      <c r="B7" s="7">
        <f>B2+B3</f>
        <v>150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3AE5-3953-4739-93F6-EFB9BCC1B4E0}">
  <dimension ref="A2:F10"/>
  <sheetViews>
    <sheetView workbookViewId="0">
      <selection activeCell="F9" sqref="F9"/>
    </sheetView>
  </sheetViews>
  <sheetFormatPr defaultRowHeight="14.4" x14ac:dyDescent="0.3"/>
  <cols>
    <col min="1" max="1" width="26.44140625" customWidth="1"/>
    <col min="3" max="3" width="15.88671875" bestFit="1" customWidth="1"/>
    <col min="4" max="4" width="11.21875" bestFit="1" customWidth="1"/>
    <col min="6" max="6" width="10.5546875" style="1" bestFit="1" customWidth="1"/>
  </cols>
  <sheetData>
    <row r="2" spans="1:6" x14ac:dyDescent="0.3">
      <c r="B2" t="s">
        <v>89</v>
      </c>
      <c r="C2" t="s">
        <v>90</v>
      </c>
      <c r="D2" t="s">
        <v>138</v>
      </c>
      <c r="E2" t="s">
        <v>60</v>
      </c>
      <c r="F2" s="1" t="s">
        <v>43</v>
      </c>
    </row>
    <row r="3" spans="1:6" x14ac:dyDescent="0.3">
      <c r="A3" t="s">
        <v>85</v>
      </c>
      <c r="B3">
        <f>D3</f>
        <v>40</v>
      </c>
      <c r="C3">
        <v>1</v>
      </c>
      <c r="D3">
        <f>SUM(D4:D6)</f>
        <v>40</v>
      </c>
      <c r="E3">
        <v>25</v>
      </c>
      <c r="F3" s="1">
        <f>E3*B3</f>
        <v>1000</v>
      </c>
    </row>
    <row r="4" spans="1:6" x14ac:dyDescent="0.3">
      <c r="A4" t="s">
        <v>86</v>
      </c>
      <c r="B4">
        <v>2</v>
      </c>
      <c r="C4">
        <v>8</v>
      </c>
      <c r="D4">
        <f>C4*B4</f>
        <v>16</v>
      </c>
      <c r="E4">
        <v>400</v>
      </c>
      <c r="F4" s="1">
        <f>E4*B4</f>
        <v>800</v>
      </c>
    </row>
    <row r="5" spans="1:6" x14ac:dyDescent="0.3">
      <c r="A5" t="s">
        <v>87</v>
      </c>
      <c r="B5">
        <v>4</v>
      </c>
      <c r="C5">
        <v>4</v>
      </c>
      <c r="D5">
        <f t="shared" ref="D5:D6" si="0">C5*B5</f>
        <v>16</v>
      </c>
      <c r="E5">
        <v>200</v>
      </c>
      <c r="F5" s="1">
        <f>E5*B5</f>
        <v>800</v>
      </c>
    </row>
    <row r="6" spans="1:6" x14ac:dyDescent="0.3">
      <c r="A6" t="s">
        <v>88</v>
      </c>
      <c r="B6">
        <v>4</v>
      </c>
      <c r="C6">
        <v>2</v>
      </c>
      <c r="D6">
        <f t="shared" si="0"/>
        <v>8</v>
      </c>
      <c r="E6">
        <v>150</v>
      </c>
      <c r="F6" s="1">
        <f>E6*B6</f>
        <v>600</v>
      </c>
    </row>
    <row r="10" spans="1:6" x14ac:dyDescent="0.3">
      <c r="A10" t="s">
        <v>43</v>
      </c>
      <c r="F10" s="1">
        <f>SUM(F3:F6)</f>
        <v>3200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6F31-02C3-4DB3-8520-6CC51B52F01A}">
  <dimension ref="A1:K7"/>
  <sheetViews>
    <sheetView workbookViewId="0">
      <selection activeCell="H12" sqref="H12"/>
    </sheetView>
  </sheetViews>
  <sheetFormatPr defaultRowHeight="14.4" x14ac:dyDescent="0.3"/>
  <cols>
    <col min="1" max="1" width="16.44140625" bestFit="1" customWidth="1"/>
    <col min="3" max="3" width="31.5546875" bestFit="1" customWidth="1"/>
    <col min="4" max="4" width="22.5546875" bestFit="1" customWidth="1"/>
    <col min="5" max="5" width="19.33203125" bestFit="1" customWidth="1"/>
    <col min="6" max="6" width="17.6640625" bestFit="1" customWidth="1"/>
    <col min="7" max="7" width="15.6640625" bestFit="1" customWidth="1"/>
    <col min="8" max="8" width="10.33203125" bestFit="1" customWidth="1"/>
    <col min="9" max="9" width="10.5546875" bestFit="1" customWidth="1"/>
    <col min="10" max="10" width="17.44140625" bestFit="1" customWidth="1"/>
    <col min="11" max="11" width="9.109375" style="1"/>
  </cols>
  <sheetData>
    <row r="1" spans="1:11" x14ac:dyDescent="0.3">
      <c r="B1" t="s">
        <v>60</v>
      </c>
      <c r="C1" t="s">
        <v>71</v>
      </c>
      <c r="D1" t="s">
        <v>72</v>
      </c>
      <c r="E1" t="s">
        <v>69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s="1" t="s">
        <v>43</v>
      </c>
    </row>
    <row r="2" spans="1:11" x14ac:dyDescent="0.3">
      <c r="A2" t="s">
        <v>70</v>
      </c>
      <c r="B2">
        <v>20</v>
      </c>
      <c r="C2">
        <f>D2*G2</f>
        <v>3500</v>
      </c>
      <c r="D2">
        <f>I2*H2</f>
        <v>1000</v>
      </c>
      <c r="E2">
        <v>350</v>
      </c>
      <c r="F2">
        <f>D2/E2</f>
        <v>2.8571428571428572</v>
      </c>
      <c r="G2">
        <v>3.5</v>
      </c>
      <c r="H2">
        <v>100</v>
      </c>
      <c r="I2">
        <v>10</v>
      </c>
      <c r="J2">
        <f>C2/E2</f>
        <v>10</v>
      </c>
      <c r="K2" s="1">
        <f>B2*J2</f>
        <v>200</v>
      </c>
    </row>
    <row r="3" spans="1:11" x14ac:dyDescent="0.3">
      <c r="A3" t="s">
        <v>64</v>
      </c>
      <c r="K3" s="1">
        <v>400</v>
      </c>
    </row>
    <row r="4" spans="1:11" x14ac:dyDescent="0.3">
      <c r="A4" t="s">
        <v>82</v>
      </c>
      <c r="K4" s="1">
        <v>200</v>
      </c>
    </row>
    <row r="7" spans="1:11" x14ac:dyDescent="0.3">
      <c r="A7" t="s">
        <v>43</v>
      </c>
      <c r="K7" s="1">
        <f>SUM(K2:K4)</f>
        <v>800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A4BF-7444-461A-A7D9-DCB85EAD9C4B}">
  <dimension ref="A2:C38"/>
  <sheetViews>
    <sheetView workbookViewId="0">
      <selection activeCell="B15" sqref="B15"/>
    </sheetView>
  </sheetViews>
  <sheetFormatPr defaultRowHeight="14.4" x14ac:dyDescent="0.3"/>
  <cols>
    <col min="1" max="1" width="38.88671875" bestFit="1" customWidth="1"/>
    <col min="2" max="2" width="12.5546875" style="1" bestFit="1" customWidth="1"/>
  </cols>
  <sheetData>
    <row r="2" spans="1:3" x14ac:dyDescent="0.3">
      <c r="A2" t="s">
        <v>0</v>
      </c>
      <c r="B2" s="1">
        <v>60000</v>
      </c>
    </row>
    <row r="3" spans="1:3" x14ac:dyDescent="0.3">
      <c r="A3" t="s">
        <v>27</v>
      </c>
      <c r="B3" s="2">
        <v>3</v>
      </c>
      <c r="C3" t="s">
        <v>32</v>
      </c>
    </row>
    <row r="4" spans="1:3" x14ac:dyDescent="0.3">
      <c r="A4" t="s">
        <v>28</v>
      </c>
      <c r="B4" s="1">
        <v>700</v>
      </c>
      <c r="C4" t="s">
        <v>33</v>
      </c>
    </row>
    <row r="5" spans="1:3" x14ac:dyDescent="0.3">
      <c r="A5" t="s">
        <v>23</v>
      </c>
      <c r="B5" s="1">
        <f>B4*B3</f>
        <v>2100</v>
      </c>
    </row>
    <row r="6" spans="1:3" x14ac:dyDescent="0.3">
      <c r="A6" t="s">
        <v>24</v>
      </c>
      <c r="B6" s="1">
        <f>B5*4</f>
        <v>8400</v>
      </c>
    </row>
    <row r="7" spans="1:3" x14ac:dyDescent="0.3">
      <c r="A7" t="s">
        <v>25</v>
      </c>
      <c r="B7" s="1">
        <f>B5*51</f>
        <v>107100</v>
      </c>
    </row>
    <row r="8" spans="1:3" x14ac:dyDescent="0.3">
      <c r="A8" t="s">
        <v>22</v>
      </c>
      <c r="B8" s="1">
        <v>5000</v>
      </c>
    </row>
    <row r="9" spans="1:3" x14ac:dyDescent="0.3">
      <c r="A9" t="s">
        <v>21</v>
      </c>
      <c r="B9" s="1">
        <v>0</v>
      </c>
      <c r="C9" t="s">
        <v>31</v>
      </c>
    </row>
    <row r="10" spans="1:3" x14ac:dyDescent="0.3">
      <c r="A10" t="s">
        <v>20</v>
      </c>
      <c r="B10" s="1">
        <v>200</v>
      </c>
    </row>
    <row r="11" spans="1:3" x14ac:dyDescent="0.3">
      <c r="A11" t="s">
        <v>19</v>
      </c>
      <c r="B11" s="1">
        <v>100</v>
      </c>
    </row>
    <row r="12" spans="1:3" x14ac:dyDescent="0.3">
      <c r="A12" t="s">
        <v>18</v>
      </c>
      <c r="B12" s="1">
        <v>400</v>
      </c>
    </row>
    <row r="13" spans="1:3" x14ac:dyDescent="0.3">
      <c r="A13" t="s">
        <v>26</v>
      </c>
      <c r="B13" s="1">
        <f>SUM(B8:B12)</f>
        <v>5700</v>
      </c>
    </row>
    <row r="14" spans="1:3" x14ac:dyDescent="0.3">
      <c r="A14" t="s">
        <v>11</v>
      </c>
      <c r="B14" s="1">
        <f>B13*12+B7</f>
        <v>175500</v>
      </c>
    </row>
    <row r="17" spans="1:2" x14ac:dyDescent="0.3">
      <c r="A17" t="s">
        <v>29</v>
      </c>
    </row>
    <row r="18" spans="1:2" x14ac:dyDescent="0.3">
      <c r="A18" t="s">
        <v>13</v>
      </c>
      <c r="B18" s="1">
        <v>20</v>
      </c>
    </row>
    <row r="19" spans="1:2" x14ac:dyDescent="0.3">
      <c r="A19" t="s">
        <v>14</v>
      </c>
      <c r="B19" s="1">
        <v>15</v>
      </c>
    </row>
    <row r="21" spans="1:2" x14ac:dyDescent="0.3">
      <c r="A21" t="s">
        <v>30</v>
      </c>
    </row>
    <row r="22" spans="1:2" x14ac:dyDescent="0.3">
      <c r="A22" t="s">
        <v>4</v>
      </c>
      <c r="B22" s="2">
        <v>500</v>
      </c>
    </row>
    <row r="24" spans="1:2" x14ac:dyDescent="0.3">
      <c r="A24" t="s">
        <v>5</v>
      </c>
    </row>
    <row r="25" spans="1:2" x14ac:dyDescent="0.3">
      <c r="A25" s="3" t="s">
        <v>1</v>
      </c>
      <c r="B25" s="2">
        <v>2.5</v>
      </c>
    </row>
    <row r="26" spans="1:2" x14ac:dyDescent="0.3">
      <c r="A26" s="3" t="s">
        <v>2</v>
      </c>
      <c r="B26" s="4">
        <v>0.2</v>
      </c>
    </row>
    <row r="27" spans="1:2" x14ac:dyDescent="0.3">
      <c r="A27" s="3" t="s">
        <v>16</v>
      </c>
      <c r="B27" s="1">
        <f>B19*B25*B26*B22</f>
        <v>3750</v>
      </c>
    </row>
    <row r="29" spans="1:2" x14ac:dyDescent="0.3">
      <c r="A29" s="3" t="s">
        <v>15</v>
      </c>
      <c r="B29" s="2">
        <v>1.5</v>
      </c>
    </row>
    <row r="30" spans="1:2" x14ac:dyDescent="0.3">
      <c r="A30" s="3" t="s">
        <v>3</v>
      </c>
      <c r="B30" s="5">
        <v>0.8</v>
      </c>
    </row>
    <row r="31" spans="1:2" x14ac:dyDescent="0.3">
      <c r="A31" s="3" t="s">
        <v>17</v>
      </c>
      <c r="B31" s="1">
        <f>B22*B18*B29*B30</f>
        <v>12000</v>
      </c>
    </row>
    <row r="33" spans="1:2" x14ac:dyDescent="0.3">
      <c r="A33" t="s">
        <v>6</v>
      </c>
      <c r="B33" s="1">
        <f>B27+B31</f>
        <v>15750</v>
      </c>
    </row>
    <row r="34" spans="1:2" x14ac:dyDescent="0.3">
      <c r="A34" s="3" t="s">
        <v>7</v>
      </c>
      <c r="B34" s="1">
        <f>B33*4</f>
        <v>63000</v>
      </c>
    </row>
    <row r="35" spans="1:2" x14ac:dyDescent="0.3">
      <c r="A35" s="3" t="s">
        <v>8</v>
      </c>
      <c r="B35" s="1">
        <f>B33*51</f>
        <v>803250</v>
      </c>
    </row>
    <row r="36" spans="1:2" x14ac:dyDescent="0.3">
      <c r="A36" s="3" t="s">
        <v>9</v>
      </c>
      <c r="B36" s="1">
        <f>B35*0.25</f>
        <v>200812.5</v>
      </c>
    </row>
    <row r="37" spans="1:2" x14ac:dyDescent="0.3">
      <c r="A37" s="3" t="s">
        <v>10</v>
      </c>
      <c r="B37" s="1">
        <f>B35-B36</f>
        <v>602437.5</v>
      </c>
    </row>
    <row r="38" spans="1:2" x14ac:dyDescent="0.3">
      <c r="A38" s="3" t="s">
        <v>12</v>
      </c>
      <c r="B38" s="1">
        <f>B37-B14</f>
        <v>426937.5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C8DE-41B9-46A0-BE44-EAAB92E58FB4}">
  <dimension ref="A3:H26"/>
  <sheetViews>
    <sheetView tabSelected="1" workbookViewId="0">
      <selection activeCell="D21" sqref="D21"/>
    </sheetView>
  </sheetViews>
  <sheetFormatPr defaultRowHeight="14.4" x14ac:dyDescent="0.3"/>
  <cols>
    <col min="1" max="1" width="31" bestFit="1" customWidth="1"/>
    <col min="2" max="2" width="21.88671875" customWidth="1"/>
    <col min="3" max="5" width="12.109375" bestFit="1" customWidth="1"/>
    <col min="6" max="7" width="12" bestFit="1" customWidth="1"/>
    <col min="8" max="8" width="11.109375" bestFit="1" customWidth="1"/>
  </cols>
  <sheetData>
    <row r="3" spans="1:8" x14ac:dyDescent="0.3">
      <c r="A3" t="s">
        <v>231</v>
      </c>
      <c r="B3" s="7">
        <f>Gaming!D12</f>
        <v>19680</v>
      </c>
    </row>
    <row r="4" spans="1:8" x14ac:dyDescent="0.3">
      <c r="A4" t="s">
        <v>78</v>
      </c>
      <c r="B4" s="7">
        <f>Dance_Studio!D8</f>
        <v>16500</v>
      </c>
    </row>
    <row r="5" spans="1:8" x14ac:dyDescent="0.3">
      <c r="A5" t="s">
        <v>79</v>
      </c>
      <c r="B5" s="7">
        <f>Kitchen!G17</f>
        <v>27115</v>
      </c>
    </row>
    <row r="6" spans="1:8" x14ac:dyDescent="0.3">
      <c r="A6" t="s">
        <v>80</v>
      </c>
      <c r="B6" s="7">
        <f>Liabilities!B7</f>
        <v>150</v>
      </c>
    </row>
    <row r="7" spans="1:8" x14ac:dyDescent="0.3">
      <c r="A7" t="s">
        <v>84</v>
      </c>
      <c r="B7" s="7">
        <f>decor!K7</f>
        <v>800</v>
      </c>
    </row>
    <row r="8" spans="1:8" x14ac:dyDescent="0.3">
      <c r="A8" t="s">
        <v>91</v>
      </c>
      <c r="B8" s="7">
        <f>'Eating Area'!F10</f>
        <v>3200</v>
      </c>
    </row>
    <row r="10" spans="1:8" x14ac:dyDescent="0.3">
      <c r="A10" t="s">
        <v>83</v>
      </c>
      <c r="B10" s="7">
        <f>SUM(B3:B8)</f>
        <v>67445</v>
      </c>
    </row>
    <row r="11" spans="1:8" x14ac:dyDescent="0.3">
      <c r="A11" t="s">
        <v>230</v>
      </c>
      <c r="B11" s="1">
        <v>10000</v>
      </c>
    </row>
    <row r="13" spans="1:8" x14ac:dyDescent="0.3">
      <c r="A13" t="s">
        <v>128</v>
      </c>
      <c r="B13" s="7">
        <f>Operating_Costs!F13</f>
        <v>222166.66666666666</v>
      </c>
    </row>
    <row r="14" spans="1:8" x14ac:dyDescent="0.3">
      <c r="A14" t="s">
        <v>129</v>
      </c>
      <c r="B14">
        <v>6</v>
      </c>
      <c r="C14">
        <v>5</v>
      </c>
      <c r="D14">
        <v>4</v>
      </c>
      <c r="E14">
        <v>3</v>
      </c>
      <c r="F14">
        <v>2</v>
      </c>
      <c r="G14">
        <v>1</v>
      </c>
    </row>
    <row r="15" spans="1:8" x14ac:dyDescent="0.3">
      <c r="A15" t="s">
        <v>130</v>
      </c>
      <c r="B15">
        <f>B14/12</f>
        <v>0.5</v>
      </c>
      <c r="C15">
        <f t="shared" ref="C15:G15" si="0">C14/12</f>
        <v>0.41666666666666669</v>
      </c>
      <c r="D15">
        <f t="shared" si="0"/>
        <v>0.33333333333333331</v>
      </c>
      <c r="E15">
        <f t="shared" si="0"/>
        <v>0.25</v>
      </c>
      <c r="F15">
        <f t="shared" si="0"/>
        <v>0.16666666666666666</v>
      </c>
      <c r="G15">
        <f t="shared" si="0"/>
        <v>8.3333333333333329E-2</v>
      </c>
    </row>
    <row r="16" spans="1:8" x14ac:dyDescent="0.3">
      <c r="A16" t="s">
        <v>227</v>
      </c>
      <c r="B16" s="7">
        <f>$B$13*B$15</f>
        <v>111083.33333333333</v>
      </c>
      <c r="C16" s="7">
        <f>$B$13*C$15</f>
        <v>92569.444444444438</v>
      </c>
      <c r="D16" s="7">
        <f>$B$13*D$15</f>
        <v>74055.555555555547</v>
      </c>
      <c r="E16" s="7">
        <f>$B$13*E$15</f>
        <v>55541.666666666664</v>
      </c>
      <c r="F16" s="7">
        <f>$B$13*F$15</f>
        <v>37027.777777777774</v>
      </c>
      <c r="G16" s="7">
        <f>$B$13*G$15</f>
        <v>18513.888888888887</v>
      </c>
      <c r="H16" s="7"/>
    </row>
    <row r="17" spans="1:8" x14ac:dyDescent="0.3">
      <c r="A17" t="s">
        <v>131</v>
      </c>
      <c r="B17" s="7">
        <f>$B$10+($B$13*B$15)+$B$11</f>
        <v>188528.33333333331</v>
      </c>
      <c r="C17" s="7">
        <f t="shared" ref="C17:G17" si="1">$B$10+($B$13*C$15)+$B$11</f>
        <v>170014.44444444444</v>
      </c>
      <c r="D17" s="7">
        <f t="shared" si="1"/>
        <v>151500.55555555556</v>
      </c>
      <c r="E17" s="7">
        <f t="shared" si="1"/>
        <v>132986.66666666666</v>
      </c>
      <c r="F17" s="7">
        <f t="shared" si="1"/>
        <v>114472.77777777778</v>
      </c>
      <c r="G17" s="7">
        <f t="shared" si="1"/>
        <v>95958.888888888891</v>
      </c>
      <c r="H17" s="7"/>
    </row>
    <row r="20" spans="1:8" x14ac:dyDescent="0.3">
      <c r="A20" t="s">
        <v>212</v>
      </c>
      <c r="B20" t="s">
        <v>211</v>
      </c>
    </row>
    <row r="21" spans="1:8" x14ac:dyDescent="0.3">
      <c r="A21" t="s">
        <v>208</v>
      </c>
      <c r="B21" t="s">
        <v>211</v>
      </c>
    </row>
    <row r="22" spans="1:8" x14ac:dyDescent="0.3">
      <c r="A22" t="s">
        <v>207</v>
      </c>
      <c r="B22" t="s">
        <v>211</v>
      </c>
    </row>
    <row r="23" spans="1:8" x14ac:dyDescent="0.3">
      <c r="A23" t="s">
        <v>132</v>
      </c>
      <c r="B23" t="s">
        <v>209</v>
      </c>
    </row>
    <row r="24" spans="1:8" x14ac:dyDescent="0.3">
      <c r="A24" t="s">
        <v>133</v>
      </c>
      <c r="B24" t="s">
        <v>213</v>
      </c>
    </row>
    <row r="25" spans="1:8" x14ac:dyDescent="0.3">
      <c r="A25" t="s">
        <v>210</v>
      </c>
      <c r="B25" t="s">
        <v>214</v>
      </c>
    </row>
    <row r="26" spans="1:8" x14ac:dyDescent="0.3">
      <c r="A26" t="s">
        <v>215</v>
      </c>
      <c r="B26" t="s">
        <v>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772E-1427-43D2-80C2-98741A931E56}">
  <dimension ref="A4:M29"/>
  <sheetViews>
    <sheetView workbookViewId="0">
      <selection activeCell="A41" sqref="A41"/>
    </sheetView>
  </sheetViews>
  <sheetFormatPr defaultRowHeight="14.4" x14ac:dyDescent="0.3"/>
  <cols>
    <col min="1" max="1" width="32.6640625" bestFit="1" customWidth="1"/>
    <col min="2" max="6" width="12.6640625" bestFit="1" customWidth="1"/>
    <col min="7" max="7" width="12.109375" bestFit="1" customWidth="1"/>
    <col min="8" max="8" width="14.33203125" style="10" bestFit="1" customWidth="1"/>
    <col min="9" max="10" width="12.109375" bestFit="1" customWidth="1"/>
    <col min="11" max="11" width="13.6640625" style="19" bestFit="1" customWidth="1"/>
    <col min="12" max="12" width="13.6640625" bestFit="1" customWidth="1"/>
    <col min="13" max="13" width="12.21875" style="12" bestFit="1" customWidth="1"/>
  </cols>
  <sheetData>
    <row r="4" spans="1:13" x14ac:dyDescent="0.3">
      <c r="H4" s="10" t="s">
        <v>185</v>
      </c>
      <c r="M4" s="12" t="s">
        <v>178</v>
      </c>
    </row>
    <row r="5" spans="1:13" x14ac:dyDescent="0.3">
      <c r="A5" t="s">
        <v>4</v>
      </c>
      <c r="B5">
        <f>Gross!C30</f>
        <v>5</v>
      </c>
      <c r="C5">
        <f>Gross!D30</f>
        <v>10</v>
      </c>
      <c r="D5">
        <f>Gross!E30</f>
        <v>20</v>
      </c>
      <c r="E5">
        <f>Gross!F30</f>
        <v>40</v>
      </c>
      <c r="F5">
        <f>Gross!G30</f>
        <v>80</v>
      </c>
      <c r="G5">
        <f>Gross!H30</f>
        <v>160</v>
      </c>
      <c r="H5" s="10">
        <f>Gross!I30</f>
        <v>214</v>
      </c>
      <c r="I5">
        <f>Gross!J30</f>
        <v>250</v>
      </c>
      <c r="J5">
        <f>Gross!K30</f>
        <v>300</v>
      </c>
      <c r="K5" s="19">
        <f>Gross!L30</f>
        <v>400</v>
      </c>
      <c r="L5">
        <f>Gross!M30</f>
        <v>500</v>
      </c>
      <c r="M5" s="12">
        <f>Gross!N30</f>
        <v>580</v>
      </c>
    </row>
    <row r="6" spans="1:13" x14ac:dyDescent="0.3">
      <c r="A6" t="s">
        <v>174</v>
      </c>
      <c r="B6" s="7">
        <f>Gross!C45</f>
        <v>5200.0000000000009</v>
      </c>
      <c r="C6" s="7">
        <f>Gross!D45</f>
        <v>10400.000000000002</v>
      </c>
      <c r="D6" s="7">
        <f>Gross!E45</f>
        <v>20800.000000000004</v>
      </c>
      <c r="E6" s="7">
        <f>Gross!F45</f>
        <v>41600.000000000007</v>
      </c>
      <c r="F6" s="7">
        <f>Gross!G45</f>
        <v>83200.000000000015</v>
      </c>
      <c r="G6" s="7">
        <f>Gross!H45</f>
        <v>166400.00000000003</v>
      </c>
      <c r="H6" s="11">
        <f>Gross!I45</f>
        <v>222560.00000000006</v>
      </c>
      <c r="I6" s="7">
        <f>Gross!J45</f>
        <v>260000.00000000006</v>
      </c>
      <c r="J6" s="7">
        <f>Gross!K45</f>
        <v>312000.00000000006</v>
      </c>
      <c r="K6" s="20">
        <f>Gross!L45</f>
        <v>416000.00000000012</v>
      </c>
      <c r="L6" s="7">
        <f>Gross!M45</f>
        <v>520000.00000000012</v>
      </c>
      <c r="M6" s="13">
        <f>Gross!N45</f>
        <v>603200.00000000012</v>
      </c>
    </row>
    <row r="8" spans="1:13" x14ac:dyDescent="0.3">
      <c r="A8" t="s">
        <v>173</v>
      </c>
      <c r="B8" s="7">
        <f>Operating_Costs!F13</f>
        <v>222166.66666666666</v>
      </c>
    </row>
    <row r="10" spans="1:13" x14ac:dyDescent="0.3">
      <c r="A10" t="s">
        <v>175</v>
      </c>
      <c r="B10" s="7">
        <f>B6-$B$8</f>
        <v>-216966.66666666666</v>
      </c>
      <c r="C10" s="7">
        <f t="shared" ref="C10:L10" si="0">C6-$B$8</f>
        <v>-211766.66666666666</v>
      </c>
      <c r="D10" s="7">
        <f t="shared" si="0"/>
        <v>-201366.66666666666</v>
      </c>
      <c r="E10" s="7">
        <f t="shared" si="0"/>
        <v>-180566.66666666666</v>
      </c>
      <c r="F10" s="7">
        <f t="shared" si="0"/>
        <v>-138966.66666666663</v>
      </c>
      <c r="G10" s="7">
        <f t="shared" si="0"/>
        <v>-55766.666666666628</v>
      </c>
      <c r="H10" s="11">
        <f t="shared" si="0"/>
        <v>393.33333333340124</v>
      </c>
      <c r="I10" s="7">
        <f t="shared" si="0"/>
        <v>37833.333333333401</v>
      </c>
      <c r="J10" s="7">
        <f t="shared" si="0"/>
        <v>89833.333333333401</v>
      </c>
      <c r="K10" s="20">
        <f t="shared" si="0"/>
        <v>193833.33333333346</v>
      </c>
      <c r="L10" s="7">
        <f t="shared" si="0"/>
        <v>297833.33333333349</v>
      </c>
      <c r="M10" s="13">
        <f t="shared" ref="M10" si="1">M6-$B$8</f>
        <v>381033.33333333349</v>
      </c>
    </row>
    <row r="11" spans="1:13" x14ac:dyDescent="0.3">
      <c r="B11" t="s">
        <v>111</v>
      </c>
    </row>
    <row r="12" spans="1:13" x14ac:dyDescent="0.3">
      <c r="A12" t="s">
        <v>176</v>
      </c>
      <c r="B12">
        <f>H5</f>
        <v>214</v>
      </c>
    </row>
    <row r="13" spans="1:13" x14ac:dyDescent="0.3">
      <c r="A13" t="s">
        <v>177</v>
      </c>
      <c r="B13">
        <f>Gross!I37</f>
        <v>34.240000000000009</v>
      </c>
    </row>
    <row r="15" spans="1:13" x14ac:dyDescent="0.3">
      <c r="B15" t="s">
        <v>111</v>
      </c>
    </row>
    <row r="16" spans="1:13" x14ac:dyDescent="0.3">
      <c r="A16" t="s">
        <v>180</v>
      </c>
      <c r="B16">
        <f>M5</f>
        <v>580</v>
      </c>
      <c r="C16" t="s">
        <v>189</v>
      </c>
    </row>
    <row r="17" spans="1:3" x14ac:dyDescent="0.3">
      <c r="A17" t="s">
        <v>141</v>
      </c>
      <c r="B17">
        <f>B16*0.2</f>
        <v>116</v>
      </c>
      <c r="C17">
        <f>B17/2</f>
        <v>58</v>
      </c>
    </row>
    <row r="18" spans="1:3" x14ac:dyDescent="0.3">
      <c r="A18" t="s">
        <v>187</v>
      </c>
      <c r="B18">
        <f>B16-(0.2*710)</f>
        <v>438</v>
      </c>
    </row>
    <row r="20" spans="1:3" x14ac:dyDescent="0.3">
      <c r="A20" t="s">
        <v>181</v>
      </c>
      <c r="B20">
        <f>Gross!L37</f>
        <v>64.000000000000014</v>
      </c>
    </row>
    <row r="21" spans="1:3" x14ac:dyDescent="0.3">
      <c r="A21" t="s">
        <v>182</v>
      </c>
      <c r="B21" s="9">
        <v>0.75</v>
      </c>
    </row>
    <row r="22" spans="1:3" x14ac:dyDescent="0.3">
      <c r="A22" t="s">
        <v>186</v>
      </c>
      <c r="B22">
        <f>B20*(1+B21)</f>
        <v>112.00000000000003</v>
      </c>
      <c r="C22" t="s">
        <v>188</v>
      </c>
    </row>
    <row r="24" spans="1:3" x14ac:dyDescent="0.3">
      <c r="A24" t="s">
        <v>179</v>
      </c>
      <c r="B24">
        <f>Gross!B7</f>
        <v>85</v>
      </c>
    </row>
    <row r="25" spans="1:3" x14ac:dyDescent="0.3">
      <c r="A25" t="s">
        <v>184</v>
      </c>
      <c r="B25">
        <v>2</v>
      </c>
    </row>
    <row r="26" spans="1:3" x14ac:dyDescent="0.3">
      <c r="A26" t="s">
        <v>183</v>
      </c>
      <c r="B26">
        <f>B24*B25</f>
        <v>170</v>
      </c>
    </row>
    <row r="28" spans="1:3" x14ac:dyDescent="0.3">
      <c r="A28" t="s">
        <v>191</v>
      </c>
      <c r="B28">
        <f>B26-B22</f>
        <v>57.999999999999972</v>
      </c>
    </row>
    <row r="29" spans="1:3" x14ac:dyDescent="0.3">
      <c r="A29" t="s">
        <v>190</v>
      </c>
      <c r="B29">
        <f>C17-B28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9888-B526-4FAC-9FC1-7A03020906F6}">
  <dimension ref="A1:N45"/>
  <sheetViews>
    <sheetView topLeftCell="A16" workbookViewId="0">
      <selection activeCell="D37" sqref="D37"/>
    </sheetView>
  </sheetViews>
  <sheetFormatPr defaultRowHeight="14.4" x14ac:dyDescent="0.3"/>
  <cols>
    <col min="1" max="1" width="24.21875" bestFit="1" customWidth="1"/>
    <col min="2" max="2" width="22.5546875" bestFit="1" customWidth="1"/>
    <col min="3" max="3" width="22.21875" customWidth="1"/>
    <col min="4" max="4" width="18.77734375" customWidth="1"/>
    <col min="5" max="5" width="19.6640625" bestFit="1" customWidth="1"/>
    <col min="6" max="6" width="12.109375" customWidth="1"/>
    <col min="7" max="7" width="11.109375" bestFit="1" customWidth="1"/>
    <col min="8" max="11" width="12.109375" bestFit="1" customWidth="1"/>
    <col min="12" max="13" width="13.6640625" bestFit="1" customWidth="1"/>
    <col min="14" max="14" width="12.21875" bestFit="1" customWidth="1"/>
  </cols>
  <sheetData>
    <row r="1" spans="1:7" x14ac:dyDescent="0.3">
      <c r="B1" t="s">
        <v>139</v>
      </c>
      <c r="F1" t="s">
        <v>140</v>
      </c>
    </row>
    <row r="2" spans="1:7" x14ac:dyDescent="0.3">
      <c r="A2" t="s">
        <v>134</v>
      </c>
      <c r="B2">
        <v>20</v>
      </c>
      <c r="F2" t="s">
        <v>143</v>
      </c>
      <c r="G2" t="s">
        <v>144</v>
      </c>
    </row>
    <row r="3" spans="1:7" x14ac:dyDescent="0.3">
      <c r="A3" t="s">
        <v>135</v>
      </c>
      <c r="B3">
        <f>10</f>
        <v>10</v>
      </c>
      <c r="D3" t="s">
        <v>141</v>
      </c>
      <c r="F3" s="9">
        <v>0.2</v>
      </c>
      <c r="G3" s="6"/>
    </row>
    <row r="4" spans="1:7" x14ac:dyDescent="0.3">
      <c r="A4" t="s">
        <v>136</v>
      </c>
      <c r="B4">
        <v>40</v>
      </c>
      <c r="D4" t="s">
        <v>142</v>
      </c>
      <c r="F4" s="9">
        <v>0.8</v>
      </c>
    </row>
    <row r="5" spans="1:7" x14ac:dyDescent="0.3">
      <c r="A5" t="s">
        <v>137</v>
      </c>
      <c r="B5">
        <v>15</v>
      </c>
    </row>
    <row r="7" spans="1:7" x14ac:dyDescent="0.3">
      <c r="A7" t="s">
        <v>43</v>
      </c>
      <c r="B7">
        <f>SUM(B2:B5)</f>
        <v>85</v>
      </c>
    </row>
    <row r="9" spans="1:7" x14ac:dyDescent="0.3">
      <c r="C9" t="s">
        <v>151</v>
      </c>
    </row>
    <row r="10" spans="1:7" x14ac:dyDescent="0.3">
      <c r="C10" t="s">
        <v>150</v>
      </c>
    </row>
    <row r="11" spans="1:7" x14ac:dyDescent="0.3">
      <c r="C11" t="s">
        <v>149</v>
      </c>
    </row>
    <row r="12" spans="1:7" x14ac:dyDescent="0.3">
      <c r="B12" t="s">
        <v>145</v>
      </c>
      <c r="C12" s="9">
        <v>0.2</v>
      </c>
      <c r="D12" s="9">
        <v>0.8</v>
      </c>
    </row>
    <row r="13" spans="1:7" x14ac:dyDescent="0.3">
      <c r="A13" t="s">
        <v>146</v>
      </c>
      <c r="B13" s="1">
        <v>40</v>
      </c>
      <c r="C13">
        <v>5</v>
      </c>
      <c r="D13">
        <v>3</v>
      </c>
    </row>
    <row r="14" spans="1:7" x14ac:dyDescent="0.3">
      <c r="A14" t="s">
        <v>147</v>
      </c>
      <c r="B14" s="1">
        <v>10</v>
      </c>
      <c r="C14">
        <v>3</v>
      </c>
      <c r="D14">
        <v>2</v>
      </c>
    </row>
    <row r="15" spans="1:7" x14ac:dyDescent="0.3">
      <c r="A15" t="s">
        <v>148</v>
      </c>
      <c r="B15" s="1">
        <v>20</v>
      </c>
      <c r="C15">
        <v>2</v>
      </c>
      <c r="D15">
        <v>1</v>
      </c>
    </row>
    <row r="17" spans="1:14" x14ac:dyDescent="0.3">
      <c r="D17" s="9">
        <v>0.2</v>
      </c>
      <c r="E17">
        <f>D17*100</f>
        <v>20</v>
      </c>
    </row>
    <row r="18" spans="1:14" s="3" customFormat="1" x14ac:dyDescent="0.3"/>
    <row r="19" spans="1:14" x14ac:dyDescent="0.3">
      <c r="A19" t="s">
        <v>161</v>
      </c>
      <c r="B19" t="s">
        <v>163</v>
      </c>
      <c r="C19" t="s">
        <v>157</v>
      </c>
      <c r="D19" t="s">
        <v>216</v>
      </c>
      <c r="E19" t="s">
        <v>162</v>
      </c>
      <c r="F19" t="s">
        <v>160</v>
      </c>
      <c r="G19" t="s">
        <v>171</v>
      </c>
    </row>
    <row r="20" spans="1:14" x14ac:dyDescent="0.3">
      <c r="A20" s="18">
        <v>0.8</v>
      </c>
      <c r="B20">
        <v>0.2</v>
      </c>
      <c r="C20" s="3" t="s">
        <v>153</v>
      </c>
      <c r="D20" s="8">
        <v>0.8</v>
      </c>
      <c r="E20" s="3">
        <f>$A$20*D20*B20</f>
        <v>0.12800000000000003</v>
      </c>
      <c r="F20" s="2">
        <v>2</v>
      </c>
      <c r="G20">
        <f>E20*F20</f>
        <v>0.25600000000000006</v>
      </c>
    </row>
    <row r="21" spans="1:14" x14ac:dyDescent="0.3">
      <c r="A21" s="18"/>
      <c r="B21">
        <v>0.2</v>
      </c>
      <c r="C21" s="3" t="s">
        <v>154</v>
      </c>
      <c r="D21" s="8">
        <v>0.2</v>
      </c>
      <c r="E21" s="3">
        <f t="shared" ref="E21:E23" si="0">$A$20*D21*B21</f>
        <v>3.2000000000000008E-2</v>
      </c>
      <c r="F21" s="2">
        <v>3</v>
      </c>
      <c r="G21">
        <f t="shared" ref="G21:G23" si="1">E21*F21</f>
        <v>9.600000000000003E-2</v>
      </c>
    </row>
    <row r="22" spans="1:14" x14ac:dyDescent="0.3">
      <c r="A22" s="18"/>
      <c r="B22">
        <v>0.8</v>
      </c>
      <c r="C22" s="3" t="s">
        <v>155</v>
      </c>
      <c r="D22" s="8">
        <v>0.8</v>
      </c>
      <c r="E22" s="3">
        <f t="shared" si="0"/>
        <v>0.51200000000000012</v>
      </c>
      <c r="F22" s="2">
        <v>1</v>
      </c>
      <c r="G22">
        <f t="shared" si="1"/>
        <v>0.51200000000000012</v>
      </c>
    </row>
    <row r="23" spans="1:14" x14ac:dyDescent="0.3">
      <c r="A23" s="18"/>
      <c r="B23">
        <v>0.8</v>
      </c>
      <c r="C23" s="3" t="s">
        <v>156</v>
      </c>
      <c r="D23" s="8">
        <v>0.2</v>
      </c>
      <c r="E23" s="3">
        <f t="shared" si="0"/>
        <v>0.12800000000000003</v>
      </c>
      <c r="F23" s="2">
        <v>2</v>
      </c>
      <c r="G23">
        <f t="shared" si="1"/>
        <v>0.25600000000000006</v>
      </c>
    </row>
    <row r="24" spans="1:14" x14ac:dyDescent="0.3">
      <c r="D24" s="3"/>
      <c r="E24" s="3">
        <f>SUM(E20:E23)</f>
        <v>0.80000000000000016</v>
      </c>
      <c r="F24" t="s">
        <v>43</v>
      </c>
      <c r="G24">
        <f>SUM(G20:G23)</f>
        <v>1.1200000000000003</v>
      </c>
    </row>
    <row r="25" spans="1:14" x14ac:dyDescent="0.3">
      <c r="A25" s="18">
        <v>0.2</v>
      </c>
      <c r="B25" s="8">
        <v>0.8</v>
      </c>
      <c r="C25" s="3" t="s">
        <v>158</v>
      </c>
      <c r="D25" t="s">
        <v>165</v>
      </c>
      <c r="E25" s="3">
        <f>$A$25*$B25</f>
        <v>0.16000000000000003</v>
      </c>
      <c r="F25" s="2">
        <v>3</v>
      </c>
    </row>
    <row r="26" spans="1:14" x14ac:dyDescent="0.3">
      <c r="A26" s="18"/>
      <c r="B26" s="8">
        <v>0.2</v>
      </c>
      <c r="C26" s="3" t="s">
        <v>159</v>
      </c>
      <c r="D26" t="s">
        <v>165</v>
      </c>
      <c r="E26" s="3">
        <f>$A$25*$B26</f>
        <v>4.0000000000000008E-2</v>
      </c>
      <c r="F26" s="2">
        <v>5</v>
      </c>
    </row>
    <row r="27" spans="1:14" x14ac:dyDescent="0.3">
      <c r="E27">
        <f>SUM(E25:E26)</f>
        <v>0.20000000000000004</v>
      </c>
    </row>
    <row r="28" spans="1:14" x14ac:dyDescent="0.3">
      <c r="E28">
        <f>E24+E27</f>
        <v>1.0000000000000002</v>
      </c>
    </row>
    <row r="29" spans="1:14" x14ac:dyDescent="0.3">
      <c r="B29" t="s">
        <v>152</v>
      </c>
      <c r="K29" s="3"/>
    </row>
    <row r="30" spans="1:14" x14ac:dyDescent="0.3">
      <c r="A30" t="s">
        <v>157</v>
      </c>
      <c r="B30" t="s">
        <v>144</v>
      </c>
      <c r="C30">
        <v>5</v>
      </c>
      <c r="D30">
        <v>10</v>
      </c>
      <c r="E30">
        <v>20</v>
      </c>
      <c r="F30">
        <v>40</v>
      </c>
      <c r="G30">
        <v>80</v>
      </c>
      <c r="H30">
        <v>160</v>
      </c>
      <c r="I30">
        <v>214</v>
      </c>
      <c r="J30">
        <v>250</v>
      </c>
      <c r="K30">
        <v>300</v>
      </c>
      <c r="L30">
        <v>400</v>
      </c>
      <c r="M30">
        <v>500</v>
      </c>
      <c r="N30">
        <v>580</v>
      </c>
    </row>
    <row r="31" spans="1:14" x14ac:dyDescent="0.3">
      <c r="A31" s="3" t="s">
        <v>153</v>
      </c>
      <c r="B31" s="1">
        <v>10</v>
      </c>
      <c r="C31" s="1">
        <f>$E20*$F20*$B31*C$30</f>
        <v>12.800000000000002</v>
      </c>
      <c r="D31" s="1">
        <f t="shared" ref="D31:H31" si="2">$E20*$F20*$B31*D$30</f>
        <v>25.600000000000005</v>
      </c>
      <c r="E31" s="1">
        <f t="shared" si="2"/>
        <v>51.20000000000001</v>
      </c>
      <c r="F31" s="1">
        <f t="shared" si="2"/>
        <v>102.40000000000002</v>
      </c>
      <c r="G31" s="1">
        <f t="shared" si="2"/>
        <v>204.80000000000004</v>
      </c>
      <c r="H31" s="1">
        <f t="shared" si="2"/>
        <v>409.60000000000008</v>
      </c>
      <c r="I31" s="1">
        <f t="shared" ref="I31" si="3">$E20*$F20*$B31*I$30</f>
        <v>547.84000000000015</v>
      </c>
      <c r="J31" s="1">
        <f t="shared" ref="J31:M34" si="4">$E20*$F20*$B31*J$30</f>
        <v>640.00000000000011</v>
      </c>
      <c r="K31" s="1">
        <f t="shared" si="4"/>
        <v>768.00000000000011</v>
      </c>
      <c r="L31" s="1">
        <f t="shared" si="4"/>
        <v>1024.0000000000002</v>
      </c>
      <c r="M31" s="1">
        <f t="shared" si="4"/>
        <v>1280.0000000000002</v>
      </c>
      <c r="N31" s="1">
        <f>$E20*$F20*$B31*N$30</f>
        <v>1484.8000000000002</v>
      </c>
    </row>
    <row r="32" spans="1:14" x14ac:dyDescent="0.3">
      <c r="A32" s="3" t="s">
        <v>154</v>
      </c>
      <c r="B32" s="1">
        <v>10</v>
      </c>
      <c r="C32" s="1">
        <f t="shared" ref="C32:H34" si="5">$E21*$F21*$B32*C$30</f>
        <v>4.8000000000000016</v>
      </c>
      <c r="D32" s="1">
        <f t="shared" si="5"/>
        <v>9.6000000000000032</v>
      </c>
      <c r="E32" s="1">
        <f t="shared" si="5"/>
        <v>19.200000000000006</v>
      </c>
      <c r="F32" s="1">
        <f t="shared" si="5"/>
        <v>38.400000000000013</v>
      </c>
      <c r="G32" s="1">
        <f t="shared" si="5"/>
        <v>76.800000000000026</v>
      </c>
      <c r="H32" s="1">
        <f t="shared" si="5"/>
        <v>153.60000000000005</v>
      </c>
      <c r="I32" s="1">
        <f t="shared" ref="I32" si="6">$E21*$F21*$B32*I$30</f>
        <v>205.44000000000005</v>
      </c>
      <c r="J32" s="1">
        <f t="shared" si="4"/>
        <v>240.00000000000009</v>
      </c>
      <c r="K32" s="1">
        <f t="shared" si="4"/>
        <v>288.00000000000011</v>
      </c>
      <c r="L32" s="1">
        <f t="shared" si="4"/>
        <v>384.00000000000011</v>
      </c>
      <c r="M32" s="1">
        <f t="shared" si="4"/>
        <v>480.00000000000017</v>
      </c>
      <c r="N32" s="1">
        <f t="shared" ref="N32" si="7">$E21*$F21*$B32*N$30</f>
        <v>556.80000000000018</v>
      </c>
    </row>
    <row r="33" spans="1:14" x14ac:dyDescent="0.3">
      <c r="A33" s="3" t="s">
        <v>155</v>
      </c>
      <c r="B33" s="1">
        <v>20</v>
      </c>
      <c r="C33" s="1">
        <f t="shared" si="5"/>
        <v>51.20000000000001</v>
      </c>
      <c r="D33" s="1">
        <f t="shared" si="5"/>
        <v>102.40000000000002</v>
      </c>
      <c r="E33" s="1">
        <f t="shared" si="5"/>
        <v>204.80000000000004</v>
      </c>
      <c r="F33" s="1">
        <f t="shared" si="5"/>
        <v>409.60000000000008</v>
      </c>
      <c r="G33" s="1">
        <f t="shared" si="5"/>
        <v>819.20000000000016</v>
      </c>
      <c r="H33" s="1">
        <f t="shared" si="5"/>
        <v>1638.4000000000003</v>
      </c>
      <c r="I33" s="1">
        <f t="shared" ref="I33" si="8">$E22*$F22*$B33*I$30</f>
        <v>2191.3600000000006</v>
      </c>
      <c r="J33" s="1">
        <f t="shared" si="4"/>
        <v>2560.0000000000005</v>
      </c>
      <c r="K33" s="1">
        <f t="shared" si="4"/>
        <v>3072.0000000000005</v>
      </c>
      <c r="L33" s="1">
        <f t="shared" si="4"/>
        <v>4096.0000000000009</v>
      </c>
      <c r="M33" s="1">
        <f t="shared" si="4"/>
        <v>5120.0000000000009</v>
      </c>
      <c r="N33" s="1">
        <f t="shared" ref="N33" si="9">$E22*$F22*$B33*N$30</f>
        <v>5939.2000000000007</v>
      </c>
    </row>
    <row r="34" spans="1:14" x14ac:dyDescent="0.3">
      <c r="A34" s="3" t="s">
        <v>156</v>
      </c>
      <c r="B34" s="1">
        <v>20</v>
      </c>
      <c r="C34" s="1">
        <f t="shared" si="5"/>
        <v>25.600000000000005</v>
      </c>
      <c r="D34" s="1">
        <f t="shared" si="5"/>
        <v>51.20000000000001</v>
      </c>
      <c r="E34" s="1">
        <f t="shared" si="5"/>
        <v>102.40000000000002</v>
      </c>
      <c r="F34" s="1">
        <f t="shared" si="5"/>
        <v>204.80000000000004</v>
      </c>
      <c r="G34" s="1">
        <f t="shared" si="5"/>
        <v>409.60000000000008</v>
      </c>
      <c r="H34" s="1">
        <f t="shared" si="5"/>
        <v>819.20000000000016</v>
      </c>
      <c r="I34" s="1">
        <f t="shared" ref="I34" si="10">$E23*$F23*$B34*I$30</f>
        <v>1095.6800000000003</v>
      </c>
      <c r="J34" s="1">
        <f t="shared" si="4"/>
        <v>1280.0000000000002</v>
      </c>
      <c r="K34" s="1">
        <f t="shared" si="4"/>
        <v>1536.0000000000002</v>
      </c>
      <c r="L34" s="1">
        <f t="shared" si="4"/>
        <v>2048.0000000000005</v>
      </c>
      <c r="M34" s="1">
        <f t="shared" si="4"/>
        <v>2560.0000000000005</v>
      </c>
      <c r="N34" s="1">
        <f t="shared" ref="N34" si="11">$E23*$F23*$B34*N$30</f>
        <v>2969.6000000000004</v>
      </c>
    </row>
    <row r="35" spans="1:14" x14ac:dyDescent="0.3">
      <c r="A35" s="3" t="s">
        <v>164</v>
      </c>
      <c r="C35" s="7">
        <f>SUM(C31:C34)</f>
        <v>94.40000000000002</v>
      </c>
      <c r="D35" s="7">
        <f>SUM(D31:D34)</f>
        <v>188.80000000000004</v>
      </c>
      <c r="E35" s="7">
        <f t="shared" ref="E35:I35" si="12">SUM(E31:E34)</f>
        <v>377.60000000000008</v>
      </c>
      <c r="F35" s="7">
        <f t="shared" si="12"/>
        <v>755.20000000000016</v>
      </c>
      <c r="G35" s="7">
        <f t="shared" si="12"/>
        <v>1510.4000000000003</v>
      </c>
      <c r="H35" s="7">
        <f t="shared" si="12"/>
        <v>3020.8000000000006</v>
      </c>
      <c r="I35" s="7">
        <f t="shared" si="12"/>
        <v>4040.3200000000011</v>
      </c>
      <c r="J35" s="7">
        <f>SUM(J31:J34)</f>
        <v>4720.0000000000009</v>
      </c>
      <c r="K35" s="7">
        <f>SUM(K31:K34)</f>
        <v>5664.0000000000009</v>
      </c>
      <c r="L35" s="7">
        <f>SUM(L31:L34)</f>
        <v>7552.0000000000018</v>
      </c>
      <c r="M35" s="7">
        <f>SUM(M31:M34)</f>
        <v>9440.0000000000018</v>
      </c>
      <c r="N35" s="7">
        <f>SUM(N31:N34)</f>
        <v>10950.400000000001</v>
      </c>
    </row>
    <row r="36" spans="1:14" x14ac:dyDescent="0.3">
      <c r="A36" s="3" t="s">
        <v>170</v>
      </c>
      <c r="C36" s="3">
        <f>C$30*($G$24)</f>
        <v>5.6000000000000014</v>
      </c>
      <c r="D36" s="3">
        <f t="shared" ref="D36:I36" si="13">D$30*($G$24)</f>
        <v>11.200000000000003</v>
      </c>
      <c r="E36" s="3">
        <f t="shared" si="13"/>
        <v>22.400000000000006</v>
      </c>
      <c r="F36" s="3">
        <f t="shared" si="13"/>
        <v>44.800000000000011</v>
      </c>
      <c r="G36" s="3">
        <f t="shared" si="13"/>
        <v>89.600000000000023</v>
      </c>
      <c r="H36" s="3">
        <f t="shared" si="13"/>
        <v>179.20000000000005</v>
      </c>
      <c r="I36" s="3">
        <f t="shared" si="13"/>
        <v>239.68000000000006</v>
      </c>
      <c r="J36" s="3">
        <f>J$30*($G$24)</f>
        <v>280.00000000000006</v>
      </c>
      <c r="K36" s="3">
        <f>K$30*($G$24)</f>
        <v>336.00000000000011</v>
      </c>
      <c r="L36" s="3">
        <f>L$30*($G$24)</f>
        <v>448.00000000000011</v>
      </c>
      <c r="M36" s="3">
        <f>M$30*($G$24)</f>
        <v>560.00000000000011</v>
      </c>
      <c r="N36" s="3">
        <f>N$30*($G$24)</f>
        <v>649.60000000000014</v>
      </c>
    </row>
    <row r="37" spans="1:14" x14ac:dyDescent="0.3">
      <c r="A37" s="3" t="s">
        <v>172</v>
      </c>
      <c r="C37">
        <f>C36/7</f>
        <v>0.80000000000000016</v>
      </c>
      <c r="D37">
        <f t="shared" ref="D37:I37" si="14">D36/7</f>
        <v>1.6000000000000003</v>
      </c>
      <c r="E37">
        <f t="shared" si="14"/>
        <v>3.2000000000000006</v>
      </c>
      <c r="F37">
        <f t="shared" si="14"/>
        <v>6.4000000000000012</v>
      </c>
      <c r="G37">
        <f t="shared" si="14"/>
        <v>12.800000000000002</v>
      </c>
      <c r="H37">
        <f t="shared" si="14"/>
        <v>25.600000000000005</v>
      </c>
      <c r="I37">
        <f t="shared" si="14"/>
        <v>34.240000000000009</v>
      </c>
      <c r="J37">
        <f>J36/7</f>
        <v>40.000000000000007</v>
      </c>
      <c r="K37">
        <f>K36/7</f>
        <v>48.000000000000014</v>
      </c>
      <c r="L37">
        <f>L36/7</f>
        <v>64.000000000000014</v>
      </c>
      <c r="M37">
        <f>M36/7</f>
        <v>80.000000000000014</v>
      </c>
      <c r="N37">
        <f>N36/7</f>
        <v>92.800000000000026</v>
      </c>
    </row>
    <row r="41" spans="1:14" x14ac:dyDescent="0.3">
      <c r="A41" s="3" t="s">
        <v>168</v>
      </c>
      <c r="C41" s="7">
        <f t="shared" ref="C41:M41" si="15">C35*50</f>
        <v>4720.0000000000009</v>
      </c>
      <c r="D41" s="7">
        <f t="shared" si="15"/>
        <v>9440.0000000000018</v>
      </c>
      <c r="E41" s="7">
        <f t="shared" si="15"/>
        <v>18880.000000000004</v>
      </c>
      <c r="F41" s="7">
        <f t="shared" si="15"/>
        <v>37760.000000000007</v>
      </c>
      <c r="G41" s="7">
        <f t="shared" si="15"/>
        <v>75520.000000000015</v>
      </c>
      <c r="H41" s="7">
        <f t="shared" si="15"/>
        <v>151040.00000000003</v>
      </c>
      <c r="I41" s="7">
        <f t="shared" si="15"/>
        <v>202016.00000000006</v>
      </c>
      <c r="J41" s="7">
        <f t="shared" si="15"/>
        <v>236000.00000000006</v>
      </c>
      <c r="K41" s="7">
        <f t="shared" si="15"/>
        <v>283200.00000000006</v>
      </c>
      <c r="L41" s="7">
        <f t="shared" si="15"/>
        <v>377600.00000000012</v>
      </c>
      <c r="M41" s="7">
        <f t="shared" si="15"/>
        <v>472000.00000000012</v>
      </c>
      <c r="N41" s="7">
        <f t="shared" ref="N41" si="16">N35*50</f>
        <v>547520.00000000012</v>
      </c>
    </row>
    <row r="42" spans="1:14" x14ac:dyDescent="0.3">
      <c r="A42" t="s">
        <v>166</v>
      </c>
      <c r="B42" s="1">
        <v>40</v>
      </c>
      <c r="C42" s="7">
        <f t="shared" ref="C42:N42" si="17">C$30*$B42*$A$25</f>
        <v>40</v>
      </c>
      <c r="D42" s="7">
        <f t="shared" si="17"/>
        <v>80</v>
      </c>
      <c r="E42" s="7">
        <f t="shared" si="17"/>
        <v>160</v>
      </c>
      <c r="F42" s="7">
        <f t="shared" si="17"/>
        <v>320</v>
      </c>
      <c r="G42" s="7">
        <f t="shared" si="17"/>
        <v>640</v>
      </c>
      <c r="H42" s="7">
        <f t="shared" si="17"/>
        <v>1280</v>
      </c>
      <c r="I42" s="7">
        <f t="shared" si="17"/>
        <v>1712</v>
      </c>
      <c r="J42" s="7">
        <f t="shared" si="17"/>
        <v>2000</v>
      </c>
      <c r="K42" s="7">
        <f t="shared" si="17"/>
        <v>2400</v>
      </c>
      <c r="L42" s="7">
        <f t="shared" si="17"/>
        <v>3200</v>
      </c>
      <c r="M42" s="7">
        <f t="shared" si="17"/>
        <v>4000</v>
      </c>
      <c r="N42" s="7">
        <f t="shared" si="17"/>
        <v>4640</v>
      </c>
    </row>
    <row r="43" spans="1:14" x14ac:dyDescent="0.3">
      <c r="A43" t="s">
        <v>167</v>
      </c>
      <c r="C43" s="7">
        <f>C42*12</f>
        <v>480</v>
      </c>
      <c r="D43" s="7">
        <f t="shared" ref="D43:I43" si="18">D42*12</f>
        <v>960</v>
      </c>
      <c r="E43" s="7">
        <f t="shared" si="18"/>
        <v>1920</v>
      </c>
      <c r="F43" s="7">
        <f t="shared" si="18"/>
        <v>3840</v>
      </c>
      <c r="G43" s="7">
        <f t="shared" si="18"/>
        <v>7680</v>
      </c>
      <c r="H43" s="7">
        <f t="shared" si="18"/>
        <v>15360</v>
      </c>
      <c r="I43" s="7">
        <f t="shared" si="18"/>
        <v>20544</v>
      </c>
      <c r="J43" s="7">
        <f>J42*12</f>
        <v>24000</v>
      </c>
      <c r="K43" s="7">
        <f>K42*12</f>
        <v>28800</v>
      </c>
      <c r="L43" s="7">
        <f>L42*12</f>
        <v>38400</v>
      </c>
      <c r="M43" s="7">
        <f>M42*12</f>
        <v>48000</v>
      </c>
      <c r="N43" s="7">
        <f>N42*12</f>
        <v>55680</v>
      </c>
    </row>
    <row r="45" spans="1:14" x14ac:dyDescent="0.3">
      <c r="A45" t="s">
        <v>169</v>
      </c>
      <c r="C45" s="7">
        <f t="shared" ref="C45:M45" si="19">C43+C41</f>
        <v>5200.0000000000009</v>
      </c>
      <c r="D45" s="7">
        <f t="shared" si="19"/>
        <v>10400.000000000002</v>
      </c>
      <c r="E45" s="7">
        <f t="shared" si="19"/>
        <v>20800.000000000004</v>
      </c>
      <c r="F45" s="7">
        <f t="shared" si="19"/>
        <v>41600.000000000007</v>
      </c>
      <c r="G45" s="7">
        <f t="shared" si="19"/>
        <v>83200.000000000015</v>
      </c>
      <c r="H45" s="7">
        <f t="shared" si="19"/>
        <v>166400.00000000003</v>
      </c>
      <c r="I45" s="7">
        <f t="shared" si="19"/>
        <v>222560.00000000006</v>
      </c>
      <c r="J45" s="7">
        <f t="shared" si="19"/>
        <v>260000.00000000006</v>
      </c>
      <c r="K45" s="7">
        <f t="shared" si="19"/>
        <v>312000.00000000006</v>
      </c>
      <c r="L45" s="7">
        <f t="shared" si="19"/>
        <v>416000.00000000012</v>
      </c>
      <c r="M45" s="7">
        <f t="shared" si="19"/>
        <v>520000.00000000012</v>
      </c>
      <c r="N45" s="7">
        <f t="shared" ref="N45" si="20">N43+N41</f>
        <v>603200.00000000012</v>
      </c>
    </row>
  </sheetData>
  <mergeCells count="2">
    <mergeCell ref="A20:A23"/>
    <mergeCell ref="A25:A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2472-3193-4419-B39A-ACA2F19F890D}">
  <dimension ref="A3:H14"/>
  <sheetViews>
    <sheetView workbookViewId="0">
      <selection activeCell="E13" sqref="E13"/>
    </sheetView>
  </sheetViews>
  <sheetFormatPr defaultRowHeight="14.4" x14ac:dyDescent="0.3"/>
  <cols>
    <col min="1" max="1" width="23.33203125" bestFit="1" customWidth="1"/>
    <col min="2" max="2" width="15.109375" style="1" customWidth="1"/>
    <col min="3" max="3" width="14.6640625" style="1" bestFit="1" customWidth="1"/>
    <col min="4" max="4" width="15.33203125" style="1" bestFit="1" customWidth="1"/>
    <col min="5" max="5" width="18.6640625" style="1" bestFit="1" customWidth="1"/>
    <col min="6" max="6" width="14.44140625" style="1" bestFit="1" customWidth="1"/>
  </cols>
  <sheetData>
    <row r="3" spans="1:8" x14ac:dyDescent="0.3">
      <c r="B3" s="1" t="s">
        <v>98</v>
      </c>
      <c r="C3" s="1" t="s">
        <v>96</v>
      </c>
      <c r="D3" s="1" t="s">
        <v>99</v>
      </c>
      <c r="E3" s="1" t="s">
        <v>126</v>
      </c>
      <c r="F3" s="1" t="s">
        <v>100</v>
      </c>
    </row>
    <row r="4" spans="1:8" x14ac:dyDescent="0.3">
      <c r="A4" t="s">
        <v>93</v>
      </c>
      <c r="B4" s="1">
        <f>C4/7</f>
        <v>10.989010989010989</v>
      </c>
      <c r="C4" s="1">
        <f>F4/52</f>
        <v>76.92307692307692</v>
      </c>
      <c r="D4" s="1">
        <f>employees!B9</f>
        <v>2307.6923076923076</v>
      </c>
      <c r="E4" s="1">
        <f>D4*2</f>
        <v>4615.3846153846152</v>
      </c>
      <c r="F4" s="1">
        <v>4000</v>
      </c>
    </row>
    <row r="5" spans="1:8" x14ac:dyDescent="0.3">
      <c r="A5" t="s">
        <v>127</v>
      </c>
      <c r="B5" s="1">
        <f>C5/7</f>
        <v>329.67032967032964</v>
      </c>
      <c r="C5" s="1">
        <f>employees!B9</f>
        <v>2307.6923076923076</v>
      </c>
      <c r="D5" s="1">
        <f>employees!B10</f>
        <v>4615.3846153846152</v>
      </c>
      <c r="E5" s="1">
        <f>D5*2</f>
        <v>9230.7692307692305</v>
      </c>
      <c r="F5" s="1">
        <f>employees!B6</f>
        <v>120000</v>
      </c>
    </row>
    <row r="6" spans="1:8" x14ac:dyDescent="0.3">
      <c r="A6" t="s">
        <v>94</v>
      </c>
      <c r="B6" s="1">
        <f>200/30</f>
        <v>6.666666666666667</v>
      </c>
      <c r="C6" s="1">
        <f>B6*7</f>
        <v>46.666666666666671</v>
      </c>
      <c r="D6" s="1">
        <f>C6*2</f>
        <v>93.333333333333343</v>
      </c>
      <c r="E6" s="1">
        <f>D6*2</f>
        <v>186.66666666666669</v>
      </c>
      <c r="F6" s="1">
        <f>C6*50</f>
        <v>2333.3333333333335</v>
      </c>
    </row>
    <row r="7" spans="1:8" x14ac:dyDescent="0.3">
      <c r="A7" t="s">
        <v>95</v>
      </c>
      <c r="B7" s="1">
        <f>400/30</f>
        <v>13.333333333333334</v>
      </c>
      <c r="C7" s="1">
        <f>B7*7</f>
        <v>93.333333333333343</v>
      </c>
      <c r="D7" s="1">
        <f>C7*2</f>
        <v>186.66666666666669</v>
      </c>
      <c r="E7" s="1">
        <f>D7*2</f>
        <v>373.33333333333337</v>
      </c>
      <c r="F7" s="1">
        <f>C7*50</f>
        <v>4666.666666666667</v>
      </c>
    </row>
    <row r="8" spans="1:8" x14ac:dyDescent="0.3">
      <c r="A8" t="s">
        <v>122</v>
      </c>
      <c r="B8" s="1">
        <f>100/30</f>
        <v>3.3333333333333335</v>
      </c>
      <c r="C8" s="1">
        <f>7*B8</f>
        <v>23.333333333333336</v>
      </c>
      <c r="D8" s="1">
        <f>C8*2</f>
        <v>46.666666666666671</v>
      </c>
      <c r="E8" s="1">
        <f>D8*2</f>
        <v>93.333333333333343</v>
      </c>
      <c r="F8" s="1">
        <f>C8*50</f>
        <v>1166.6666666666667</v>
      </c>
    </row>
    <row r="9" spans="1:8" x14ac:dyDescent="0.3">
      <c r="A9" t="s">
        <v>121</v>
      </c>
      <c r="B9" s="1">
        <f>C9/7</f>
        <v>77.142857142857139</v>
      </c>
      <c r="C9" s="1">
        <f>food!C2</f>
        <v>540</v>
      </c>
      <c r="D9" s="1">
        <f>food!D2</f>
        <v>1080</v>
      </c>
      <c r="E9" s="1">
        <f>food!E2</f>
        <v>2160</v>
      </c>
      <c r="F9" s="1">
        <f>food!F2</f>
        <v>27000</v>
      </c>
    </row>
    <row r="10" spans="1:8" x14ac:dyDescent="0.3">
      <c r="A10" t="s">
        <v>125</v>
      </c>
      <c r="B10" s="1">
        <f>C10/7</f>
        <v>2.8571428571428572</v>
      </c>
      <c r="C10" s="1">
        <v>20</v>
      </c>
      <c r="D10" s="1">
        <f t="shared" ref="D10:E12" si="0">C10*2</f>
        <v>40</v>
      </c>
      <c r="E10" s="1">
        <f t="shared" si="0"/>
        <v>80</v>
      </c>
      <c r="F10" s="1">
        <f>C10*50</f>
        <v>1000</v>
      </c>
    </row>
    <row r="11" spans="1:8" x14ac:dyDescent="0.3">
      <c r="A11" t="s">
        <v>123</v>
      </c>
      <c r="B11" s="1">
        <f>C11/7</f>
        <v>5.4945054945054945</v>
      </c>
      <c r="C11" s="1">
        <f>F11/52</f>
        <v>38.46153846153846</v>
      </c>
      <c r="D11" s="1">
        <f t="shared" si="0"/>
        <v>76.92307692307692</v>
      </c>
      <c r="E11" s="1">
        <f t="shared" si="0"/>
        <v>153.84615384615384</v>
      </c>
      <c r="F11" s="1">
        <v>2000</v>
      </c>
    </row>
    <row r="12" spans="1:8" x14ac:dyDescent="0.3">
      <c r="A12" t="s">
        <v>217</v>
      </c>
      <c r="B12" s="1">
        <f>C12/7</f>
        <v>164.83516483516482</v>
      </c>
      <c r="C12" s="1">
        <f>F12/52</f>
        <v>1153.8461538461538</v>
      </c>
      <c r="D12" s="1">
        <f t="shared" si="0"/>
        <v>2307.6923076923076</v>
      </c>
      <c r="E12" s="1">
        <f t="shared" si="0"/>
        <v>4615.3846153846152</v>
      </c>
      <c r="F12" s="1">
        <v>60000</v>
      </c>
      <c r="H12" t="s">
        <v>218</v>
      </c>
    </row>
    <row r="13" spans="1:8" x14ac:dyDescent="0.3">
      <c r="A13" t="s">
        <v>43</v>
      </c>
      <c r="B13" s="1">
        <f>SUM(B4:B12)</f>
        <v>614.32234432234429</v>
      </c>
      <c r="C13" s="1">
        <f t="shared" ref="C13:F13" si="1">SUM(C4:C12)</f>
        <v>4300.2564102564102</v>
      </c>
      <c r="D13" s="1">
        <f t="shared" si="1"/>
        <v>10754.358974358973</v>
      </c>
      <c r="E13" s="1">
        <f t="shared" si="1"/>
        <v>21508.717948717946</v>
      </c>
      <c r="F13" s="1">
        <f t="shared" si="1"/>
        <v>222166.66666666666</v>
      </c>
      <c r="H13" s="6">
        <v>5000</v>
      </c>
    </row>
    <row r="14" spans="1:8" x14ac:dyDescent="0.3">
      <c r="A14" t="s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0531-F9EA-4BB7-8657-7C884FA8D7D5}">
  <dimension ref="A1:F22"/>
  <sheetViews>
    <sheetView workbookViewId="0">
      <selection activeCell="F12" sqref="F12"/>
    </sheetView>
  </sheetViews>
  <sheetFormatPr defaultRowHeight="14.4" x14ac:dyDescent="0.3"/>
  <cols>
    <col min="1" max="1" width="56.21875" customWidth="1"/>
    <col min="2" max="2" width="11.109375" bestFit="1" customWidth="1"/>
    <col min="3" max="3" width="12.5546875" bestFit="1" customWidth="1"/>
    <col min="4" max="4" width="10.109375" bestFit="1" customWidth="1"/>
    <col min="5" max="5" width="10" bestFit="1" customWidth="1"/>
    <col min="6" max="6" width="11.109375" bestFit="1" customWidth="1"/>
  </cols>
  <sheetData>
    <row r="1" spans="1:6" x14ac:dyDescent="0.3">
      <c r="B1" t="s">
        <v>34</v>
      </c>
      <c r="C1" t="s">
        <v>106</v>
      </c>
      <c r="D1" t="s">
        <v>107</v>
      </c>
      <c r="E1" t="s">
        <v>108</v>
      </c>
      <c r="F1" t="s">
        <v>109</v>
      </c>
    </row>
    <row r="2" spans="1:6" x14ac:dyDescent="0.3">
      <c r="A2" t="s">
        <v>105</v>
      </c>
      <c r="B2" s="9">
        <v>1</v>
      </c>
      <c r="C2" s="1">
        <f>B19</f>
        <v>540</v>
      </c>
      <c r="D2" s="7">
        <f>C2*2</f>
        <v>1080</v>
      </c>
      <c r="E2" s="7">
        <f>D2*2</f>
        <v>2160</v>
      </c>
      <c r="F2" s="7">
        <f>C2*50</f>
        <v>27000</v>
      </c>
    </row>
    <row r="3" spans="1:6" x14ac:dyDescent="0.3">
      <c r="A3" t="s">
        <v>101</v>
      </c>
      <c r="B3" s="4">
        <v>0.5</v>
      </c>
      <c r="C3" s="7">
        <f>C2*$B$3</f>
        <v>270</v>
      </c>
      <c r="D3" s="7">
        <f>C3*2</f>
        <v>540</v>
      </c>
      <c r="E3" s="7">
        <f t="shared" ref="E3:E7" si="0">D3*2</f>
        <v>1080</v>
      </c>
      <c r="F3" s="7">
        <f t="shared" ref="F3:F6" si="1">C3*50</f>
        <v>13500</v>
      </c>
    </row>
    <row r="4" spans="1:6" x14ac:dyDescent="0.3">
      <c r="A4" t="s">
        <v>102</v>
      </c>
      <c r="B4" s="4">
        <v>0.2</v>
      </c>
      <c r="C4" s="7">
        <f t="shared" ref="C4:C6" si="2">C3*$B$3</f>
        <v>135</v>
      </c>
      <c r="D4" s="7">
        <f t="shared" ref="D4" si="3">C4*2</f>
        <v>270</v>
      </c>
      <c r="E4" s="7">
        <f t="shared" si="0"/>
        <v>540</v>
      </c>
      <c r="F4" s="7">
        <f t="shared" si="1"/>
        <v>6750</v>
      </c>
    </row>
    <row r="5" spans="1:6" x14ac:dyDescent="0.3">
      <c r="A5" t="s">
        <v>103</v>
      </c>
      <c r="B5" s="4">
        <v>0.15</v>
      </c>
      <c r="C5" s="7">
        <f t="shared" si="2"/>
        <v>67.5</v>
      </c>
      <c r="D5" s="7">
        <f t="shared" ref="D5" si="4">C5*2</f>
        <v>135</v>
      </c>
      <c r="E5" s="7">
        <f t="shared" si="0"/>
        <v>270</v>
      </c>
      <c r="F5" s="7">
        <f t="shared" si="1"/>
        <v>3375</v>
      </c>
    </row>
    <row r="6" spans="1:6" x14ac:dyDescent="0.3">
      <c r="A6" t="s">
        <v>104</v>
      </c>
      <c r="B6" s="4">
        <v>0.1</v>
      </c>
      <c r="C6" s="7">
        <f t="shared" si="2"/>
        <v>33.75</v>
      </c>
      <c r="D6" s="7">
        <f t="shared" ref="D6:D7" si="5">C6*2</f>
        <v>67.5</v>
      </c>
      <c r="E6" s="7">
        <f t="shared" si="0"/>
        <v>135</v>
      </c>
      <c r="F6" s="7">
        <f t="shared" si="1"/>
        <v>1687.5</v>
      </c>
    </row>
    <row r="7" spans="1:6" x14ac:dyDescent="0.3">
      <c r="A7" t="s">
        <v>120</v>
      </c>
      <c r="B7" s="4">
        <v>0.05</v>
      </c>
      <c r="C7" s="7">
        <f t="shared" ref="C7" si="6">C6*$B$3</f>
        <v>16.875</v>
      </c>
      <c r="D7" s="7">
        <f t="shared" si="5"/>
        <v>33.75</v>
      </c>
      <c r="E7" s="7">
        <f t="shared" si="0"/>
        <v>67.5</v>
      </c>
      <c r="F7" s="7">
        <f t="shared" ref="F7" si="7">C7*50</f>
        <v>843.75</v>
      </c>
    </row>
    <row r="8" spans="1:6" x14ac:dyDescent="0.3">
      <c r="A8" t="s">
        <v>43</v>
      </c>
      <c r="B8" s="9">
        <f>SUM(B3:B7)</f>
        <v>1</v>
      </c>
    </row>
    <row r="11" spans="1:6" x14ac:dyDescent="0.3">
      <c r="A11" t="s">
        <v>113</v>
      </c>
      <c r="B11" s="8">
        <v>1</v>
      </c>
      <c r="C11" s="8">
        <v>2</v>
      </c>
      <c r="D11">
        <v>4</v>
      </c>
      <c r="E11">
        <v>8</v>
      </c>
      <c r="F11">
        <v>15</v>
      </c>
    </row>
    <row r="12" spans="1:6" x14ac:dyDescent="0.3">
      <c r="A12" t="s">
        <v>110</v>
      </c>
      <c r="B12" s="1">
        <v>7.5</v>
      </c>
      <c r="C12" s="1">
        <f>C11*$B$12</f>
        <v>15</v>
      </c>
      <c r="D12" s="1">
        <f>D11*$B$12</f>
        <v>30</v>
      </c>
      <c r="E12" s="1">
        <f>E11*$B$12</f>
        <v>60</v>
      </c>
      <c r="F12" s="1">
        <f>F11*$B$12</f>
        <v>112.5</v>
      </c>
    </row>
    <row r="14" spans="1:6" x14ac:dyDescent="0.3">
      <c r="A14" t="s">
        <v>112</v>
      </c>
      <c r="B14">
        <v>4</v>
      </c>
    </row>
    <row r="15" spans="1:6" x14ac:dyDescent="0.3">
      <c r="A15" t="s">
        <v>115</v>
      </c>
      <c r="B15">
        <v>15</v>
      </c>
    </row>
    <row r="16" spans="1:6" x14ac:dyDescent="0.3">
      <c r="A16" t="s">
        <v>114</v>
      </c>
      <c r="B16" s="7">
        <f>B12*B15</f>
        <v>112.5</v>
      </c>
    </row>
    <row r="17" spans="1:2" x14ac:dyDescent="0.3">
      <c r="A17" t="s">
        <v>118</v>
      </c>
      <c r="B17" s="7">
        <f>B14*B16</f>
        <v>450</v>
      </c>
    </row>
    <row r="18" spans="1:2" x14ac:dyDescent="0.3">
      <c r="A18" t="s">
        <v>116</v>
      </c>
      <c r="B18" s="9">
        <v>0.2</v>
      </c>
    </row>
    <row r="19" spans="1:2" x14ac:dyDescent="0.3">
      <c r="A19" t="s">
        <v>119</v>
      </c>
      <c r="B19" s="7">
        <f>B17*(B18+1)</f>
        <v>540</v>
      </c>
    </row>
    <row r="20" spans="1:2" x14ac:dyDescent="0.3">
      <c r="B20" s="7"/>
    </row>
    <row r="21" spans="1:2" x14ac:dyDescent="0.3">
      <c r="B21" s="7"/>
    </row>
    <row r="22" spans="1:2" x14ac:dyDescent="0.3">
      <c r="A22" t="s">
        <v>117</v>
      </c>
      <c r="B22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8B3A-A81C-4168-AA3E-DAD4781E4B82}">
  <dimension ref="A1:B11"/>
  <sheetViews>
    <sheetView workbookViewId="0">
      <selection activeCell="B6" sqref="B6"/>
    </sheetView>
  </sheetViews>
  <sheetFormatPr defaultRowHeight="14.4" x14ac:dyDescent="0.3"/>
  <cols>
    <col min="1" max="1" width="33.21875" bestFit="1" customWidth="1"/>
    <col min="2" max="2" width="12.109375" style="1" bestFit="1" customWidth="1"/>
  </cols>
  <sheetData>
    <row r="1" spans="1:2" x14ac:dyDescent="0.3">
      <c r="B1" s="1" t="s">
        <v>38</v>
      </c>
    </row>
    <row r="3" spans="1:2" x14ac:dyDescent="0.3">
      <c r="A3" t="s">
        <v>220</v>
      </c>
      <c r="B3" s="1">
        <v>50000</v>
      </c>
    </row>
    <row r="4" spans="1:2" x14ac:dyDescent="0.3">
      <c r="A4" t="s">
        <v>92</v>
      </c>
      <c r="B4" s="1">
        <v>45000</v>
      </c>
    </row>
    <row r="5" spans="1:2" x14ac:dyDescent="0.3">
      <c r="A5" t="s">
        <v>244</v>
      </c>
      <c r="B5" s="1">
        <v>25000</v>
      </c>
    </row>
    <row r="6" spans="1:2" x14ac:dyDescent="0.3">
      <c r="A6" t="s">
        <v>43</v>
      </c>
      <c r="B6" s="1">
        <f>SUM(B2:B5)</f>
        <v>120000</v>
      </c>
    </row>
    <row r="9" spans="1:2" x14ac:dyDescent="0.3">
      <c r="A9" t="s">
        <v>96</v>
      </c>
      <c r="B9" s="1">
        <f>B6/52</f>
        <v>2307.6923076923076</v>
      </c>
    </row>
    <row r="10" spans="1:2" x14ac:dyDescent="0.3">
      <c r="A10" t="s">
        <v>97</v>
      </c>
      <c r="B10" s="1">
        <f>B6/26</f>
        <v>4615.3846153846152</v>
      </c>
    </row>
    <row r="11" spans="1:2" x14ac:dyDescent="0.3">
      <c r="A11" t="s">
        <v>108</v>
      </c>
      <c r="B11" s="1">
        <f>B10*2</f>
        <v>9230.7692307692305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F79C-848E-45C7-B440-BCF016365DF9}">
  <dimension ref="A1:D12"/>
  <sheetViews>
    <sheetView workbookViewId="0">
      <selection activeCell="A9" sqref="A9"/>
    </sheetView>
  </sheetViews>
  <sheetFormatPr defaultRowHeight="14.4" x14ac:dyDescent="0.3"/>
  <cols>
    <col min="1" max="1" width="49.6640625" bestFit="1" customWidth="1"/>
    <col min="2" max="2" width="15" style="1" bestFit="1" customWidth="1"/>
    <col min="3" max="3" width="15.33203125" customWidth="1"/>
    <col min="4" max="4" width="11.33203125" bestFit="1" customWidth="1"/>
  </cols>
  <sheetData>
    <row r="1" spans="1:4" x14ac:dyDescent="0.3">
      <c r="B1" s="1" t="s">
        <v>40</v>
      </c>
      <c r="C1" t="s">
        <v>37</v>
      </c>
      <c r="D1" t="s">
        <v>39</v>
      </c>
    </row>
    <row r="2" spans="1:4" x14ac:dyDescent="0.3">
      <c r="A2" t="s">
        <v>35</v>
      </c>
      <c r="B2" s="1">
        <v>1600</v>
      </c>
      <c r="C2">
        <v>10</v>
      </c>
      <c r="D2" s="7">
        <f>B2*C2</f>
        <v>16000</v>
      </c>
    </row>
    <row r="3" spans="1:4" x14ac:dyDescent="0.3">
      <c r="A3" t="s">
        <v>36</v>
      </c>
      <c r="B3" s="1">
        <v>115</v>
      </c>
      <c r="C3">
        <v>12</v>
      </c>
      <c r="D3" s="7">
        <f t="shared" ref="D3:D8" si="0">B3*C3</f>
        <v>1380</v>
      </c>
    </row>
    <row r="4" spans="1:4" x14ac:dyDescent="0.3">
      <c r="A4" t="s">
        <v>225</v>
      </c>
      <c r="B4" s="1">
        <v>100</v>
      </c>
      <c r="C4">
        <f>C3</f>
        <v>12</v>
      </c>
      <c r="D4" s="7">
        <f>B4*C4</f>
        <v>1200</v>
      </c>
    </row>
    <row r="5" spans="1:4" x14ac:dyDescent="0.3">
      <c r="A5" t="s">
        <v>42</v>
      </c>
      <c r="B5" s="1">
        <v>500</v>
      </c>
      <c r="C5">
        <v>1</v>
      </c>
      <c r="D5" s="7">
        <f t="shared" si="0"/>
        <v>500</v>
      </c>
    </row>
    <row r="6" spans="1:4" x14ac:dyDescent="0.3">
      <c r="A6" t="s">
        <v>41</v>
      </c>
      <c r="B6" s="1">
        <v>100</v>
      </c>
      <c r="C6">
        <v>1</v>
      </c>
      <c r="D6" s="7">
        <f t="shared" si="0"/>
        <v>100</v>
      </c>
    </row>
    <row r="7" spans="1:4" x14ac:dyDescent="0.3">
      <c r="A7" t="s">
        <v>50</v>
      </c>
      <c r="B7" s="1">
        <v>200</v>
      </c>
      <c r="C7">
        <v>1</v>
      </c>
      <c r="D7" s="7">
        <f t="shared" si="0"/>
        <v>200</v>
      </c>
    </row>
    <row r="8" spans="1:4" x14ac:dyDescent="0.3">
      <c r="A8" t="s">
        <v>224</v>
      </c>
      <c r="B8" s="1">
        <v>300</v>
      </c>
      <c r="C8">
        <v>1</v>
      </c>
      <c r="D8" s="7">
        <f t="shared" si="0"/>
        <v>300</v>
      </c>
    </row>
    <row r="12" spans="1:4" x14ac:dyDescent="0.3">
      <c r="A12" t="s">
        <v>43</v>
      </c>
      <c r="D12" s="7">
        <f>SUM(D2:D8)</f>
        <v>19680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EBCF-A6A9-4054-90A6-E709ADB7E2B5}">
  <dimension ref="A1:G8"/>
  <sheetViews>
    <sheetView workbookViewId="0">
      <selection activeCell="A8" sqref="A8"/>
    </sheetView>
  </sheetViews>
  <sheetFormatPr defaultRowHeight="14.4" x14ac:dyDescent="0.3"/>
  <cols>
    <col min="1" max="1" width="33.6640625" bestFit="1" customWidth="1"/>
    <col min="2" max="2" width="8.88671875" style="1"/>
    <col min="3" max="3" width="10.6640625" bestFit="1" customWidth="1"/>
    <col min="4" max="4" width="11.33203125" bestFit="1" customWidth="1"/>
  </cols>
  <sheetData>
    <row r="1" spans="1:7" x14ac:dyDescent="0.3">
      <c r="G1" t="s">
        <v>46</v>
      </c>
    </row>
    <row r="2" spans="1:7" x14ac:dyDescent="0.3">
      <c r="B2" s="1" t="s">
        <v>38</v>
      </c>
      <c r="C2" t="s">
        <v>45</v>
      </c>
      <c r="G2" t="s">
        <v>47</v>
      </c>
    </row>
    <row r="3" spans="1:7" x14ac:dyDescent="0.3">
      <c r="A3" t="s">
        <v>44</v>
      </c>
      <c r="B3" s="1">
        <v>15</v>
      </c>
      <c r="C3">
        <v>900</v>
      </c>
      <c r="D3" s="7">
        <f>C3*B3</f>
        <v>13500</v>
      </c>
      <c r="G3" t="s">
        <v>48</v>
      </c>
    </row>
    <row r="4" spans="1:7" x14ac:dyDescent="0.3">
      <c r="A4" t="s">
        <v>49</v>
      </c>
      <c r="B4" s="1">
        <v>3</v>
      </c>
      <c r="C4">
        <v>900</v>
      </c>
      <c r="D4" s="7">
        <f>C4*B4</f>
        <v>2700</v>
      </c>
      <c r="G4" s="6">
        <v>3</v>
      </c>
    </row>
    <row r="5" spans="1:7" x14ac:dyDescent="0.3">
      <c r="A5" t="s">
        <v>81</v>
      </c>
      <c r="D5" s="1">
        <v>5000</v>
      </c>
    </row>
    <row r="6" spans="1:7" x14ac:dyDescent="0.3">
      <c r="A6" t="s">
        <v>228</v>
      </c>
      <c r="D6" s="1">
        <v>3000</v>
      </c>
    </row>
    <row r="8" spans="1:7" x14ac:dyDescent="0.3">
      <c r="A8" t="s">
        <v>229</v>
      </c>
      <c r="D8" s="7">
        <f>D3+D6</f>
        <v>16500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Comprehensive</vt:lpstr>
      <vt:lpstr>Overhead</vt:lpstr>
      <vt:lpstr>Net_And_Analysis</vt:lpstr>
      <vt:lpstr>Gross</vt:lpstr>
      <vt:lpstr>Operating_Costs</vt:lpstr>
      <vt:lpstr>food</vt:lpstr>
      <vt:lpstr>employees</vt:lpstr>
      <vt:lpstr>Gaming</vt:lpstr>
      <vt:lpstr>Dance_Studio</vt:lpstr>
      <vt:lpstr>Kitchen</vt:lpstr>
      <vt:lpstr>Liabilities</vt:lpstr>
      <vt:lpstr>Eating Area</vt:lpstr>
      <vt:lpstr>decor</vt:lpstr>
      <vt:lpstr>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Francis</dc:creator>
  <cp:lastModifiedBy>Francis, Thomas</cp:lastModifiedBy>
  <dcterms:created xsi:type="dcterms:W3CDTF">2020-06-03T22:48:35Z</dcterms:created>
  <dcterms:modified xsi:type="dcterms:W3CDTF">2020-06-24T21:35:24Z</dcterms:modified>
</cp:coreProperties>
</file>