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2846" documentId="8_{6C3C763F-D9E1-4E6D-8C86-4D28C6C6C4A6}" xr6:coauthVersionLast="44" xr6:coauthVersionMax="45" xr10:uidLastSave="{37585712-2CE9-46B5-BB9E-86EC3381AE8C}"/>
  <bookViews>
    <workbookView xWindow="28680" yWindow="-120" windowWidth="29040" windowHeight="15840" firstSheet="2" activeTab="6" xr2:uid="{7EC05EA9-5315-43E9-8396-FB9501FE745C}"/>
  </bookViews>
  <sheets>
    <sheet name="Key_Assumptions_draft" sheetId="27" state="hidden" r:id="rId1"/>
    <sheet name="Community_Engagement" sheetId="28" state="hidden" r:id="rId2"/>
    <sheet name="Revenue_Profit_Balance" sheetId="19" r:id="rId3"/>
    <sheet name="Sources_of_Fund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PCs" sheetId="7" r:id="rId12"/>
    <sheet name="Dance_Studio" sheetId="8" r:id="rId13"/>
    <sheet name="Kitchen" sheetId="9" r:id="rId14"/>
    <sheet name="Liabilities" sheetId="12" r:id="rId15"/>
    <sheet name="Eating Area" sheetId="13" r:id="rId16"/>
    <sheet name="decor" sheetId="11" r:id="rId17"/>
    <sheet name="Initial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9" l="1"/>
  <c r="F5" i="4"/>
  <c r="F6" i="4"/>
  <c r="F7" i="4"/>
  <c r="F8" i="4"/>
  <c r="F9" i="4"/>
  <c r="F10" i="4"/>
  <c r="F11" i="4"/>
  <c r="F12" i="4"/>
  <c r="F4" i="4"/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7" i="16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V20" i="19" l="1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G11" i="4" s="1"/>
  <c r="B17" i="4" s="1"/>
  <c r="G16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G5" i="4"/>
  <c r="B6" i="3"/>
  <c r="B28" i="3"/>
  <c r="B31" i="3" s="1"/>
  <c r="G3" i="9"/>
  <c r="D8" i="7"/>
  <c r="M5" i="18"/>
  <c r="B16" i="18" s="1"/>
  <c r="N42" i="16"/>
  <c r="N43" i="16" s="1"/>
  <c r="C11" i="4"/>
  <c r="C9" i="9"/>
  <c r="G7" i="9"/>
  <c r="G8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G7" i="4" s="1"/>
  <c r="B8" i="4"/>
  <c r="C8" i="4" s="1"/>
  <c r="B9" i="4"/>
  <c r="G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G6" i="4"/>
  <c r="D6" i="4"/>
  <c r="E6" i="4" s="1"/>
  <c r="G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G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N24" i="19" s="1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2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5" i="9"/>
  <c r="G14" i="9"/>
  <c r="G13" i="9"/>
  <c r="G12" i="9"/>
  <c r="G11" i="9"/>
  <c r="G9" i="9"/>
  <c r="D2" i="9"/>
  <c r="G2" i="9" s="1"/>
  <c r="G10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D25" i="19" l="1"/>
  <c r="I25" i="19"/>
  <c r="N25" i="19"/>
  <c r="X24" i="19"/>
  <c r="I17" i="19"/>
  <c r="J17" i="19" s="1"/>
  <c r="S17" i="19"/>
  <c r="T17" i="19" s="1"/>
  <c r="D17" i="19"/>
  <c r="E17" i="19" s="1"/>
  <c r="N17" i="19"/>
  <c r="O17" i="19" s="1"/>
  <c r="X17" i="19"/>
  <c r="Y17" i="19" s="1"/>
  <c r="D18" i="19"/>
  <c r="D19" i="19"/>
  <c r="I18" i="19"/>
  <c r="N18" i="19"/>
  <c r="S18" i="19"/>
  <c r="X18" i="19"/>
  <c r="N19" i="19"/>
  <c r="I19" i="19"/>
  <c r="D20" i="19"/>
  <c r="S19" i="19"/>
  <c r="X19" i="19"/>
  <c r="X20" i="19"/>
  <c r="S20" i="19"/>
  <c r="N20" i="19"/>
  <c r="D21" i="19"/>
  <c r="I20" i="19"/>
  <c r="I21" i="19"/>
  <c r="X21" i="19"/>
  <c r="D22" i="19"/>
  <c r="N21" i="19"/>
  <c r="S21" i="19"/>
  <c r="N22" i="19"/>
  <c r="S22" i="19"/>
  <c r="I22" i="19"/>
  <c r="X22" i="19"/>
  <c r="D23" i="19"/>
  <c r="X23" i="19"/>
  <c r="S23" i="19"/>
  <c r="I23" i="19"/>
  <c r="N23" i="19"/>
  <c r="D24" i="19"/>
  <c r="X25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20" i="9"/>
  <c r="D4" i="15"/>
  <c r="E4" i="15" s="1"/>
  <c r="F4" i="15"/>
  <c r="B18" i="2"/>
  <c r="B4" i="19" s="1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T18" i="19" l="1"/>
  <c r="T19" i="19" s="1"/>
  <c r="T20" i="19" s="1"/>
  <c r="T21" i="19" s="1"/>
  <c r="T22" i="19" s="1"/>
  <c r="T23" i="19" s="1"/>
  <c r="T24" i="19" s="1"/>
  <c r="T25" i="19" s="1"/>
  <c r="T26" i="19" s="1"/>
  <c r="Y18" i="19"/>
  <c r="Y19" i="19" s="1"/>
  <c r="Y20" i="19" s="1"/>
  <c r="Y21" i="19" s="1"/>
  <c r="Y22" i="19" s="1"/>
  <c r="Y23" i="19" s="1"/>
  <c r="Y24" i="19" s="1"/>
  <c r="Y25" i="19" s="1"/>
  <c r="Y26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J18" i="19"/>
  <c r="J19" i="19" s="1"/>
  <c r="J20" i="19" s="1"/>
  <c r="J21" i="19" s="1"/>
  <c r="J22" i="19" s="1"/>
  <c r="J23" i="19" s="1"/>
  <c r="J24" i="19" s="1"/>
  <c r="J25" i="19" s="1"/>
  <c r="J26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Y27" i="19" l="1"/>
  <c r="O27" i="19"/>
  <c r="J27" i="19"/>
  <c r="E28" i="19"/>
  <c r="S27" i="19"/>
  <c r="T27" i="19" s="1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E29" i="19" l="1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V30" i="19"/>
  <c r="W29" i="19"/>
  <c r="X29" i="19" s="1"/>
  <c r="Y29" i="19" s="1"/>
  <c r="G30" i="19"/>
  <c r="H29" i="19"/>
  <c r="I29" i="19" s="1"/>
  <c r="J29" i="19" s="1"/>
  <c r="B23" i="27"/>
  <c r="G22" i="27"/>
  <c r="B38" i="1"/>
  <c r="B34" i="1"/>
  <c r="O29" i="19" l="1"/>
  <c r="E30" i="19"/>
  <c r="S29" i="19"/>
  <c r="T29" i="19" s="1"/>
  <c r="V31" i="19"/>
  <c r="W30" i="19"/>
  <c r="X30" i="19" s="1"/>
  <c r="Y30" i="19" s="1"/>
  <c r="B32" i="19"/>
  <c r="C31" i="19"/>
  <c r="D31" i="19" s="1"/>
  <c r="G31" i="19"/>
  <c r="H30" i="19"/>
  <c r="I30" i="19" s="1"/>
  <c r="J30" i="19" s="1"/>
  <c r="L31" i="19"/>
  <c r="M30" i="19"/>
  <c r="N30" i="19" s="1"/>
  <c r="O30" i="19" s="1"/>
  <c r="Q31" i="19"/>
  <c r="R30" i="19"/>
  <c r="B24" i="27"/>
  <c r="G23" i="27"/>
  <c r="E31" i="19" l="1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<sst xmlns="http://schemas.openxmlformats.org/spreadsheetml/2006/main" count="355" uniqueCount="303">
  <si>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</si>
  <si>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</si>
  <si>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</si>
  <si>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</si>
  <si>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</si>
  <si>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</si>
  <si>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</si>
  <si>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</si>
  <si>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</si>
  <si>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</si>
  <si>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</si>
  <si>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</si>
  <si>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</si>
  <si>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</si>
  <si>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</si>
  <si>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</si>
  <si>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</si>
  <si>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</si>
  <si>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</si>
  <si>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</si>
  <si>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</si>
  <si>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</si>
  <si>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</si>
  <si>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</si>
  <si>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</si>
  <si>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</si>
  <si>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</si>
  <si>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</si>
  <si>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</si>
  <si>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</si>
  <si>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</si>
  <si>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</si>
  <si>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</si>
  <si>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</si>
  <si>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</si>
  <si>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</si>
  <si>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</si>
  <si>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</si>
  <si>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</si>
  <si>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</si>
  <si>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</si>
  <si>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</si>
  <si>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</si>
  <si>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</si>
  <si>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</si>
  <si>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</si>
  <si>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</si>
  <si>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</si>
  <si>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</si>
  <si>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</si>
  <si>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</si>
  <si>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</si>
  <si>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</si>
  <si>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</si>
  <si>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</si>
  <si>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</si>
  <si>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</si>
  <si>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</si>
  <si>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</si>
  <si>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</si>
  <si>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</si>
  <si>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</si>
  <si>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</si>
  <si>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</si>
  <si>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</si>
  <si>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</si>
  <si>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</si>
  <si>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</si>
  <si>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</si>
  <si>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</si>
  <si>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</si>
  <si>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</si>
  <si>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</si>
  <si>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</si>
  <si>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</si>
  <si>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</si>
  <si>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</si>
  <si>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</si>
  <si>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</si>
  <si>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</si>
  <si>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</si>
  <si>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</si>
  <si>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</si>
  <si>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</si>
  <si>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</si>
  <si>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</si>
  <si>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</si>
  <si>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</si>
  <si>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</si>
  <si>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</si>
  <si>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</si>
  <si>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</si>
  <si>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</si>
  <si>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</si>
  <si>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</si>
  <si>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</si>
  <si>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</si>
  <si>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</si>
  <si>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</si>
  <si>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</si>
  <si>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</si>
  <si>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</si>
  <si>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</si>
  <si>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</si>
  <si>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</si>
  <si>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</si>
  <si>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</si>
  <si>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</si>
  <si>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</si>
  <si>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</si>
  <si>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</si>
  <si>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</si>
  <si>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</si>
  <si>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</si>
  <si>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</si>
  <si>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</si>
  <si>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</si>
  <si>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</si>
  <si>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</si>
  <si>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</si>
  <si>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</si>
  <si>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</si>
  <si>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</si>
  <si>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</si>
  <si>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</si>
  <si>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</si>
  <si>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</si>
  <si>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</si>
  <si>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</si>
  <si>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</si>
  <si>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</si>
  <si>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</si>
  <si>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</si>
  <si>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</si>
  <si>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</si>
  <si>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</si>
  <si>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</si>
  <si>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</si>
  <si>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</si>
  <si>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</si>
  <si>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</si>
  <si>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</si>
  <si>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</si>
  <si>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</si>
  <si>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</si>
  <si>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</si>
  <si>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</si>
  <si>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</si>
  <si>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</si>
  <si>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</si>
  <si>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</si>
  <si>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</si>
  <si>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</si>
  <si>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</si>
  <si>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</si>
  <si>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</si>
  <si>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</si>
  <si>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</si>
  <si>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</si>
  <si>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</si>
  <si>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</si>
  <si>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</si>
  <si>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</si>
  <si>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</si>
  <si>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</si>
  <si>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</si>
  <si>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</si>
  <si>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</si>
  <si>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</si>
  <si>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</si>
  <si>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</si>
  <si>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</si>
  <si>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</si>
  <si>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</si>
  <si>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</si>
  <si>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</si>
  <si>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</si>
  <si>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</si>
  <si>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</si>
  <si>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</si>
  <si>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</si>
  <si>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</si>
  <si>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</si>
  <si>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</si>
  <si>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</si>
  <si>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</si>
  <si>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</si>
  <si>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</si>
  <si>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</si>
  <si>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</si>
  <si>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</si>
  <si>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</si>
  <si>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</si>
  <si>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</si>
  <si>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</si>
  <si>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</si>
  <si>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</si>
  <si>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</si>
  <si>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</si>
  <si>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</si>
  <si>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</si>
  <si>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</si>
  <si>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</si>
  <si>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</si>
  <si>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</si>
  <si>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</si>
  <si>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</si>
  <si>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</si>
  <si>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</si>
  <si>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</si>
  <si>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</si>
  <si>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</si>
  <si>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</si>
  <si>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</si>
  <si>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gas range</t>
  </si>
  <si>
    <t>range hoods</t>
  </si>
  <si>
    <t>hood installations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</si>
  <si>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</si>
  <si>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</si>
  <si>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</si>
  <si>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</si>
  <si>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</si>
  <si>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</si>
  <si>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</si>
  <si>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</si>
  <si>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</si>
  <si>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</si>
  <si>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</si>
  <si>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</si>
  <si>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</si>
  <si>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</si>
  <si>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</si>
  <si>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</si>
  <si>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</si>
  <si>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</si>
  <si>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</si>
  <si>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</si>
  <si>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</si>
  <si>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</si>
  <si>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</si>
  <si>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</si>
  <si>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</si>
  <si>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</si>
  <si>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</si>
  <si>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</si>
  <si>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</si>
  <si>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</si>
  <si>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</si>
  <si>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</si>
  <si>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</si>
  <si>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</si>
  <si>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</si>
  <si>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</si>
  <si>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</si>
  <si>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</si>
  <si>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</si>
  <si>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</si>
  <si>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</si>
  <si>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</si>
  <si>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</si>
  <si>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</si>
  <si>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</si>
  <si>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</si>
  <si>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</si>
  <si>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</si>
  <si>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</si>
  <si>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</si>
  <si>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</si>
  <si>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</si>
  <si>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</si>
  <si>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</si>
  <si>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</si>
  <si>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</si>
  <si>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</si>
  <si>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</si>
  <si>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</si>
  <si>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</si>
  <si>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</si>
  <si>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</si>
  <si>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</si>
  <si>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</si>
  <si>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</si>
  <si>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</si>
  <si>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</si>
  <si>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</si>
  <si>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</si>
  <si>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</si>
  <si>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</si>
  <si>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</si>
  <si>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</si>
  <si>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</si>
  <si>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</si>
  <si>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</si>
  <si>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</si>
  <si>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</si>
  <si>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</si>
  <si>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</si>
  <si>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</si>
  <si>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</si>
  <si>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</si>
  <si>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</si>
  <si>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Monthly</t>
  </si>
  <si>
    <t>Summary: The following are scenarios for compounding % increases in the number of engaged community customers per month. The greater number of people we retain in the first month, the less of a struggle it will be to run the business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</si>
</sst>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256</v>
      </c>
      <c r="B2" s="4">
        <v>0.13</v>
      </c>
    </row>
    <row r="3" spans="1:13" x14ac:dyDescent="0.3">
      <c r="A3" t="s">
        <v>257</v>
      </c>
      <c r="B3">
        <v>5</v>
      </c>
      <c r="L3" t="s">
        <v>263</v>
      </c>
      <c r="M3" t="s">
        <v>264</v>
      </c>
    </row>
    <row r="4" spans="1:13" x14ac:dyDescent="0.3">
      <c r="A4" t="s">
        <v>258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262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255</v>
      </c>
      <c r="B9" t="s">
        <v>259</v>
      </c>
      <c r="F9" t="s">
        <v>255</v>
      </c>
      <c r="G9" t="s">
        <v>261</v>
      </c>
    </row>
    <row r="10" spans="1:13" x14ac:dyDescent="0.3">
      <c r="A10">
        <v>1</v>
      </c>
      <c r="B10" s="20">
        <v>5</v>
      </c>
      <c r="C10" t="s">
        <v>260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4" x14ac:dyDescent="0.3">
      <c r="B1" s="1" t="s">
        <v>38</v>
      </c>
    </row>
    <row r="2" spans="1:4" x14ac:dyDescent="0.3">
      <c r="C2" t="s">
        <v>253</v>
      </c>
      <c r="D2" t="s">
        <v>254</v>
      </c>
    </row>
    <row r="3" spans="1:4" x14ac:dyDescent="0.3">
      <c r="A3" t="s">
        <v>213</v>
      </c>
      <c r="B3" s="1">
        <v>50000</v>
      </c>
    </row>
    <row r="4" spans="1:4" x14ac:dyDescent="0.3">
      <c r="A4" t="s">
        <v>89</v>
      </c>
      <c r="B4" s="1">
        <v>45000</v>
      </c>
    </row>
    <row r="5" spans="1:4" x14ac:dyDescent="0.3">
      <c r="A5" t="s">
        <v>237</v>
      </c>
      <c r="B5" s="1">
        <v>25000</v>
      </c>
    </row>
    <row r="6" spans="1:4" x14ac:dyDescent="0.3">
      <c r="A6" t="s">
        <v>252</v>
      </c>
      <c r="B6" s="1">
        <f>C6*D6</f>
        <v>1800</v>
      </c>
      <c r="C6">
        <v>3</v>
      </c>
      <c r="D6">
        <v>600</v>
      </c>
    </row>
    <row r="8" spans="1:4" x14ac:dyDescent="0.3">
      <c r="A8" t="s">
        <v>43</v>
      </c>
      <c r="B8" s="1">
        <f>SUM(B2:B6)</f>
        <v>121800</v>
      </c>
    </row>
    <row r="11" spans="1:4" x14ac:dyDescent="0.3">
      <c r="A11" t="s">
        <v>93</v>
      </c>
      <c r="B11" s="1">
        <f>B8/52</f>
        <v>2342.3076923076924</v>
      </c>
    </row>
    <row r="12" spans="1:4" x14ac:dyDescent="0.3">
      <c r="A12" t="s">
        <v>94</v>
      </c>
      <c r="B12" s="1">
        <f>B8/26</f>
        <v>4684.6153846153848</v>
      </c>
    </row>
    <row r="13" spans="1:4" x14ac:dyDescent="0.3">
      <c r="A13" t="s">
        <v>105</v>
      </c>
      <c r="B13" s="1">
        <f>B12*2</f>
        <v>9369.2307692307695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218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217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A8" sqref="A8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221</v>
      </c>
      <c r="D6" s="1">
        <v>3000</v>
      </c>
    </row>
    <row r="8" spans="1:7" x14ac:dyDescent="0.3">
      <c r="A8" t="s">
        <v>222</v>
      </c>
      <c r="D8" s="7">
        <f>D3+D6</f>
        <v>16500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20"/>
  <sheetViews>
    <sheetView workbookViewId="0"/>
  </sheetViews>
  <sheetFormatPr defaultRowHeight="14.4" x14ac:dyDescent="0.3"/>
  <cols>
    <col min="1" max="1" width="33.8867187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245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219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16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214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216</v>
      </c>
      <c r="B8" s="1">
        <v>8000</v>
      </c>
      <c r="C8">
        <v>1</v>
      </c>
      <c r="G8" s="7">
        <f t="shared" si="0"/>
        <v>8000</v>
      </c>
    </row>
    <row r="9" spans="1:7" x14ac:dyDescent="0.3">
      <c r="A9" t="s">
        <v>215</v>
      </c>
      <c r="B9" s="1">
        <v>2500</v>
      </c>
      <c r="C9">
        <f>C7</f>
        <v>4</v>
      </c>
      <c r="G9" s="7">
        <f t="shared" si="0"/>
        <v>10000</v>
      </c>
    </row>
    <row r="10" spans="1:7" x14ac:dyDescent="0.3">
      <c r="A10" t="s">
        <v>244</v>
      </c>
      <c r="B10" s="1">
        <v>3900</v>
      </c>
      <c r="C10">
        <v>1</v>
      </c>
      <c r="G10" s="7">
        <f t="shared" si="0"/>
        <v>3900</v>
      </c>
    </row>
    <row r="11" spans="1:7" x14ac:dyDescent="0.3">
      <c r="A11" t="s">
        <v>53</v>
      </c>
      <c r="B11" s="1">
        <v>1000</v>
      </c>
      <c r="C11">
        <v>1</v>
      </c>
      <c r="G11" s="7">
        <f t="shared" si="0"/>
        <v>1000</v>
      </c>
    </row>
    <row r="12" spans="1:7" x14ac:dyDescent="0.3">
      <c r="A12" t="s">
        <v>54</v>
      </c>
      <c r="B12" s="1">
        <v>0</v>
      </c>
      <c r="C12">
        <v>1</v>
      </c>
      <c r="G12" s="7">
        <f t="shared" si="0"/>
        <v>0</v>
      </c>
    </row>
    <row r="13" spans="1:7" x14ac:dyDescent="0.3">
      <c r="A13" t="s">
        <v>61</v>
      </c>
      <c r="B13" s="1">
        <v>100</v>
      </c>
      <c r="C13">
        <v>6</v>
      </c>
      <c r="G13" s="7">
        <f t="shared" si="0"/>
        <v>600</v>
      </c>
    </row>
    <row r="14" spans="1:7" x14ac:dyDescent="0.3">
      <c r="A14" t="s">
        <v>63</v>
      </c>
      <c r="B14" s="1">
        <v>250</v>
      </c>
      <c r="C14">
        <v>3</v>
      </c>
      <c r="G14" s="7">
        <f t="shared" si="0"/>
        <v>750</v>
      </c>
    </row>
    <row r="15" spans="1:7" x14ac:dyDescent="0.3">
      <c r="A15" t="s">
        <v>64</v>
      </c>
      <c r="B15" s="1">
        <v>80</v>
      </c>
      <c r="C15">
        <v>3</v>
      </c>
      <c r="G15" s="7">
        <f t="shared" si="0"/>
        <v>240</v>
      </c>
    </row>
    <row r="16" spans="1:7" x14ac:dyDescent="0.3">
      <c r="A16" t="s">
        <v>243</v>
      </c>
      <c r="B16" s="1">
        <v>100</v>
      </c>
      <c r="C16">
        <v>1</v>
      </c>
      <c r="G16" s="7">
        <f t="shared" si="0"/>
        <v>100</v>
      </c>
    </row>
    <row r="20" spans="1:7" x14ac:dyDescent="0.3">
      <c r="A20" t="s">
        <v>43</v>
      </c>
      <c r="G20" s="7">
        <f>SUM(G2:G16)</f>
        <v>47315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A14" sqref="A14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zoomScaleNormal="100" workbookViewId="0">
      <selection activeCell="A11" sqref="A11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280</v>
      </c>
      <c r="B1" s="15">
        <f>Key_Assumptions_draft!G7</f>
        <v>355</v>
      </c>
      <c r="D1" s="30" t="s">
        <v>271</v>
      </c>
    </row>
    <row r="2" spans="1:25" x14ac:dyDescent="0.3">
      <c r="A2" t="s">
        <v>285</v>
      </c>
      <c r="B2" s="15">
        <f>Gross!N30</f>
        <v>600</v>
      </c>
      <c r="C2" t="s">
        <v>297</v>
      </c>
      <c r="D2" s="30" t="s">
        <v>272</v>
      </c>
    </row>
    <row r="3" spans="1:25" x14ac:dyDescent="0.3">
      <c r="A3" t="s">
        <v>276</v>
      </c>
      <c r="B3" s="16">
        <f>Overhead!B15/12</f>
        <v>30580.555555555551</v>
      </c>
      <c r="D3" s="30" t="s">
        <v>284</v>
      </c>
    </row>
    <row r="4" spans="1:25" x14ac:dyDescent="0.3">
      <c r="A4" t="s">
        <v>274</v>
      </c>
      <c r="B4" s="16">
        <f>Overhead!B18</f>
        <v>183483.33333333331</v>
      </c>
      <c r="D4" s="30" t="s">
        <v>273</v>
      </c>
    </row>
    <row r="5" spans="1:25" x14ac:dyDescent="0.3">
      <c r="B5" t="s">
        <v>275</v>
      </c>
      <c r="D5" s="30" t="s">
        <v>287</v>
      </c>
    </row>
    <row r="6" spans="1:25" x14ac:dyDescent="0.3">
      <c r="D6" s="30" t="s">
        <v>299</v>
      </c>
    </row>
    <row r="8" spans="1:25" x14ac:dyDescent="0.3">
      <c r="A8" t="s">
        <v>302</v>
      </c>
    </row>
    <row r="13" spans="1:25" x14ac:dyDescent="0.3">
      <c r="A13" t="s">
        <v>270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288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286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255</v>
      </c>
      <c r="B16" s="9" t="s">
        <v>4</v>
      </c>
      <c r="C16" t="s">
        <v>277</v>
      </c>
      <c r="D16" t="s">
        <v>278</v>
      </c>
      <c r="E16" t="s">
        <v>279</v>
      </c>
      <c r="G16" t="s">
        <v>4</v>
      </c>
      <c r="H16" t="s">
        <v>277</v>
      </c>
      <c r="I16" t="s">
        <v>278</v>
      </c>
      <c r="J16" t="s">
        <v>279</v>
      </c>
      <c r="L16" t="s">
        <v>4</v>
      </c>
      <c r="M16" t="s">
        <v>277</v>
      </c>
      <c r="N16" t="s">
        <v>278</v>
      </c>
      <c r="O16" t="s">
        <v>279</v>
      </c>
      <c r="Q16" t="s">
        <v>4</v>
      </c>
      <c r="R16" t="s">
        <v>277</v>
      </c>
      <c r="S16" t="s">
        <v>278</v>
      </c>
      <c r="T16" t="s">
        <v>279</v>
      </c>
      <c r="V16" t="s">
        <v>4</v>
      </c>
      <c r="W16" t="s">
        <v>277</v>
      </c>
      <c r="X16" t="s">
        <v>278</v>
      </c>
      <c r="Y16" t="s">
        <v>279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-29233.35555555555</v>
      </c>
      <c r="E17" s="7">
        <f>D17</f>
        <v>-29233.35555555555</v>
      </c>
      <c r="G17" s="20">
        <v>25</v>
      </c>
      <c r="H17" s="21">
        <f>G17*Gross!$L$27</f>
        <v>2245.3333333333339</v>
      </c>
      <c r="I17" s="7">
        <f t="shared" ref="I17:I53" si="1">H17-$B$3</f>
        <v>-28335.222222222219</v>
      </c>
      <c r="J17" s="7">
        <f>I17</f>
        <v>-28335.222222222219</v>
      </c>
      <c r="L17" s="20">
        <v>35</v>
      </c>
      <c r="M17" s="21">
        <f>L17*Gross!$L$27</f>
        <v>3143.4666666666676</v>
      </c>
      <c r="N17" s="7">
        <f t="shared" ref="N17:N53" si="2">M17-$B$3</f>
        <v>-27437.088888888884</v>
      </c>
      <c r="O17" s="7">
        <f>N17</f>
        <v>-27437.088888888884</v>
      </c>
      <c r="Q17" s="20">
        <v>55</v>
      </c>
      <c r="R17" s="7">
        <f>Q17*Gross!$L$27</f>
        <v>4939.7333333333345</v>
      </c>
      <c r="S17" s="7">
        <f t="shared" ref="S17:S53" si="3">R17-$B$3</f>
        <v>-25640.822222222218</v>
      </c>
      <c r="T17" s="7">
        <f>S17</f>
        <v>-25640.822222222218</v>
      </c>
      <c r="V17" s="11">
        <v>100</v>
      </c>
      <c r="W17" s="7">
        <f>V17*Gross!$L$27</f>
        <v>8981.3333333333358</v>
      </c>
      <c r="X17" s="7">
        <f t="shared" ref="X17:X53" si="4">W17-$B$3</f>
        <v>-21599.222222222215</v>
      </c>
      <c r="Y17" s="7">
        <f>X17</f>
        <v>-21599.222222222215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-28559.755555555552</v>
      </c>
      <c r="E18" s="7">
        <f>E17+D18</f>
        <v>-57793.111111111102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-27437.088888888884</v>
      </c>
      <c r="J18" s="7">
        <f>J17+I18</f>
        <v>-55772.311111111107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-26494.048888888883</v>
      </c>
      <c r="O18" s="7">
        <f>O17+N18</f>
        <v>-53931.137777777767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-24652.875555555547</v>
      </c>
      <c r="T18" s="7">
        <f>T17+S18</f>
        <v>-50293.697777777765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-20701.08888888888</v>
      </c>
      <c r="Y18" s="7">
        <f>Y17+X18</f>
        <v>-42300.311111111092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-27549.35555555555</v>
      </c>
      <c r="E19" s="7">
        <f t="shared" ref="E19:E53" si="10">E18+D19</f>
        <v>-85342.466666666645</v>
      </c>
      <c r="G19" s="20">
        <f t="shared" si="6"/>
        <v>49</v>
      </c>
      <c r="H19" s="21">
        <f>G19*Gross!$L$27</f>
        <v>4400.8533333333344</v>
      </c>
      <c r="I19" s="7">
        <f t="shared" si="1"/>
        <v>-26179.702222222215</v>
      </c>
      <c r="J19" s="7">
        <f t="shared" ref="J19:J53" si="11">J18+I19</f>
        <v>-81952.013333333321</v>
      </c>
      <c r="L19" s="20">
        <f t="shared" si="7"/>
        <v>59.15</v>
      </c>
      <c r="M19" s="21">
        <f>L19*Gross!$L$27</f>
        <v>5312.4586666666683</v>
      </c>
      <c r="N19" s="7">
        <f t="shared" si="2"/>
        <v>-25268.096888888882</v>
      </c>
      <c r="O19" s="7">
        <f t="shared" ref="O19:O53" si="12">O18+N19</f>
        <v>-79199.234666666656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-23467.339555555547</v>
      </c>
      <c r="T19" s="7">
        <f t="shared" ref="T19:T53" si="13">T18+S19</f>
        <v>-73761.037333333312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-19713.14222222221</v>
      </c>
      <c r="Y19" s="7">
        <f t="shared" ref="Y19:Y53" si="14">Y18+X19</f>
        <v>-62013.453333333302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-26033.755555555552</v>
      </c>
      <c r="E20" s="7">
        <f t="shared" si="10"/>
        <v>-111376.22222222219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-24419.360888888885</v>
      </c>
      <c r="J20" s="7">
        <f t="shared" si="11"/>
        <v>-106371.37422222221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-23674.359288888882</v>
      </c>
      <c r="O20" s="7">
        <f t="shared" si="12"/>
        <v>-102873.59395555554</v>
      </c>
      <c r="Q20" s="20">
        <f t="shared" si="8"/>
        <v>95.04</v>
      </c>
      <c r="R20" s="7">
        <f>Q20*Gross!$L$27</f>
        <v>8535.8592000000026</v>
      </c>
      <c r="S20" s="7">
        <f t="shared" si="3"/>
        <v>-22044.696355555549</v>
      </c>
      <c r="T20" s="7">
        <f t="shared" si="13"/>
        <v>-95805.733688888868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-18626.400888888878</v>
      </c>
      <c r="Y20" s="7">
        <f t="shared" si="14"/>
        <v>-80639.854222222173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-23760.35555555555</v>
      </c>
      <c r="E21" s="7">
        <f t="shared" si="10"/>
        <v>-135136.57777777774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-21954.883022222217</v>
      </c>
      <c r="J21" s="7">
        <f t="shared" si="11"/>
        <v>-128326.25724444442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-21602.500408888882</v>
      </c>
      <c r="O21" s="7">
        <f t="shared" si="12"/>
        <v>-124476.09436444442</v>
      </c>
      <c r="Q21" s="20">
        <f t="shared" si="8"/>
        <v>114.048</v>
      </c>
      <c r="R21" s="7">
        <f>Q21*Gross!$L$27</f>
        <v>10243.031040000003</v>
      </c>
      <c r="S21" s="7">
        <f t="shared" si="3"/>
        <v>-20337.524515555546</v>
      </c>
      <c r="T21" s="7">
        <f t="shared" si="13"/>
        <v>-116143.25820444441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-17430.985422222206</v>
      </c>
      <c r="Y21" s="7">
        <f t="shared" si="14"/>
        <v>-98070.839644444379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-20350.255555555548</v>
      </c>
      <c r="E22" s="24">
        <f t="shared" si="10"/>
        <v>-155486.83333333328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-18504.614008888882</v>
      </c>
      <c r="J22" s="24">
        <f t="shared" si="11"/>
        <v>-146830.87125333332</v>
      </c>
      <c r="L22" s="23">
        <f t="shared" si="7"/>
        <v>129.95255</v>
      </c>
      <c r="M22" s="24">
        <f>L22*Gross!$L$27</f>
        <v>11671.471690666671</v>
      </c>
      <c r="N22" s="24">
        <f t="shared" si="2"/>
        <v>-18909.083864888882</v>
      </c>
      <c r="O22" s="24">
        <f t="shared" si="12"/>
        <v>-143385.17822933331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-18288.918307555548</v>
      </c>
      <c r="T22" s="24">
        <f t="shared" si="13"/>
        <v>-134432.17651199998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-16116.028408888871</v>
      </c>
      <c r="Y22" s="24">
        <f t="shared" si="14"/>
        <v>-114186.86805333325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-15235.105555555547</v>
      </c>
      <c r="E23" s="7">
        <f t="shared" si="10"/>
        <v>-170721.93888888884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-13674.237390222213</v>
      </c>
      <c r="J23" s="7">
        <f t="shared" si="11"/>
        <v>-160505.10864355552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-15407.642357688877</v>
      </c>
      <c r="O23" s="7">
        <f t="shared" si="12"/>
        <v>-158792.82058702217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-15830.590857955547</v>
      </c>
      <c r="T23" s="7">
        <f t="shared" si="13"/>
        <v>-150262.76736995552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-14669.575694222201</v>
      </c>
      <c r="Y23" s="7">
        <f t="shared" si="14"/>
        <v>-128856.44374755546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-7562.3805555555446</v>
      </c>
      <c r="E24" s="7">
        <f t="shared" si="10"/>
        <v>-178284.31944444438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-6911.7101240888805</v>
      </c>
      <c r="J24" s="7">
        <f t="shared" si="11"/>
        <v>-167416.81876764441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-10855.768398328877</v>
      </c>
      <c r="O24" s="7">
        <f t="shared" si="12"/>
        <v>-169648.58898535106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-12880.597918435546</v>
      </c>
      <c r="T24" s="7">
        <f t="shared" si="13"/>
        <v>-163143.36528839107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-13078.477708088867</v>
      </c>
      <c r="Y24" s="7">
        <f t="shared" si="14"/>
        <v>-141934.92145564433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3946.7069444444605</v>
      </c>
      <c r="E25" s="7">
        <f t="shared" si="10"/>
        <v>-174337.61249999993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2555.8280484977913</v>
      </c>
      <c r="J25" s="7">
        <f t="shared" si="11"/>
        <v>-164860.99071914662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-4938.3322511608749</v>
      </c>
      <c r="O25" s="7">
        <f t="shared" si="12"/>
        <v>-174586.92123651193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-9340.6063910115481</v>
      </c>
      <c r="T25" s="7">
        <f t="shared" si="13"/>
        <v>-172483.97167940263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-11328.269923342195</v>
      </c>
      <c r="Y25" s="7">
        <f t="shared" si="14"/>
        <v>-153263.19137898652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21210.338194444466</v>
      </c>
      <c r="E26" s="7">
        <f t="shared" si="10"/>
        <v>-153127.27430555547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15810.381490119118</v>
      </c>
      <c r="J26" s="7">
        <f t="shared" si="11"/>
        <v>-149050.6092290275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2754.3347401575338</v>
      </c>
      <c r="O26" s="7">
        <f t="shared" si="12"/>
        <v>-171832.5864963544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-5092.616558102749</v>
      </c>
      <c r="T26" s="7">
        <f t="shared" si="13"/>
        <v>-177576.58823750538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-9403.0413601208566</v>
      </c>
      <c r="Y26" s="7">
        <f t="shared" si="14"/>
        <v>-162666.23273910739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47105.785069444479</v>
      </c>
      <c r="E27" s="7">
        <f t="shared" si="10"/>
        <v>-106021.489236111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34366.756308388984</v>
      </c>
      <c r="J27" s="7">
        <f t="shared" si="11"/>
        <v>-114683.85292063851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12754.801828871456</v>
      </c>
      <c r="O27" s="7">
        <f t="shared" si="12"/>
        <v>-159077.78466748295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4.9712413878114603</v>
      </c>
      <c r="T27" s="7">
        <f t="shared" si="13"/>
        <v>-177571.61699611758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-7285.289940577386</v>
      </c>
      <c r="Y27" s="7">
        <f t="shared" si="14"/>
        <v>-169951.52267968477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85948.955381944485</v>
      </c>
      <c r="E28" s="28">
        <f t="shared" si="10"/>
        <v>-20072.533854166511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60345.681053966808</v>
      </c>
      <c r="J28" s="28">
        <f t="shared" si="11"/>
        <v>-54338.171866671706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25755.409044199569</v>
      </c>
      <c r="O28" s="28">
        <f t="shared" si="12"/>
        <v>-133322.37562328338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6122.0766007764796</v>
      </c>
      <c r="T28" s="28">
        <f t="shared" si="13"/>
        <v>-171449.54039534109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-4955.7633790795699</v>
      </c>
      <c r="Y28" s="28">
        <f t="shared" si="14"/>
        <v>-174907.28605876435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144213.71085069448</v>
      </c>
      <c r="E29" s="7">
        <f>E28+D29</f>
        <v>124141.17699652797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96716.175697775718</v>
      </c>
      <c r="J29" s="7">
        <f t="shared" si="11"/>
        <v>42378.003831104012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42656.198424126109</v>
      </c>
      <c r="O29" s="7">
        <f t="shared" si="12"/>
        <v>-90666.177199157275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13462.603032042887</v>
      </c>
      <c r="T29" s="7">
        <f t="shared" si="13"/>
        <v>-157986.9373632982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-2393.2841614319696</v>
      </c>
      <c r="Y29" s="7">
        <f t="shared" si="14"/>
        <v>-177300.57022019633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231610.84405381954</v>
      </c>
      <c r="E30" s="7">
        <f t="shared" si="10"/>
        <v>355752.02105034748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147634.8681991082</v>
      </c>
      <c r="J30" s="7">
        <f t="shared" si="11"/>
        <v>190012.87203021219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64627.22461803061</v>
      </c>
      <c r="O30" s="7">
        <f t="shared" si="12"/>
        <v>-26038.952581126665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22271.234749562576</v>
      </c>
      <c r="T30" s="7">
        <f t="shared" si="13"/>
        <v>-135715.70261373563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425.44297798039042</v>
      </c>
      <c r="Y30" s="7">
        <f t="shared" si="14"/>
        <v>-176875.12724221594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362706.54385850707</v>
      </c>
      <c r="E31" s="7">
        <f t="shared" si="10"/>
        <v>718458.56490885455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218921.03770097368</v>
      </c>
      <c r="J31" s="7">
        <f t="shared" si="11"/>
        <v>408933.90973118588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93189.55867010646</v>
      </c>
      <c r="O31" s="7">
        <f t="shared" si="12"/>
        <v>67150.606088979795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32841.592810586197</v>
      </c>
      <c r="T31" s="7">
        <f t="shared" si="13"/>
        <v>-102874.10980314943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3526.0428313339835</v>
      </c>
      <c r="Y31" s="7">
        <f t="shared" si="14"/>
        <v>-173349.08441088194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559350.09356553841</v>
      </c>
      <c r="E32" s="7">
        <f t="shared" si="10"/>
        <v>1277808.658474393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318721.67500358535</v>
      </c>
      <c r="J32" s="7">
        <f t="shared" si="11"/>
        <v>727655.58473477117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130320.59293780506</v>
      </c>
      <c r="O32" s="7">
        <f t="shared" si="12"/>
        <v>197471.19902678486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45526.022483814537</v>
      </c>
      <c r="T32" s="7">
        <f t="shared" si="13"/>
        <v>-57348.087319334896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6936.7026700229435</v>
      </c>
      <c r="Y32" s="7">
        <f t="shared" si="14"/>
        <v>-166412.38174085901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854315.41812608542</v>
      </c>
      <c r="E33" s="7">
        <f t="shared" si="10"/>
        <v>2132124.0766004785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458442.5672272417</v>
      </c>
      <c r="J33" s="7">
        <f t="shared" si="11"/>
        <v>1186098.151962013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178590.93748581325</v>
      </c>
      <c r="O33" s="7">
        <f t="shared" si="12"/>
        <v>376062.13651259814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60747.338091688551</v>
      </c>
      <c r="T33" s="7">
        <f t="shared" si="13"/>
        <v>3399.2507723536546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10688.428492580799</v>
      </c>
      <c r="Y33" s="7">
        <f t="shared" si="14"/>
        <v>-155723.95324827821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1296763.4049669059</v>
      </c>
      <c r="E34" s="28">
        <f t="shared" si="10"/>
        <v>3428887.4815673847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654051.81634036067</v>
      </c>
      <c r="J34" s="28">
        <f t="shared" si="11"/>
        <v>1840149.9683023738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241342.38539822388</v>
      </c>
      <c r="O34" s="28">
        <f t="shared" si="12"/>
        <v>617404.52191082202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79012.916821137376</v>
      </c>
      <c r="T34" s="28">
        <f t="shared" si="13"/>
        <v>82412.167593491031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14815.326897394432</v>
      </c>
      <c r="Y34" s="28">
        <f t="shared" si="14"/>
        <v>-140908.62635088377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1960435.3852281366</v>
      </c>
      <c r="E35" s="7">
        <f t="shared" si="10"/>
        <v>5389322.8667955212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927904.76509872708</v>
      </c>
      <c r="J35" s="7">
        <f t="shared" si="11"/>
        <v>2768054.7334011011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322919.26768435771</v>
      </c>
      <c r="O35" s="7">
        <f t="shared" si="12"/>
        <v>940323.78959517973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100931.61129647597</v>
      </c>
      <c r="T35" s="7">
        <f t="shared" si="13"/>
        <v>183343.77888996701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19354.915142689435</v>
      </c>
      <c r="Y35" s="7">
        <f t="shared" si="14"/>
        <v>-121553.71120819433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2955943.3556199824</v>
      </c>
      <c r="E36" s="7">
        <f t="shared" si="10"/>
        <v>8345266.2224155031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1311298.8933604402</v>
      </c>
      <c r="J36" s="7">
        <f t="shared" si="11"/>
        <v>4079353.6267615412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428969.21465633175</v>
      </c>
      <c r="O36" s="7">
        <f t="shared" si="12"/>
        <v>1369293.0042515115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127234.04466688224</v>
      </c>
      <c r="T36" s="7">
        <f t="shared" si="13"/>
        <v>310577.82355684927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24348.462212513939</v>
      </c>
      <c r="Y36" s="7">
        <f t="shared" si="14"/>
        <v>-97205.248995680391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4449205.3112077508</v>
      </c>
      <c r="E37" s="7">
        <f t="shared" si="10"/>
        <v>12794471.533623254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1848050.6729268383</v>
      </c>
      <c r="J37" s="7">
        <f t="shared" si="11"/>
        <v>5927404.2996883793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566834.14571989805</v>
      </c>
      <c r="O37" s="7">
        <f t="shared" si="12"/>
        <v>1936127.1499714097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158796.9647113698</v>
      </c>
      <c r="T37" s="7">
        <f t="shared" si="13"/>
        <v>469374.7882682191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29841.363989320886</v>
      </c>
      <c r="Y37" s="7">
        <f t="shared" si="14"/>
        <v>-67363.885006359502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6689098.2445894042</v>
      </c>
      <c r="E38" s="7">
        <f t="shared" si="10"/>
        <v>19483569.778212659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2599503.1643197956</v>
      </c>
      <c r="J38" s="7">
        <f t="shared" si="11"/>
        <v>8526907.4640081748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746058.55610253417</v>
      </c>
      <c r="O38" s="7">
        <f t="shared" si="12"/>
        <v>2682185.706073944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196672.46876475489</v>
      </c>
      <c r="T38" s="7">
        <f t="shared" si="13"/>
        <v>666047.25703297392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35883.555943808533</v>
      </c>
      <c r="Y38" s="7">
        <f t="shared" si="14"/>
        <v>-31480.329062550969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10048937.644661885</v>
      </c>
      <c r="E39" s="7">
        <f t="shared" si="10"/>
        <v>29532507.422874544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3651536.6522699357</v>
      </c>
      <c r="J39" s="7">
        <f t="shared" si="11"/>
        <v>12178444.11627811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979050.28959996114</v>
      </c>
      <c r="O39" s="7">
        <f t="shared" si="12"/>
        <v>3661235.9956739051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242123.07362881693</v>
      </c>
      <c r="T39" s="7">
        <f t="shared" si="13"/>
        <v>908170.33066179091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42529.967093744955</v>
      </c>
      <c r="Y39" s="7">
        <f t="shared" si="14"/>
        <v>11049.638031193987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15088696.744770605</v>
      </c>
      <c r="E40" s="28">
        <f t="shared" si="10"/>
        <v>44621204.167645149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5124383.5354001317</v>
      </c>
      <c r="J40" s="28">
        <f t="shared" si="11"/>
        <v>17302827.651678242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1281939.5431466161</v>
      </c>
      <c r="O40" s="28">
        <f t="shared" si="12"/>
        <v>4943175.538820521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296663.79946569144</v>
      </c>
      <c r="T40" s="28">
        <f t="shared" si="13"/>
        <v>1204834.1301274823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49841.01935867501</v>
      </c>
      <c r="Y40" s="28">
        <f t="shared" si="14"/>
        <v>60890.657389868997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22648335.394933686</v>
      </c>
      <c r="E41" s="7">
        <f t="shared" si="10"/>
        <v>67269539.562578827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7186369.171782406</v>
      </c>
      <c r="J41" s="7">
        <f t="shared" si="11"/>
        <v>24489196.823460646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1675695.5727572676</v>
      </c>
      <c r="O41" s="7">
        <f t="shared" si="12"/>
        <v>6618871.1115777884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362112.67046994081</v>
      </c>
      <c r="T41" s="7">
        <f t="shared" si="13"/>
        <v>1566946.8005974232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57883.176850098083</v>
      </c>
      <c r="Y41" s="7">
        <f t="shared" si="14"/>
        <v>118773.83423996708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33987793.370178312</v>
      </c>
      <c r="E42" s="7">
        <f t="shared" si="10"/>
        <v>101257332.93275714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10073149.06271759</v>
      </c>
      <c r="J42" s="7">
        <f t="shared" si="11"/>
        <v>34562345.88617824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2187578.4112511147</v>
      </c>
      <c r="O42" s="7">
        <f t="shared" si="12"/>
        <v>8806449.522828903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440651.31567504012</v>
      </c>
      <c r="T42" s="7">
        <f t="shared" si="13"/>
        <v>2007598.1162724635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66729.550090663441</v>
      </c>
      <c r="Y42" s="7">
        <f t="shared" si="14"/>
        <v>185503.38433063054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50996980.333045244</v>
      </c>
      <c r="E43" s="7">
        <f t="shared" si="10"/>
        <v>152254313.26580238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14114640.910026848</v>
      </c>
      <c r="J43" s="7">
        <f t="shared" si="11"/>
        <v>48676986.796205088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2853026.1012931159</v>
      </c>
      <c r="O43" s="7">
        <f t="shared" si="12"/>
        <v>11659475.62412202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534897.6899211593</v>
      </c>
      <c r="T43" s="7">
        <f t="shared" si="13"/>
        <v>2542495.8061936228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76460.560655285342</v>
      </c>
      <c r="Y43" s="7">
        <f t="shared" si="14"/>
        <v>261963.94498591588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76510760.777345642</v>
      </c>
      <c r="E44" s="7">
        <f t="shared" si="10"/>
        <v>228765074.04314804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19772729.496259809</v>
      </c>
      <c r="J44" s="7">
        <f t="shared" si="11"/>
        <v>68449716.292464897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3718108.0983477174</v>
      </c>
      <c r="O44" s="7">
        <f t="shared" si="12"/>
        <v>15377583.722469738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647993.33901650226</v>
      </c>
      <c r="T44" s="7">
        <f t="shared" si="13"/>
        <v>3190489.145210125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87164.672276369456</v>
      </c>
      <c r="Y44" s="7">
        <f t="shared" si="14"/>
        <v>349128.61726228532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114781431.44379623</v>
      </c>
      <c r="E45" s="7">
        <f t="shared" si="10"/>
        <v>343546505.48694426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27694053.516985953</v>
      </c>
      <c r="J45" s="7">
        <f t="shared" si="11"/>
        <v>96143769.80945085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4842714.6945186993</v>
      </c>
      <c r="O45" s="7">
        <f t="shared" si="12"/>
        <v>20220298.416988436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783708.11793091381</v>
      </c>
      <c r="T45" s="7">
        <f t="shared" si="13"/>
        <v>3974197.2631410388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98939.195059561971</v>
      </c>
      <c r="Y45" s="7">
        <f t="shared" si="14"/>
        <v>448067.8123218473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172187437.44347212</v>
      </c>
      <c r="E46" s="28">
        <f t="shared" si="10"/>
        <v>515733942.93041635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38783907.146002561</v>
      </c>
      <c r="J46" s="28">
        <f t="shared" si="11"/>
        <v>134927676.9554534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6304703.2695409767</v>
      </c>
      <c r="O46" s="28">
        <f t="shared" si="12"/>
        <v>26525001.686529413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946565.85262820765</v>
      </c>
      <c r="T46" s="28">
        <f t="shared" si="13"/>
        <v>4920763.1157692466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111891.17012107374</v>
      </c>
      <c r="Y46" s="28">
        <f t="shared" si="14"/>
        <v>559958.98244292103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258296446.44298598</v>
      </c>
      <c r="E47" s="7">
        <f t="shared" si="10"/>
        <v>774030389.37340236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54309702.2266258</v>
      </c>
      <c r="J47" s="7">
        <f t="shared" si="11"/>
        <v>189237379.1820792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8205288.4170699362</v>
      </c>
      <c r="O47" s="7">
        <f t="shared" si="12"/>
        <v>34730290.103599347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1141995.1342649604</v>
      </c>
      <c r="T47" s="7">
        <f t="shared" si="13"/>
        <v>6062758.2500342075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126138.34268873669</v>
      </c>
      <c r="Y47" s="7">
        <f t="shared" si="14"/>
        <v>686097.32513165777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387459959.94225663</v>
      </c>
      <c r="E48" s="7">
        <f t="shared" si="10"/>
        <v>1161490349.315659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76045815.339498341</v>
      </c>
      <c r="J48" s="7">
        <f t="shared" si="11"/>
        <v>265283194.52157754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10676049.108857585</v>
      </c>
      <c r="O48" s="7">
        <f t="shared" si="12"/>
        <v>45406339.212456934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1376510.2722290636</v>
      </c>
      <c r="T48" s="7">
        <f t="shared" si="13"/>
        <v>7439268.5222632708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141810.23251316589</v>
      </c>
      <c r="Y48" s="7">
        <f t="shared" si="14"/>
        <v>827907.55764482368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581205230.19116282</v>
      </c>
      <c r="E49" s="7">
        <f t="shared" si="10"/>
        <v>1742695579.5068219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106476373.69751988</v>
      </c>
      <c r="J49" s="7">
        <f t="shared" si="11"/>
        <v>371759568.21909744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13888038.008181527</v>
      </c>
      <c r="O49" s="7">
        <f t="shared" si="12"/>
        <v>59294377.220638461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1657928.4377859873</v>
      </c>
      <c r="T49" s="7">
        <f t="shared" si="13"/>
        <v>9097196.9600492585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159049.31132003805</v>
      </c>
      <c r="Y49" s="7">
        <f t="shared" si="14"/>
        <v>986956.86896486173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871823135.56452191</v>
      </c>
      <c r="E50" s="7">
        <f t="shared" si="10"/>
        <v>2614518715.0713439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149079155.39875007</v>
      </c>
      <c r="J50" s="7">
        <f t="shared" si="11"/>
        <v>520838723.6178475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18063623.577302653</v>
      </c>
      <c r="O50" s="7">
        <f t="shared" si="12"/>
        <v>77358000.797941118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1995630.2364542959</v>
      </c>
      <c r="T50" s="7">
        <f t="shared" si="13"/>
        <v>11092827.196503554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178012.29800759739</v>
      </c>
      <c r="Y50" s="7">
        <f t="shared" si="14"/>
        <v>1164969.1669724591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1307749993.6245606</v>
      </c>
      <c r="E51" s="7">
        <f t="shared" si="10"/>
        <v>3922268708.6959047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208723049.78047228</v>
      </c>
      <c r="J51" s="7">
        <f t="shared" si="11"/>
        <v>729561773.39831972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23491884.817160115</v>
      </c>
      <c r="O51" s="7">
        <f t="shared" si="12"/>
        <v>100849885.61510123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2400872.3948562657</v>
      </c>
      <c r="T51" s="7">
        <f t="shared" si="13"/>
        <v>13493699.59135982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198871.58336391271</v>
      </c>
      <c r="Y51" s="7">
        <f t="shared" si="14"/>
        <v>1363840.7503363718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1961640280.7146187</v>
      </c>
      <c r="E52" s="28">
        <f t="shared" si="10"/>
        <v>5883908989.4105234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292224501.91488338</v>
      </c>
      <c r="J52" s="28">
        <f t="shared" si="11"/>
        <v>1021786275.3132031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30548624.428974818</v>
      </c>
      <c r="O52" s="28">
        <f t="shared" si="12"/>
        <v>131398510.04407606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2887162.9849386299</v>
      </c>
      <c r="T52" s="28">
        <f t="shared" si="13"/>
        <v>16380862.576298449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221816.79725585959</v>
      </c>
      <c r="Y52" s="28">
        <f t="shared" si="14"/>
        <v>1585657.5475922315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2942475711.3497057</v>
      </c>
      <c r="E53" s="7">
        <f t="shared" si="10"/>
        <v>8826384700.7602291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409126534.90305889</v>
      </c>
      <c r="J53" s="7">
        <f t="shared" si="11"/>
        <v>1430912810.2162619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39722385.924333937</v>
      </c>
      <c r="O53" s="7">
        <f t="shared" si="12"/>
        <v>171120895.96840999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3470711.6930374666</v>
      </c>
      <c r="T53" s="7">
        <f t="shared" si="13"/>
        <v>19851574.269335914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247056.53253700113</v>
      </c>
      <c r="Y53" s="7">
        <f t="shared" si="14"/>
        <v>1832714.0801292327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3:F19"/>
  <sheetViews>
    <sheetView workbookViewId="0">
      <selection activeCell="F4" sqref="F4"/>
    </sheetView>
  </sheetViews>
  <sheetFormatPr defaultRowHeight="14.4" x14ac:dyDescent="0.3"/>
  <cols>
    <col min="1" max="1" width="19.44140625" bestFit="1" customWidth="1"/>
    <col min="2" max="2" width="9.33203125" style="7" bestFit="1" customWidth="1"/>
    <col min="3" max="4" width="12.88671875" bestFit="1" customWidth="1"/>
    <col min="5" max="5" width="9.88671875" bestFit="1" customWidth="1"/>
    <col min="6" max="6" width="15" bestFit="1" customWidth="1"/>
  </cols>
  <sheetData>
    <row r="3" spans="1:6" x14ac:dyDescent="0.3">
      <c r="B3" s="7" t="s">
        <v>86</v>
      </c>
      <c r="C3" t="s">
        <v>295</v>
      </c>
      <c r="D3" t="s">
        <v>296</v>
      </c>
      <c r="E3" t="s">
        <v>298</v>
      </c>
      <c r="F3" t="s">
        <v>300</v>
      </c>
    </row>
    <row r="4" spans="1:6" x14ac:dyDescent="0.3">
      <c r="A4" t="s">
        <v>289</v>
      </c>
    </row>
    <row r="7" spans="1:6" x14ac:dyDescent="0.3">
      <c r="A7" t="s">
        <v>291</v>
      </c>
    </row>
    <row r="10" spans="1:6" x14ac:dyDescent="0.3">
      <c r="A10" t="s">
        <v>292</v>
      </c>
    </row>
    <row r="13" spans="1:6" x14ac:dyDescent="0.3">
      <c r="A13" t="s">
        <v>290</v>
      </c>
    </row>
    <row r="16" spans="1:6" x14ac:dyDescent="0.3">
      <c r="A16" t="s">
        <v>293</v>
      </c>
    </row>
    <row r="19" spans="1:1" x14ac:dyDescent="0.3">
      <c r="A19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workbookViewId="0">
      <selection activeCell="B36" sqref="B36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238</v>
      </c>
      <c r="C13" s="10" t="s">
        <v>225</v>
      </c>
    </row>
    <row r="14" spans="1:3" x14ac:dyDescent="0.3">
      <c r="A14" t="s">
        <v>193</v>
      </c>
      <c r="C14">
        <v>2018</v>
      </c>
    </row>
    <row r="15" spans="1:3" x14ac:dyDescent="0.3">
      <c r="A15" t="s">
        <v>230</v>
      </c>
      <c r="B15" s="11">
        <v>58809</v>
      </c>
    </row>
    <row r="16" spans="1:3" x14ac:dyDescent="0.3">
      <c r="A16" t="s">
        <v>229</v>
      </c>
      <c r="B16" s="11">
        <v>56453</v>
      </c>
    </row>
    <row r="17" spans="1:2" x14ac:dyDescent="0.3">
      <c r="A17" t="s">
        <v>228</v>
      </c>
      <c r="B17" s="11">
        <v>58645</v>
      </c>
    </row>
    <row r="18" spans="1:2" x14ac:dyDescent="0.3">
      <c r="A18" t="s">
        <v>227</v>
      </c>
      <c r="B18" s="11">
        <v>49754</v>
      </c>
    </row>
    <row r="19" spans="1:2" x14ac:dyDescent="0.3">
      <c r="A19" t="s">
        <v>226</v>
      </c>
      <c r="B19" s="11">
        <v>50741</v>
      </c>
    </row>
    <row r="20" spans="1:2" x14ac:dyDescent="0.3">
      <c r="A20" t="s">
        <v>231</v>
      </c>
      <c r="B20" s="11">
        <v>54969</v>
      </c>
    </row>
    <row r="21" spans="1:2" x14ac:dyDescent="0.3">
      <c r="A21" t="s">
        <v>232</v>
      </c>
      <c r="B21" s="11">
        <v>59755</v>
      </c>
    </row>
    <row r="22" spans="1:2" x14ac:dyDescent="0.3">
      <c r="A22" t="s">
        <v>233</v>
      </c>
      <c r="B22" s="11">
        <v>59073</v>
      </c>
    </row>
    <row r="23" spans="1:2" x14ac:dyDescent="0.3">
      <c r="A23" t="s">
        <v>234</v>
      </c>
      <c r="B23" s="11">
        <v>60768</v>
      </c>
    </row>
    <row r="24" spans="1:2" x14ac:dyDescent="0.3">
      <c r="A24" t="s">
        <v>235</v>
      </c>
      <c r="B24" s="11">
        <v>45951</v>
      </c>
    </row>
    <row r="25" spans="1:2" x14ac:dyDescent="0.3">
      <c r="A25" t="s">
        <v>236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240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B19" sqref="B19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224</v>
      </c>
      <c r="B3" s="7">
        <f>PCs!D12</f>
        <v>19680</v>
      </c>
    </row>
    <row r="4" spans="1:7" x14ac:dyDescent="0.3">
      <c r="A4" t="s">
        <v>281</v>
      </c>
      <c r="B4" s="7">
        <f>Dance_Studio!D8</f>
        <v>16500</v>
      </c>
    </row>
    <row r="5" spans="1:7" x14ac:dyDescent="0.3">
      <c r="A5" t="s">
        <v>76</v>
      </c>
      <c r="B5" s="7">
        <f>Kitchen!G20</f>
        <v>47315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87645</v>
      </c>
    </row>
    <row r="11" spans="1:7" x14ac:dyDescent="0.3">
      <c r="A11" t="s">
        <v>241</v>
      </c>
      <c r="B11" s="6">
        <v>2000</v>
      </c>
    </row>
    <row r="12" spans="1:7" x14ac:dyDescent="0.3">
      <c r="A12" t="s">
        <v>223</v>
      </c>
      <c r="B12" s="1">
        <v>10000</v>
      </c>
    </row>
    <row r="13" spans="1:7" x14ac:dyDescent="0.3">
      <c r="A13" t="s">
        <v>242</v>
      </c>
      <c r="B13" s="7">
        <f>SUM(B10:B12)</f>
        <v>99645</v>
      </c>
    </row>
    <row r="15" spans="1:7" x14ac:dyDescent="0.3">
      <c r="A15" t="s">
        <v>124</v>
      </c>
      <c r="B15" s="7">
        <f>Operating_Costs!G12</f>
        <v>366966.66666666663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220</v>
      </c>
      <c r="B18" s="7">
        <f t="shared" ref="B18:G18" si="1">$B$15*B$17</f>
        <v>183483.33333333331</v>
      </c>
      <c r="C18" s="7">
        <f t="shared" si="1"/>
        <v>152902.77777777778</v>
      </c>
      <c r="D18" s="7">
        <f t="shared" si="1"/>
        <v>122322.2222222222</v>
      </c>
      <c r="E18" s="7">
        <f t="shared" si="1"/>
        <v>91741.666666666657</v>
      </c>
      <c r="F18" s="7">
        <f t="shared" si="1"/>
        <v>61161.111111111102</v>
      </c>
      <c r="G18" s="7">
        <f t="shared" si="1"/>
        <v>30580.555555555551</v>
      </c>
      <c r="H18" s="7"/>
    </row>
    <row r="19" spans="1:8" x14ac:dyDescent="0.3">
      <c r="A19" t="s">
        <v>127</v>
      </c>
      <c r="B19" s="7">
        <f>$B$10+($B$15*B$17)+$B$12+$B$11</f>
        <v>283128.33333333331</v>
      </c>
      <c r="C19" s="7">
        <f t="shared" ref="C19:G19" si="2">$B$10+($B$15*C$17)+$B$12+$B$11</f>
        <v>252547.77777777778</v>
      </c>
      <c r="D19" s="7">
        <f t="shared" si="2"/>
        <v>221967.22222222219</v>
      </c>
      <c r="E19" s="7">
        <f t="shared" si="2"/>
        <v>191386.66666666666</v>
      </c>
      <c r="F19" s="7">
        <f t="shared" si="2"/>
        <v>160806.11111111109</v>
      </c>
      <c r="G19" s="7">
        <f t="shared" si="2"/>
        <v>130225.55555555555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251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tabSelected="1" zoomScaleNormal="100" workbookViewId="0">
      <selection activeCell="I34" sqref="I34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3" bestFit="1" customWidth="1"/>
    <col min="11" max="12" width="13.6640625" bestFit="1" customWidth="1"/>
    <col min="13" max="13" width="13" style="17" bestFit="1" customWidth="1"/>
  </cols>
  <sheetData>
    <row r="4" spans="1:13" x14ac:dyDescent="0.3">
      <c r="I4" s="15" t="s">
        <v>239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Operating_Costs!G12</f>
        <v>366966.66666666663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-361766.66666666663</v>
      </c>
      <c r="C10" s="7">
        <f t="shared" ref="C10:L10" si="0">C6-$B$8</f>
        <v>-356566.66666666663</v>
      </c>
      <c r="D10" s="7">
        <f t="shared" si="0"/>
        <v>-346166.66666666663</v>
      </c>
      <c r="E10" s="7">
        <f t="shared" si="0"/>
        <v>-325366.66666666663</v>
      </c>
      <c r="F10" s="7">
        <f t="shared" si="0"/>
        <v>-283766.66666666663</v>
      </c>
      <c r="G10" s="7">
        <f t="shared" si="0"/>
        <v>-200566.6666666666</v>
      </c>
      <c r="H10" s="7">
        <f t="shared" si="0"/>
        <v>-106966.66666666657</v>
      </c>
      <c r="I10" s="16">
        <f t="shared" si="0"/>
        <v>2233.3333333334303</v>
      </c>
      <c r="J10" s="7">
        <f t="shared" si="0"/>
        <v>101033.33333333349</v>
      </c>
      <c r="K10" s="7">
        <f t="shared" si="0"/>
        <v>153033.33333333349</v>
      </c>
      <c r="L10" s="7">
        <f t="shared" si="0"/>
        <v>205033.33333333349</v>
      </c>
      <c r="M10" s="18">
        <f t="shared" ref="M10" si="1">M6-$B$8</f>
        <v>257033.33333333349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283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M31" sqref="M31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265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267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266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268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269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G19"/>
  <sheetViews>
    <sheetView workbookViewId="0">
      <selection activeCell="F12" sqref="F12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7" max="7" width="15.5546875" bestFit="1" customWidth="1"/>
    <col min="8" max="8" width="14.44140625" customWidth="1"/>
  </cols>
  <sheetData>
    <row r="3" spans="1:7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301</v>
      </c>
      <c r="G3" s="1" t="s">
        <v>97</v>
      </c>
    </row>
    <row r="4" spans="1:7" x14ac:dyDescent="0.3">
      <c r="A4" t="s">
        <v>90</v>
      </c>
      <c r="B4" s="1">
        <f>C4/7</f>
        <v>10.989010989010989</v>
      </c>
      <c r="C4" s="1">
        <f>G4/52</f>
        <v>76.92307692307692</v>
      </c>
      <c r="D4" s="1">
        <f>employees!B11</f>
        <v>2342.3076923076924</v>
      </c>
      <c r="E4" s="1">
        <f>D4*2</f>
        <v>4684.6153846153848</v>
      </c>
      <c r="F4" s="1">
        <f>C4*(52/12)</f>
        <v>333.33333333333331</v>
      </c>
      <c r="G4" s="1">
        <v>4000</v>
      </c>
    </row>
    <row r="5" spans="1:7" x14ac:dyDescent="0.3">
      <c r="A5" t="s">
        <v>123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 t="shared" ref="F5:F12" si="0">C5*(52/12)</f>
        <v>10150</v>
      </c>
      <c r="G5" s="1">
        <f>employees!B8</f>
        <v>121800</v>
      </c>
    </row>
    <row r="6" spans="1:7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 t="shared" si="0"/>
        <v>202.22222222222223</v>
      </c>
      <c r="G6" s="1">
        <f>C6*50</f>
        <v>2333.3333333333335</v>
      </c>
    </row>
    <row r="7" spans="1:7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 t="shared" si="0"/>
        <v>404.44444444444446</v>
      </c>
      <c r="G7" s="1">
        <f>C7*50</f>
        <v>4666.666666666667</v>
      </c>
    </row>
    <row r="8" spans="1:7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 t="shared" si="0"/>
        <v>101.11111111111111</v>
      </c>
      <c r="G8" s="1">
        <f>C8*50</f>
        <v>1166.6666666666667</v>
      </c>
    </row>
    <row r="9" spans="1:7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1">C9*2</f>
        <v>40</v>
      </c>
      <c r="E9" s="1">
        <f t="shared" si="1"/>
        <v>80</v>
      </c>
      <c r="F9" s="1">
        <f t="shared" si="0"/>
        <v>86.666666666666657</v>
      </c>
      <c r="G9" s="1">
        <f>C9*50</f>
        <v>1000</v>
      </c>
    </row>
    <row r="10" spans="1:7" x14ac:dyDescent="0.3">
      <c r="A10" t="s">
        <v>119</v>
      </c>
      <c r="B10" s="1">
        <f>C10/7</f>
        <v>5.4945054945054945</v>
      </c>
      <c r="C10" s="1">
        <f>G10/52</f>
        <v>38.46153846153846</v>
      </c>
      <c r="D10" s="1">
        <f t="shared" si="1"/>
        <v>76.92307692307692</v>
      </c>
      <c r="E10" s="1">
        <f t="shared" si="1"/>
        <v>153.84615384615384</v>
      </c>
      <c r="F10" s="1">
        <f t="shared" si="0"/>
        <v>166.66666666666666</v>
      </c>
      <c r="G10" s="1">
        <v>2000</v>
      </c>
    </row>
    <row r="11" spans="1:7" x14ac:dyDescent="0.3">
      <c r="A11" t="s">
        <v>210</v>
      </c>
      <c r="B11" s="1">
        <f>C11/7</f>
        <v>631.86813186813185</v>
      </c>
      <c r="C11" s="1">
        <f>G11/52</f>
        <v>4423.0769230769229</v>
      </c>
      <c r="D11" s="1">
        <f t="shared" si="1"/>
        <v>8846.1538461538457</v>
      </c>
      <c r="E11" s="1">
        <f t="shared" si="1"/>
        <v>17692.307692307691</v>
      </c>
      <c r="F11" s="1">
        <f t="shared" si="0"/>
        <v>19166.666666666664</v>
      </c>
      <c r="G11" s="1">
        <f>D15</f>
        <v>230000</v>
      </c>
    </row>
    <row r="12" spans="1:7" x14ac:dyDescent="0.3">
      <c r="A12" t="s">
        <v>43</v>
      </c>
      <c r="B12" s="1">
        <f>SUM(B4:B11)</f>
        <v>1009.1575091575091</v>
      </c>
      <c r="C12" s="1">
        <f t="shared" ref="C12:F12" si="2">SUM(C4:C11)</f>
        <v>7064.1025641025644</v>
      </c>
      <c r="D12" s="1">
        <f t="shared" si="2"/>
        <v>16316.666666666668</v>
      </c>
      <c r="E12" s="1">
        <f t="shared" si="2"/>
        <v>32633.333333333336</v>
      </c>
      <c r="F12" s="1">
        <f t="shared" si="0"/>
        <v>30611.111111111109</v>
      </c>
      <c r="G12" s="1">
        <f>SUM(G4:G11)</f>
        <v>366966.66666666663</v>
      </c>
    </row>
    <row r="14" spans="1:7" x14ac:dyDescent="0.3">
      <c r="B14" s="1" t="s">
        <v>246</v>
      </c>
      <c r="C14" s="1" t="s">
        <v>247</v>
      </c>
      <c r="D14" s="1" t="s">
        <v>249</v>
      </c>
    </row>
    <row r="15" spans="1:7" x14ac:dyDescent="0.3">
      <c r="A15" t="s">
        <v>250</v>
      </c>
      <c r="B15" s="14">
        <v>17</v>
      </c>
      <c r="C15" s="14">
        <v>23</v>
      </c>
      <c r="D15" s="1">
        <f>B16*C15</f>
        <v>230000</v>
      </c>
    </row>
    <row r="16" spans="1:7" x14ac:dyDescent="0.3">
      <c r="A16" t="s">
        <v>248</v>
      </c>
      <c r="B16" s="11">
        <v>10000</v>
      </c>
    </row>
    <row r="17" spans="1:2" x14ac:dyDescent="0.3">
      <c r="A17" t="s">
        <v>211</v>
      </c>
      <c r="B17" s="6">
        <f>G11/12</f>
        <v>19166.666666666668</v>
      </c>
    </row>
    <row r="18" spans="1:2" x14ac:dyDescent="0.3">
      <c r="A18" t="s">
        <v>120</v>
      </c>
    </row>
    <row r="19" spans="1:2" x14ac:dyDescent="0.3">
      <c r="A19" t="s">
        <v>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Key_Assumptions_draft</vt:lpstr>
      <vt:lpstr>Revenue_Profit_Balance</vt:lpstr>
      <vt:lpstr>Sources_of_Funds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PCs</vt:lpstr>
      <vt:lpstr>Dance_Studio</vt:lpstr>
      <vt:lpstr>Kitchen</vt:lpstr>
      <vt:lpstr>Liabilities</vt:lpstr>
      <vt:lpstr>Eating Area</vt:lpstr>
      <vt:lpstr>decor</vt:lpstr>
      <vt:lpstr>Initial</vt:lpstr>
      <vt:lpstr>Community_Engagement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2020-07-07T14:06:59Z</dcterms:modified>
</cp:coreProperties>
</file>