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francis\OneDrive - Hearst\Documents\Custom Office Templates\dogen\Finances\"/>
    </mc:Choice>
  </mc:AlternateContent>
  <xr:revisionPtr revIDLastSave="3080" documentId="8_{6C3C763F-D9E1-4E6D-8C86-4D28C6C6C4A6}" xr6:coauthVersionLast="44" xr6:coauthVersionMax="45" xr10:uidLastSave="{28AA28AD-F28D-471A-96C7-4BA0C5EB3522}"/>
  <bookViews>
    <workbookView xWindow="-108" yWindow="-108" windowWidth="23256" windowHeight="12576" tabRatio="740" firstSheet="7" activeTab="7" xr2:uid="{7EC05EA9-5315-43E9-8396-FB9501FE745C}"/>
  </bookViews>
  <sheets>
    <sheet name="Key_Assumptions_draft" sheetId="27" state="hidden" r:id="rId1"/>
    <sheet name="Chart1" sheetId="28" state="hidden" r:id="rId2"/>
    <sheet name="Revenue_Profit_Balance" sheetId="19" r:id="rId3"/>
    <sheet name="Funding_And_Connections" sheetId="23" r:id="rId4"/>
    <sheet name="Comprehensive" sheetId="3" r:id="rId5"/>
    <sheet name="Overhead" sheetId="2" r:id="rId6"/>
    <sheet name="Net_And_Analysis" sheetId="18" r:id="rId7"/>
    <sheet name="Gross" sheetId="16" r:id="rId8"/>
    <sheet name="Operating_Costs" sheetId="4" r:id="rId9"/>
    <sheet name="food" sheetId="15" state="hidden" r:id="rId10"/>
    <sheet name="employees" sheetId="10" r:id="rId11"/>
    <sheet name="Leasehold_Improvements" sheetId="29" r:id="rId12"/>
    <sheet name="PCs" sheetId="7" r:id="rId13"/>
    <sheet name="Equipment" sheetId="30" r:id="rId14"/>
    <sheet name="Furniture_and_Fixtures" sheetId="31" r:id="rId15"/>
    <sheet name="Dance_Studio" sheetId="8" r:id="rId16"/>
    <sheet name="Kitchen" sheetId="9" r:id="rId17"/>
    <sheet name="Liabilities" sheetId="12" r:id="rId18"/>
    <sheet name="Eating Area" sheetId="13" r:id="rId19"/>
    <sheet name="decor" sheetId="11" r:id="rId20"/>
    <sheet name="Initial" sheetId="1" r:id="rId2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27" i="16" l="1"/>
  <c r="H4" i="10" l="1"/>
  <c r="H3" i="10"/>
  <c r="G5" i="10"/>
  <c r="H5" i="10" s="1"/>
  <c r="G3" i="10"/>
  <c r="G4" i="10"/>
  <c r="C21" i="31"/>
  <c r="B19" i="31"/>
  <c r="C23" i="30"/>
  <c r="C19" i="31"/>
  <c r="C17" i="31"/>
  <c r="C18" i="31"/>
  <c r="C16" i="31"/>
  <c r="B17" i="31"/>
  <c r="B18" i="31"/>
  <c r="B16" i="31"/>
  <c r="C12" i="31"/>
  <c r="C13" i="31"/>
  <c r="C14" i="31"/>
  <c r="C11" i="31"/>
  <c r="B12" i="31"/>
  <c r="B13" i="31"/>
  <c r="B14" i="31"/>
  <c r="B11" i="31"/>
  <c r="C5" i="31"/>
  <c r="C6" i="31"/>
  <c r="C4" i="31"/>
  <c r="B5" i="31"/>
  <c r="B6" i="31"/>
  <c r="B4" i="31"/>
  <c r="C20" i="30"/>
  <c r="C21" i="30"/>
  <c r="C19" i="30"/>
  <c r="B20" i="30"/>
  <c r="B21" i="30"/>
  <c r="B19" i="30"/>
  <c r="C13" i="30"/>
  <c r="C14" i="30"/>
  <c r="C15" i="30"/>
  <c r="B13" i="30"/>
  <c r="B14" i="30"/>
  <c r="B15" i="30"/>
  <c r="C3" i="30"/>
  <c r="C4" i="30"/>
  <c r="C5" i="30"/>
  <c r="C6" i="30"/>
  <c r="C7" i="30"/>
  <c r="C8" i="30"/>
  <c r="B8" i="30"/>
  <c r="B7" i="30"/>
  <c r="B3" i="30"/>
  <c r="B4" i="30"/>
  <c r="B5" i="30"/>
  <c r="B6" i="30"/>
  <c r="C13" i="29"/>
  <c r="C10" i="29"/>
  <c r="C9" i="29"/>
  <c r="B10" i="29"/>
  <c r="B9" i="29"/>
  <c r="C4" i="29"/>
  <c r="C5" i="29"/>
  <c r="C6" i="29"/>
  <c r="C7" i="29"/>
  <c r="C3" i="29"/>
  <c r="B7" i="29"/>
  <c r="B6" i="29"/>
  <c r="B4" i="29"/>
  <c r="B5" i="29"/>
  <c r="B3" i="29"/>
  <c r="G9" i="9" l="1"/>
  <c r="F6" i="4" l="1"/>
  <c r="F7" i="4"/>
  <c r="F8" i="4"/>
  <c r="F9" i="4"/>
  <c r="F10" i="4"/>
  <c r="F11" i="4"/>
  <c r="F4" i="4"/>
  <c r="L5" i="18" l="1"/>
  <c r="V14" i="19"/>
  <c r="Q14" i="19"/>
  <c r="L14" i="19"/>
  <c r="G14" i="19"/>
  <c r="B14" i="19"/>
  <c r="B2" i="19"/>
  <c r="I5" i="18"/>
  <c r="W17" i="19" l="1"/>
  <c r="R17" i="19"/>
  <c r="M17" i="19"/>
  <c r="H17" i="19"/>
  <c r="C17" i="19"/>
  <c r="L26" i="16"/>
  <c r="L25" i="16"/>
  <c r="L24" i="16"/>
  <c r="G23" i="16"/>
  <c r="G22" i="16"/>
  <c r="G21" i="16"/>
  <c r="G20" i="16"/>
  <c r="V18" i="19"/>
  <c r="Q18" i="19"/>
  <c r="L18" i="19"/>
  <c r="G18" i="19"/>
  <c r="B18" i="19"/>
  <c r="B19" i="19" s="1"/>
  <c r="B11" i="27"/>
  <c r="G7" i="27"/>
  <c r="B1" i="19" s="1"/>
  <c r="B7" i="27"/>
  <c r="G10" i="27" l="1"/>
  <c r="G11" i="27"/>
  <c r="R18" i="19"/>
  <c r="Q19" i="19"/>
  <c r="W18" i="19"/>
  <c r="V19" i="19"/>
  <c r="G19" i="19"/>
  <c r="H18" i="19"/>
  <c r="B20" i="19"/>
  <c r="C19" i="19"/>
  <c r="M18" i="19"/>
  <c r="L19" i="19"/>
  <c r="C18" i="19"/>
  <c r="B12" i="27"/>
  <c r="B6" i="10"/>
  <c r="B8" i="10"/>
  <c r="B18" i="10" l="1"/>
  <c r="B11" i="10"/>
  <c r="V20" i="19"/>
  <c r="W19" i="19"/>
  <c r="B21" i="19"/>
  <c r="C20" i="19"/>
  <c r="Q20" i="19"/>
  <c r="R19" i="19"/>
  <c r="L20" i="19"/>
  <c r="M19" i="19"/>
  <c r="G20" i="19"/>
  <c r="H19" i="19"/>
  <c r="G12" i="27"/>
  <c r="B13" i="27"/>
  <c r="H5" i="18"/>
  <c r="D15" i="4"/>
  <c r="G11" i="4" s="1"/>
  <c r="B17" i="4" s="1"/>
  <c r="G15" i="9"/>
  <c r="M20" i="19" l="1"/>
  <c r="L21" i="19"/>
  <c r="B22" i="19"/>
  <c r="C21" i="19"/>
  <c r="G21" i="19"/>
  <c r="H20" i="19"/>
  <c r="Q21" i="19"/>
  <c r="R20" i="19"/>
  <c r="V21" i="19"/>
  <c r="W20" i="19"/>
  <c r="G13" i="27"/>
  <c r="B14" i="27"/>
  <c r="G5" i="4"/>
  <c r="B6" i="3"/>
  <c r="B28" i="3"/>
  <c r="B31" i="3" s="1"/>
  <c r="G3" i="9"/>
  <c r="D8" i="7"/>
  <c r="M5" i="18"/>
  <c r="B16" i="18" s="1"/>
  <c r="N42" i="16"/>
  <c r="N43" i="16" s="1"/>
  <c r="C11" i="4"/>
  <c r="G7" i="9"/>
  <c r="Q22" i="19" l="1"/>
  <c r="R21" i="19"/>
  <c r="B23" i="19"/>
  <c r="C22" i="19"/>
  <c r="L22" i="19"/>
  <c r="M21" i="19"/>
  <c r="V22" i="19"/>
  <c r="W21" i="19"/>
  <c r="G22" i="19"/>
  <c r="H21" i="19"/>
  <c r="G14" i="27"/>
  <c r="B15" i="27"/>
  <c r="B11" i="3"/>
  <c r="B35" i="3" s="1"/>
  <c r="B11" i="4"/>
  <c r="D11" i="4"/>
  <c r="E11" i="4" s="1"/>
  <c r="V23" i="19" l="1"/>
  <c r="W22" i="19"/>
  <c r="B24" i="19"/>
  <c r="C23" i="19"/>
  <c r="G23" i="19"/>
  <c r="H22" i="19"/>
  <c r="L23" i="19"/>
  <c r="M22" i="19"/>
  <c r="Q23" i="19"/>
  <c r="R22" i="19"/>
  <c r="B16" i="27"/>
  <c r="G15" i="27"/>
  <c r="B12" i="18"/>
  <c r="J5" i="18"/>
  <c r="B8" i="3" s="1"/>
  <c r="K5" i="18"/>
  <c r="B9" i="3" s="1"/>
  <c r="B10" i="3"/>
  <c r="I42" i="16"/>
  <c r="I43" i="16" s="1"/>
  <c r="C5" i="18"/>
  <c r="D5" i="18"/>
  <c r="E5" i="18"/>
  <c r="F5" i="18"/>
  <c r="G5" i="18"/>
  <c r="B5" i="18"/>
  <c r="K42" i="16"/>
  <c r="K43" i="16" s="1"/>
  <c r="M42" i="16"/>
  <c r="M43" i="16" s="1"/>
  <c r="L24" i="19" l="1"/>
  <c r="M23" i="19"/>
  <c r="B25" i="19"/>
  <c r="C25" i="19" s="1"/>
  <c r="C24" i="19"/>
  <c r="Q24" i="19"/>
  <c r="R23" i="19"/>
  <c r="G24" i="19"/>
  <c r="H23" i="19"/>
  <c r="V24" i="19"/>
  <c r="W23" i="19"/>
  <c r="B7" i="3"/>
  <c r="B4" i="3"/>
  <c r="B34" i="3" s="1"/>
  <c r="B17" i="27"/>
  <c r="G16" i="27"/>
  <c r="B17" i="18"/>
  <c r="C17" i="18" s="1"/>
  <c r="B29" i="18" s="1"/>
  <c r="B18" i="18"/>
  <c r="D42" i="16"/>
  <c r="D43" i="16" s="1"/>
  <c r="E42" i="16"/>
  <c r="E43" i="16" s="1"/>
  <c r="F42" i="16"/>
  <c r="F43" i="16" s="1"/>
  <c r="G42" i="16"/>
  <c r="G43" i="16" s="1"/>
  <c r="H42" i="16"/>
  <c r="H43" i="16" s="1"/>
  <c r="J42" i="16"/>
  <c r="J43" i="16" s="1"/>
  <c r="L42" i="16"/>
  <c r="L43" i="16" s="1"/>
  <c r="C42" i="16"/>
  <c r="C43" i="16" s="1"/>
  <c r="E26" i="16"/>
  <c r="E25" i="16"/>
  <c r="E21" i="16"/>
  <c r="E22" i="16"/>
  <c r="E23" i="16"/>
  <c r="E20" i="16"/>
  <c r="E17" i="16"/>
  <c r="B3" i="16"/>
  <c r="B7" i="16" s="1"/>
  <c r="B24" i="18" s="1"/>
  <c r="B26" i="18" s="1"/>
  <c r="D5" i="13"/>
  <c r="D3" i="13" s="1"/>
  <c r="B3" i="13" s="1"/>
  <c r="F3" i="13" s="1"/>
  <c r="D6" i="13"/>
  <c r="D4" i="13"/>
  <c r="C17" i="2"/>
  <c r="D17" i="2"/>
  <c r="E17" i="2"/>
  <c r="F17" i="2"/>
  <c r="G17" i="2"/>
  <c r="B17" i="2"/>
  <c r="C10" i="4"/>
  <c r="B10" i="4" s="1"/>
  <c r="C4" i="4"/>
  <c r="B6" i="4"/>
  <c r="C6" i="4" s="1"/>
  <c r="B7" i="4"/>
  <c r="C7" i="4" s="1"/>
  <c r="G7" i="4" s="1"/>
  <c r="B8" i="4"/>
  <c r="C8" i="4" s="1"/>
  <c r="B9" i="4"/>
  <c r="G9" i="4"/>
  <c r="D9" i="4"/>
  <c r="E9" i="4" s="1"/>
  <c r="B8" i="15"/>
  <c r="B17" i="15"/>
  <c r="B19" i="15" s="1"/>
  <c r="C2" i="15" s="1"/>
  <c r="B16" i="15"/>
  <c r="D12" i="15"/>
  <c r="E12" i="15"/>
  <c r="F12" i="15"/>
  <c r="C12" i="15"/>
  <c r="B12" i="10"/>
  <c r="G25" i="19" l="1"/>
  <c r="H24" i="19"/>
  <c r="B26" i="19"/>
  <c r="C26" i="19" s="1"/>
  <c r="V25" i="19"/>
  <c r="W24" i="19"/>
  <c r="Q25" i="19"/>
  <c r="R24" i="19"/>
  <c r="L25" i="19"/>
  <c r="M24" i="19"/>
  <c r="B18" i="27"/>
  <c r="G17" i="27"/>
  <c r="B4" i="4"/>
  <c r="N31" i="16"/>
  <c r="I31" i="16"/>
  <c r="N34" i="16"/>
  <c r="I34" i="16"/>
  <c r="N33" i="16"/>
  <c r="I33" i="16"/>
  <c r="N32" i="16"/>
  <c r="I32" i="16"/>
  <c r="E27" i="16"/>
  <c r="D5" i="4"/>
  <c r="E5" i="4" s="1"/>
  <c r="B13" i="10"/>
  <c r="G6" i="4"/>
  <c r="D6" i="4"/>
  <c r="E6" i="4" s="1"/>
  <c r="G8" i="4"/>
  <c r="D8" i="4"/>
  <c r="E8" i="4" s="1"/>
  <c r="D10" i="4"/>
  <c r="E10" i="4" s="1"/>
  <c r="D7" i="4"/>
  <c r="E7" i="4" s="1"/>
  <c r="M31" i="16"/>
  <c r="K31" i="16"/>
  <c r="M34" i="16"/>
  <c r="K34" i="16"/>
  <c r="M32" i="16"/>
  <c r="K32" i="16"/>
  <c r="M33" i="16"/>
  <c r="K33" i="16"/>
  <c r="D33" i="16"/>
  <c r="G32" i="16"/>
  <c r="F31" i="16"/>
  <c r="E34" i="16"/>
  <c r="L32" i="16"/>
  <c r="C33" i="16"/>
  <c r="J31" i="16"/>
  <c r="F32" i="16"/>
  <c r="G33" i="16"/>
  <c r="E31" i="16"/>
  <c r="D34" i="16"/>
  <c r="E24" i="16"/>
  <c r="E28" i="16" s="1"/>
  <c r="C32" i="16"/>
  <c r="G34" i="16"/>
  <c r="L33" i="16"/>
  <c r="F33" i="16"/>
  <c r="J32" i="16"/>
  <c r="E32" i="16"/>
  <c r="H31" i="16"/>
  <c r="D31" i="16"/>
  <c r="C31" i="16"/>
  <c r="L34" i="16"/>
  <c r="F34" i="16"/>
  <c r="J33" i="16"/>
  <c r="E33" i="16"/>
  <c r="H32" i="16"/>
  <c r="D32" i="16"/>
  <c r="G31" i="16"/>
  <c r="H34" i="16"/>
  <c r="C34" i="16"/>
  <c r="J34" i="16"/>
  <c r="H33" i="16"/>
  <c r="L31" i="16"/>
  <c r="C3" i="15"/>
  <c r="F3" i="15" s="1"/>
  <c r="F2" i="15"/>
  <c r="D2" i="15"/>
  <c r="F4" i="13"/>
  <c r="F5" i="13"/>
  <c r="F6" i="13"/>
  <c r="B7" i="12"/>
  <c r="B6" i="2" s="1"/>
  <c r="D2" i="11"/>
  <c r="C2" i="11" s="1"/>
  <c r="J2" i="11" s="1"/>
  <c r="K2" i="11" s="1"/>
  <c r="K7" i="11" s="1"/>
  <c r="B7" i="2" s="1"/>
  <c r="G12" i="4" l="1"/>
  <c r="Q26" i="19"/>
  <c r="R25" i="19"/>
  <c r="B27" i="19"/>
  <c r="L26" i="19"/>
  <c r="M25" i="19"/>
  <c r="V26" i="19"/>
  <c r="W25" i="19"/>
  <c r="G26" i="19"/>
  <c r="H25" i="19"/>
  <c r="B19" i="27"/>
  <c r="G18" i="27"/>
  <c r="K35" i="16"/>
  <c r="K41" i="16" s="1"/>
  <c r="K45" i="16" s="1"/>
  <c r="E2" i="15"/>
  <c r="B15" i="2"/>
  <c r="M35" i="16"/>
  <c r="M41" i="16" s="1"/>
  <c r="M45" i="16" s="1"/>
  <c r="L6" i="18" s="1"/>
  <c r="D3" i="15"/>
  <c r="E3" i="15" s="1"/>
  <c r="I35" i="16"/>
  <c r="I41" i="16" s="1"/>
  <c r="I45" i="16" s="1"/>
  <c r="H6" i="18" s="1"/>
  <c r="C4" i="15"/>
  <c r="N35" i="16"/>
  <c r="N41" i="16" s="1"/>
  <c r="N45" i="16" s="1"/>
  <c r="M6" i="18" s="1"/>
  <c r="D4" i="4"/>
  <c r="C5" i="4"/>
  <c r="B8" i="18"/>
  <c r="J6" i="18"/>
  <c r="G24" i="16"/>
  <c r="D35" i="16"/>
  <c r="D41" i="16" s="1"/>
  <c r="D45" i="16" s="1"/>
  <c r="C6" i="18" s="1"/>
  <c r="D36" i="16"/>
  <c r="D37" i="16" s="1"/>
  <c r="H36" i="16"/>
  <c r="H37" i="16" s="1"/>
  <c r="E36" i="16"/>
  <c r="E37" i="16" s="1"/>
  <c r="J36" i="16"/>
  <c r="J37" i="16" s="1"/>
  <c r="F36" i="16"/>
  <c r="F37" i="16" s="1"/>
  <c r="L36" i="16"/>
  <c r="L37" i="16" s="1"/>
  <c r="B20" i="18" s="1"/>
  <c r="B22" i="18" s="1"/>
  <c r="G36" i="16"/>
  <c r="G37" i="16" s="1"/>
  <c r="C36" i="16"/>
  <c r="C37" i="16" s="1"/>
  <c r="C35" i="16"/>
  <c r="C41" i="16" s="1"/>
  <c r="C45" i="16" s="1"/>
  <c r="B6" i="18" s="1"/>
  <c r="J35" i="16"/>
  <c r="J41" i="16" s="1"/>
  <c r="J45" i="16" s="1"/>
  <c r="I6" i="18" s="1"/>
  <c r="H35" i="16"/>
  <c r="H41" i="16" s="1"/>
  <c r="H45" i="16" s="1"/>
  <c r="G6" i="18" s="1"/>
  <c r="L35" i="16"/>
  <c r="L41" i="16" s="1"/>
  <c r="L45" i="16" s="1"/>
  <c r="E35" i="16"/>
  <c r="E41" i="16" s="1"/>
  <c r="E45" i="16" s="1"/>
  <c r="D6" i="18" s="1"/>
  <c r="G35" i="16"/>
  <c r="G41" i="16" s="1"/>
  <c r="G45" i="16" s="1"/>
  <c r="F6" i="18" s="1"/>
  <c r="F35" i="16"/>
  <c r="F41" i="16" s="1"/>
  <c r="F45" i="16" s="1"/>
  <c r="E6" i="18" s="1"/>
  <c r="F10" i="13"/>
  <c r="B8" i="2" s="1"/>
  <c r="C5" i="15"/>
  <c r="F5" i="15" s="1"/>
  <c r="D5" i="15"/>
  <c r="E5" i="15" s="1"/>
  <c r="F2" i="11"/>
  <c r="G14" i="9"/>
  <c r="G13" i="9"/>
  <c r="G12" i="9"/>
  <c r="G11" i="9"/>
  <c r="G10" i="9"/>
  <c r="D2" i="9"/>
  <c r="G2" i="9" s="1"/>
  <c r="G8" i="9"/>
  <c r="G5" i="9"/>
  <c r="G6" i="9"/>
  <c r="G4" i="9"/>
  <c r="D7" i="7"/>
  <c r="D4" i="8"/>
  <c r="D3" i="8"/>
  <c r="D8" i="8" s="1"/>
  <c r="B4" i="2" s="1"/>
  <c r="D5" i="7"/>
  <c r="D6" i="7"/>
  <c r="D3" i="7"/>
  <c r="D2" i="7"/>
  <c r="C4" i="7"/>
  <c r="D4" i="7" s="1"/>
  <c r="B3" i="19" l="1"/>
  <c r="N24" i="19" s="1"/>
  <c r="C12" i="4"/>
  <c r="F12" i="4" s="1"/>
  <c r="F5" i="4"/>
  <c r="I25" i="19"/>
  <c r="N25" i="19"/>
  <c r="X24" i="19"/>
  <c r="D17" i="19"/>
  <c r="E17" i="19" s="1"/>
  <c r="N17" i="19"/>
  <c r="O17" i="19" s="1"/>
  <c r="D18" i="19"/>
  <c r="D19" i="19"/>
  <c r="I18" i="19"/>
  <c r="S18" i="19"/>
  <c r="X18" i="19"/>
  <c r="N19" i="19"/>
  <c r="D20" i="19"/>
  <c r="S19" i="19"/>
  <c r="X19" i="19"/>
  <c r="S20" i="19"/>
  <c r="N20" i="19"/>
  <c r="D21" i="19"/>
  <c r="I21" i="19"/>
  <c r="X21" i="19"/>
  <c r="D22" i="19"/>
  <c r="S21" i="19"/>
  <c r="N22" i="19"/>
  <c r="S22" i="19"/>
  <c r="X22" i="19"/>
  <c r="D23" i="19"/>
  <c r="X23" i="19"/>
  <c r="I23" i="19"/>
  <c r="N23" i="19"/>
  <c r="D24" i="19"/>
  <c r="D26" i="19"/>
  <c r="S24" i="19"/>
  <c r="I24" i="19"/>
  <c r="S25" i="19"/>
  <c r="V27" i="19"/>
  <c r="W26" i="19"/>
  <c r="X26" i="19" s="1"/>
  <c r="B28" i="19"/>
  <c r="C27" i="19"/>
  <c r="D27" i="19" s="1"/>
  <c r="G27" i="19"/>
  <c r="H26" i="19"/>
  <c r="I26" i="19" s="1"/>
  <c r="L27" i="19"/>
  <c r="M26" i="19"/>
  <c r="N26" i="19" s="1"/>
  <c r="Q27" i="19"/>
  <c r="R26" i="19"/>
  <c r="S26" i="19" s="1"/>
  <c r="B20" i="27"/>
  <c r="G19" i="27"/>
  <c r="H10" i="18"/>
  <c r="G18" i="9"/>
  <c r="D4" i="15"/>
  <c r="E4" i="15" s="1"/>
  <c r="F4" i="15"/>
  <c r="B18" i="2"/>
  <c r="G18" i="2"/>
  <c r="E18" i="2"/>
  <c r="D18" i="2"/>
  <c r="F18" i="2"/>
  <c r="C18" i="2"/>
  <c r="N36" i="16"/>
  <c r="N37" i="16" s="1"/>
  <c r="I36" i="16"/>
  <c r="I37" i="16" s="1"/>
  <c r="B13" i="18" s="1"/>
  <c r="E10" i="18"/>
  <c r="F10" i="18"/>
  <c r="M10" i="18"/>
  <c r="G10" i="18"/>
  <c r="D12" i="7"/>
  <c r="B28" i="18"/>
  <c r="C10" i="18"/>
  <c r="L10" i="18"/>
  <c r="D10" i="18"/>
  <c r="B10" i="18"/>
  <c r="I10" i="18"/>
  <c r="B5" i="4"/>
  <c r="B12" i="4" s="1"/>
  <c r="D12" i="4"/>
  <c r="E4" i="4"/>
  <c r="E12" i="4" s="1"/>
  <c r="J10" i="18"/>
  <c r="K6" i="18"/>
  <c r="K10" i="18" s="1"/>
  <c r="M36" i="16"/>
  <c r="M37" i="16" s="1"/>
  <c r="K36" i="16"/>
  <c r="K37" i="16" s="1"/>
  <c r="C6" i="15"/>
  <c r="F6" i="15"/>
  <c r="B3" i="2"/>
  <c r="B5" i="2"/>
  <c r="B27" i="1"/>
  <c r="S17" i="19" l="1"/>
  <c r="T17" i="19" s="1"/>
  <c r="B4" i="19"/>
  <c r="X25" i="19"/>
  <c r="S23" i="19"/>
  <c r="I22" i="19"/>
  <c r="N21" i="19"/>
  <c r="I20" i="19"/>
  <c r="X20" i="19"/>
  <c r="I19" i="19"/>
  <c r="N18" i="19"/>
  <c r="X17" i="19"/>
  <c r="Y17" i="19" s="1"/>
  <c r="Y18" i="19" s="1"/>
  <c r="Y19" i="19" s="1"/>
  <c r="I17" i="19"/>
  <c r="J17" i="19" s="1"/>
  <c r="J18" i="19" s="1"/>
  <c r="J19" i="19" s="1"/>
  <c r="D25" i="19"/>
  <c r="T18" i="19"/>
  <c r="T19" i="19" s="1"/>
  <c r="T20" i="19" s="1"/>
  <c r="T21" i="19" s="1"/>
  <c r="T22" i="19" s="1"/>
  <c r="O18" i="19"/>
  <c r="O19" i="19" s="1"/>
  <c r="O20" i="19" s="1"/>
  <c r="O21" i="19" s="1"/>
  <c r="O22" i="19" s="1"/>
  <c r="O23" i="19" s="1"/>
  <c r="O24" i="19" s="1"/>
  <c r="O25" i="19" s="1"/>
  <c r="O26" i="19" s="1"/>
  <c r="E18" i="19"/>
  <c r="E19" i="19" s="1"/>
  <c r="E20" i="19" s="1"/>
  <c r="E21" i="19" s="1"/>
  <c r="E22" i="19" s="1"/>
  <c r="E23" i="19" s="1"/>
  <c r="E24" i="19" s="1"/>
  <c r="E25" i="19" s="1"/>
  <c r="E26" i="19" s="1"/>
  <c r="E27" i="19" s="1"/>
  <c r="L28" i="19"/>
  <c r="M27" i="19"/>
  <c r="N27" i="19" s="1"/>
  <c r="B29" i="19"/>
  <c r="C28" i="19"/>
  <c r="D28" i="19" s="1"/>
  <c r="Q28" i="19"/>
  <c r="R27" i="19"/>
  <c r="G28" i="19"/>
  <c r="H27" i="19"/>
  <c r="I27" i="19" s="1"/>
  <c r="V28" i="19"/>
  <c r="W27" i="19"/>
  <c r="X27" i="19" s="1"/>
  <c r="B21" i="27"/>
  <c r="G20" i="27"/>
  <c r="D6" i="15"/>
  <c r="E6" i="15" s="1"/>
  <c r="C7" i="15"/>
  <c r="B10" i="2"/>
  <c r="B5" i="1"/>
  <c r="B7" i="1" s="1"/>
  <c r="B13" i="1"/>
  <c r="B31" i="1"/>
  <c r="J20" i="19" l="1"/>
  <c r="J21" i="19" s="1"/>
  <c r="J22" i="19" s="1"/>
  <c r="J23" i="19" s="1"/>
  <c r="J24" i="19" s="1"/>
  <c r="J25" i="19" s="1"/>
  <c r="J26" i="19" s="1"/>
  <c r="Y20" i="19"/>
  <c r="Y21" i="19" s="1"/>
  <c r="Y22" i="19" s="1"/>
  <c r="Y23" i="19" s="1"/>
  <c r="Y24" i="19" s="1"/>
  <c r="Y25" i="19" s="1"/>
  <c r="Y26" i="19" s="1"/>
  <c r="T23" i="19"/>
  <c r="T24" i="19" s="1"/>
  <c r="T25" i="19" s="1"/>
  <c r="T26" i="19" s="1"/>
  <c r="Y27" i="19"/>
  <c r="O27" i="19"/>
  <c r="J27" i="19"/>
  <c r="E28" i="19"/>
  <c r="S27" i="19"/>
  <c r="G29" i="19"/>
  <c r="H28" i="19"/>
  <c r="I28" i="19" s="1"/>
  <c r="J28" i="19" s="1"/>
  <c r="B30" i="19"/>
  <c r="C29" i="19"/>
  <c r="D29" i="19" s="1"/>
  <c r="V29" i="19"/>
  <c r="W28" i="19"/>
  <c r="X28" i="19" s="1"/>
  <c r="Q29" i="19"/>
  <c r="R28" i="19"/>
  <c r="L29" i="19"/>
  <c r="M28" i="19"/>
  <c r="N28" i="19" s="1"/>
  <c r="B22" i="27"/>
  <c r="G21" i="27"/>
  <c r="B13" i="2"/>
  <c r="C19" i="2"/>
  <c r="G19" i="2"/>
  <c r="D19" i="2"/>
  <c r="B19" i="2"/>
  <c r="F19" i="2"/>
  <c r="E19" i="2"/>
  <c r="D7" i="15"/>
  <c r="E7" i="15" s="1"/>
  <c r="F7" i="15"/>
  <c r="B6" i="1"/>
  <c r="B14" i="1"/>
  <c r="B33" i="1"/>
  <c r="B35" i="1" s="1"/>
  <c r="B36" i="1" s="1"/>
  <c r="B37" i="1" s="1"/>
  <c r="T27" i="19" l="1"/>
  <c r="E29" i="19"/>
  <c r="Y28" i="19"/>
  <c r="O28" i="19"/>
  <c r="S28" i="19"/>
  <c r="T28" i="19" s="1"/>
  <c r="Q30" i="19"/>
  <c r="R29" i="19"/>
  <c r="B31" i="19"/>
  <c r="C30" i="19"/>
  <c r="D30" i="19" s="1"/>
  <c r="L30" i="19"/>
  <c r="M29" i="19"/>
  <c r="N29" i="19" s="1"/>
  <c r="V30" i="19"/>
  <c r="W29" i="19"/>
  <c r="X29" i="19" s="1"/>
  <c r="G30" i="19"/>
  <c r="H29" i="19"/>
  <c r="I29" i="19" s="1"/>
  <c r="J29" i="19" s="1"/>
  <c r="B23" i="27"/>
  <c r="G22" i="27"/>
  <c r="B38" i="1"/>
  <c r="B34" i="1"/>
  <c r="Y29" i="19" l="1"/>
  <c r="O29" i="19"/>
  <c r="E30" i="19"/>
  <c r="S29" i="19"/>
  <c r="T29" i="19" s="1"/>
  <c r="V31" i="19"/>
  <c r="W30" i="19"/>
  <c r="X30" i="19" s="1"/>
  <c r="B32" i="19"/>
  <c r="C31" i="19"/>
  <c r="D31" i="19" s="1"/>
  <c r="G31" i="19"/>
  <c r="H30" i="19"/>
  <c r="I30" i="19" s="1"/>
  <c r="J30" i="19" s="1"/>
  <c r="L31" i="19"/>
  <c r="M30" i="19"/>
  <c r="N30" i="19" s="1"/>
  <c r="Q31" i="19"/>
  <c r="R30" i="19"/>
  <c r="B24" i="27"/>
  <c r="G23" i="27"/>
  <c r="O30" i="19" l="1"/>
  <c r="Y30" i="19"/>
  <c r="E31" i="19"/>
  <c r="S30" i="19"/>
  <c r="T30" i="19" s="1"/>
  <c r="L32" i="19"/>
  <c r="M31" i="19"/>
  <c r="N31" i="19" s="1"/>
  <c r="O31" i="19" s="1"/>
  <c r="B33" i="19"/>
  <c r="C32" i="19"/>
  <c r="D32" i="19" s="1"/>
  <c r="Q32" i="19"/>
  <c r="R31" i="19"/>
  <c r="G32" i="19"/>
  <c r="H31" i="19"/>
  <c r="I31" i="19" s="1"/>
  <c r="J31" i="19" s="1"/>
  <c r="V32" i="19"/>
  <c r="W31" i="19"/>
  <c r="X31" i="19" s="1"/>
  <c r="Y31" i="19" s="1"/>
  <c r="B25" i="27"/>
  <c r="G24" i="27"/>
  <c r="E32" i="19" l="1"/>
  <c r="S31" i="19"/>
  <c r="T31" i="19" s="1"/>
  <c r="G33" i="19"/>
  <c r="H32" i="19"/>
  <c r="I32" i="19" s="1"/>
  <c r="J32" i="19" s="1"/>
  <c r="B34" i="19"/>
  <c r="C33" i="19"/>
  <c r="D33" i="19" s="1"/>
  <c r="V33" i="19"/>
  <c r="W32" i="19"/>
  <c r="X32" i="19" s="1"/>
  <c r="Y32" i="19" s="1"/>
  <c r="Q33" i="19"/>
  <c r="R32" i="19"/>
  <c r="L33" i="19"/>
  <c r="M32" i="19"/>
  <c r="N32" i="19" s="1"/>
  <c r="O32" i="19" s="1"/>
  <c r="B26" i="27"/>
  <c r="G25" i="27"/>
  <c r="E33" i="19" l="1"/>
  <c r="S32" i="19"/>
  <c r="T32" i="19" s="1"/>
  <c r="Q34" i="19"/>
  <c r="R33" i="19"/>
  <c r="B35" i="19"/>
  <c r="C34" i="19"/>
  <c r="D34" i="19" s="1"/>
  <c r="L34" i="19"/>
  <c r="M33" i="19"/>
  <c r="N33" i="19" s="1"/>
  <c r="O33" i="19" s="1"/>
  <c r="V34" i="19"/>
  <c r="W33" i="19"/>
  <c r="X33" i="19" s="1"/>
  <c r="Y33" i="19" s="1"/>
  <c r="G34" i="19"/>
  <c r="H33" i="19"/>
  <c r="I33" i="19" s="1"/>
  <c r="J33" i="19" s="1"/>
  <c r="B27" i="27"/>
  <c r="G26" i="27"/>
  <c r="E34" i="19" l="1"/>
  <c r="S33" i="19"/>
  <c r="T33" i="19" s="1"/>
  <c r="V35" i="19"/>
  <c r="W34" i="19"/>
  <c r="X34" i="19" s="1"/>
  <c r="Y34" i="19" s="1"/>
  <c r="B36" i="19"/>
  <c r="C35" i="19"/>
  <c r="D35" i="19" s="1"/>
  <c r="G35" i="19"/>
  <c r="H34" i="19"/>
  <c r="I34" i="19" s="1"/>
  <c r="J34" i="19" s="1"/>
  <c r="L35" i="19"/>
  <c r="M34" i="19"/>
  <c r="N34" i="19" s="1"/>
  <c r="O34" i="19" s="1"/>
  <c r="Q35" i="19"/>
  <c r="R34" i="19"/>
  <c r="B28" i="27"/>
  <c r="G27" i="27"/>
  <c r="E35" i="19" l="1"/>
  <c r="S34" i="19"/>
  <c r="T34" i="19" s="1"/>
  <c r="L36" i="19"/>
  <c r="M35" i="19"/>
  <c r="N35" i="19" s="1"/>
  <c r="O35" i="19" s="1"/>
  <c r="B37" i="19"/>
  <c r="C36" i="19"/>
  <c r="D36" i="19" s="1"/>
  <c r="Q36" i="19"/>
  <c r="R35" i="19"/>
  <c r="G36" i="19"/>
  <c r="H35" i="19"/>
  <c r="I35" i="19" s="1"/>
  <c r="J35" i="19" s="1"/>
  <c r="V36" i="19"/>
  <c r="W35" i="19"/>
  <c r="X35" i="19" s="1"/>
  <c r="Y35" i="19" s="1"/>
  <c r="B29" i="27"/>
  <c r="G28" i="27"/>
  <c r="E36" i="19" l="1"/>
  <c r="S35" i="19"/>
  <c r="T35" i="19" s="1"/>
  <c r="G37" i="19"/>
  <c r="H36" i="19"/>
  <c r="I36" i="19" s="1"/>
  <c r="J36" i="19" s="1"/>
  <c r="B38" i="19"/>
  <c r="C37" i="19"/>
  <c r="D37" i="19" s="1"/>
  <c r="V37" i="19"/>
  <c r="W36" i="19"/>
  <c r="X36" i="19" s="1"/>
  <c r="Y36" i="19" s="1"/>
  <c r="Q37" i="19"/>
  <c r="R36" i="19"/>
  <c r="L37" i="19"/>
  <c r="M36" i="19"/>
  <c r="N36" i="19" s="1"/>
  <c r="O36" i="19" s="1"/>
  <c r="B30" i="27"/>
  <c r="G29" i="27"/>
  <c r="E37" i="19" l="1"/>
  <c r="S36" i="19"/>
  <c r="T36" i="19" s="1"/>
  <c r="Q38" i="19"/>
  <c r="R37" i="19"/>
  <c r="B39" i="19"/>
  <c r="C38" i="19"/>
  <c r="D38" i="19" s="1"/>
  <c r="L38" i="19"/>
  <c r="M37" i="19"/>
  <c r="N37" i="19" s="1"/>
  <c r="O37" i="19" s="1"/>
  <c r="V38" i="19"/>
  <c r="W37" i="19"/>
  <c r="X37" i="19" s="1"/>
  <c r="Y37" i="19" s="1"/>
  <c r="G38" i="19"/>
  <c r="H37" i="19"/>
  <c r="I37" i="19" s="1"/>
  <c r="J37" i="19" s="1"/>
  <c r="B31" i="27"/>
  <c r="G30" i="27"/>
  <c r="E38" i="19" l="1"/>
  <c r="S37" i="19"/>
  <c r="T37" i="19" s="1"/>
  <c r="V39" i="19"/>
  <c r="W38" i="19"/>
  <c r="X38" i="19" s="1"/>
  <c r="Y38" i="19" s="1"/>
  <c r="B40" i="19"/>
  <c r="C39" i="19"/>
  <c r="D39" i="19" s="1"/>
  <c r="G39" i="19"/>
  <c r="H38" i="19"/>
  <c r="I38" i="19" s="1"/>
  <c r="J38" i="19" s="1"/>
  <c r="L39" i="19"/>
  <c r="M38" i="19"/>
  <c r="N38" i="19" s="1"/>
  <c r="O38" i="19" s="1"/>
  <c r="Q39" i="19"/>
  <c r="R38" i="19"/>
  <c r="B32" i="27"/>
  <c r="G31" i="27"/>
  <c r="E39" i="19" l="1"/>
  <c r="S38" i="19"/>
  <c r="T38" i="19" s="1"/>
  <c r="L40" i="19"/>
  <c r="M39" i="19"/>
  <c r="N39" i="19" s="1"/>
  <c r="O39" i="19" s="1"/>
  <c r="B41" i="19"/>
  <c r="C40" i="19"/>
  <c r="D40" i="19" s="1"/>
  <c r="Q40" i="19"/>
  <c r="R39" i="19"/>
  <c r="G40" i="19"/>
  <c r="H39" i="19"/>
  <c r="I39" i="19" s="1"/>
  <c r="J39" i="19" s="1"/>
  <c r="V40" i="19"/>
  <c r="W39" i="19"/>
  <c r="X39" i="19" s="1"/>
  <c r="Y39" i="19" s="1"/>
  <c r="B33" i="27"/>
  <c r="G32" i="27"/>
  <c r="E40" i="19" l="1"/>
  <c r="S39" i="19"/>
  <c r="T39" i="19" s="1"/>
  <c r="G41" i="19"/>
  <c r="H40" i="19"/>
  <c r="I40" i="19" s="1"/>
  <c r="J40" i="19" s="1"/>
  <c r="B42" i="19"/>
  <c r="C41" i="19"/>
  <c r="D41" i="19" s="1"/>
  <c r="V41" i="19"/>
  <c r="W40" i="19"/>
  <c r="X40" i="19" s="1"/>
  <c r="Y40" i="19" s="1"/>
  <c r="Q41" i="19"/>
  <c r="R40" i="19"/>
  <c r="L41" i="19"/>
  <c r="M40" i="19"/>
  <c r="N40" i="19" s="1"/>
  <c r="O40" i="19" s="1"/>
  <c r="B34" i="27"/>
  <c r="G33" i="27"/>
  <c r="E41" i="19" l="1"/>
  <c r="S40" i="19"/>
  <c r="T40" i="19" s="1"/>
  <c r="Q42" i="19"/>
  <c r="R41" i="19"/>
  <c r="B43" i="19"/>
  <c r="C42" i="19"/>
  <c r="D42" i="19" s="1"/>
  <c r="L42" i="19"/>
  <c r="M41" i="19"/>
  <c r="N41" i="19" s="1"/>
  <c r="O41" i="19" s="1"/>
  <c r="V42" i="19"/>
  <c r="W41" i="19"/>
  <c r="X41" i="19" s="1"/>
  <c r="Y41" i="19" s="1"/>
  <c r="G42" i="19"/>
  <c r="H41" i="19"/>
  <c r="I41" i="19" s="1"/>
  <c r="J41" i="19" s="1"/>
  <c r="B35" i="27"/>
  <c r="G34" i="27"/>
  <c r="E42" i="19" l="1"/>
  <c r="S41" i="19"/>
  <c r="T41" i="19" s="1"/>
  <c r="V43" i="19"/>
  <c r="W42" i="19"/>
  <c r="X42" i="19" s="1"/>
  <c r="Y42" i="19" s="1"/>
  <c r="B44" i="19"/>
  <c r="C43" i="19"/>
  <c r="D43" i="19" s="1"/>
  <c r="G43" i="19"/>
  <c r="H42" i="19"/>
  <c r="I42" i="19" s="1"/>
  <c r="J42" i="19" s="1"/>
  <c r="L43" i="19"/>
  <c r="M42" i="19"/>
  <c r="N42" i="19" s="1"/>
  <c r="O42" i="19" s="1"/>
  <c r="Q43" i="19"/>
  <c r="R42" i="19"/>
  <c r="B36" i="27"/>
  <c r="G35" i="27"/>
  <c r="E43" i="19" l="1"/>
  <c r="S42" i="19"/>
  <c r="T42" i="19" s="1"/>
  <c r="L44" i="19"/>
  <c r="M43" i="19"/>
  <c r="N43" i="19" s="1"/>
  <c r="O43" i="19" s="1"/>
  <c r="B45" i="19"/>
  <c r="C44" i="19"/>
  <c r="D44" i="19" s="1"/>
  <c r="Q44" i="19"/>
  <c r="R43" i="19"/>
  <c r="G44" i="19"/>
  <c r="H43" i="19"/>
  <c r="I43" i="19" s="1"/>
  <c r="J43" i="19" s="1"/>
  <c r="V44" i="19"/>
  <c r="W43" i="19"/>
  <c r="X43" i="19" s="1"/>
  <c r="Y43" i="19" s="1"/>
  <c r="B37" i="27"/>
  <c r="G36" i="27"/>
  <c r="E44" i="19" l="1"/>
  <c r="S43" i="19"/>
  <c r="T43" i="19" s="1"/>
  <c r="G45" i="19"/>
  <c r="H44" i="19"/>
  <c r="I44" i="19" s="1"/>
  <c r="J44" i="19" s="1"/>
  <c r="B46" i="19"/>
  <c r="C45" i="19"/>
  <c r="D45" i="19" s="1"/>
  <c r="V45" i="19"/>
  <c r="W44" i="19"/>
  <c r="X44" i="19" s="1"/>
  <c r="Y44" i="19" s="1"/>
  <c r="Q45" i="19"/>
  <c r="R44" i="19"/>
  <c r="L45" i="19"/>
  <c r="M44" i="19"/>
  <c r="N44" i="19" s="1"/>
  <c r="O44" i="19" s="1"/>
  <c r="B38" i="27"/>
  <c r="G37" i="27"/>
  <c r="E45" i="19" l="1"/>
  <c r="S44" i="19"/>
  <c r="T44" i="19" s="1"/>
  <c r="Q46" i="19"/>
  <c r="R45" i="19"/>
  <c r="B47" i="19"/>
  <c r="C46" i="19"/>
  <c r="D46" i="19" s="1"/>
  <c r="L46" i="19"/>
  <c r="M45" i="19"/>
  <c r="N45" i="19" s="1"/>
  <c r="O45" i="19" s="1"/>
  <c r="V46" i="19"/>
  <c r="W45" i="19"/>
  <c r="X45" i="19" s="1"/>
  <c r="Y45" i="19" s="1"/>
  <c r="G46" i="19"/>
  <c r="H45" i="19"/>
  <c r="I45" i="19" s="1"/>
  <c r="J45" i="19" s="1"/>
  <c r="B39" i="27"/>
  <c r="G38" i="27"/>
  <c r="E46" i="19" l="1"/>
  <c r="S45" i="19"/>
  <c r="T45" i="19" s="1"/>
  <c r="V47" i="19"/>
  <c r="W46" i="19"/>
  <c r="X46" i="19" s="1"/>
  <c r="Y46" i="19" s="1"/>
  <c r="B48" i="19"/>
  <c r="C47" i="19"/>
  <c r="D47" i="19" s="1"/>
  <c r="G47" i="19"/>
  <c r="H46" i="19"/>
  <c r="I46" i="19" s="1"/>
  <c r="J46" i="19" s="1"/>
  <c r="L47" i="19"/>
  <c r="M46" i="19"/>
  <c r="N46" i="19" s="1"/>
  <c r="O46" i="19" s="1"/>
  <c r="Q47" i="19"/>
  <c r="R46" i="19"/>
  <c r="B40" i="27"/>
  <c r="G39" i="27"/>
  <c r="E47" i="19" l="1"/>
  <c r="S46" i="19"/>
  <c r="T46" i="19" s="1"/>
  <c r="L48" i="19"/>
  <c r="M47" i="19"/>
  <c r="N47" i="19" s="1"/>
  <c r="O47" i="19" s="1"/>
  <c r="B49" i="19"/>
  <c r="C48" i="19"/>
  <c r="D48" i="19" s="1"/>
  <c r="Q48" i="19"/>
  <c r="R47" i="19"/>
  <c r="G48" i="19"/>
  <c r="H47" i="19"/>
  <c r="I47" i="19" s="1"/>
  <c r="J47" i="19" s="1"/>
  <c r="V48" i="19"/>
  <c r="W47" i="19"/>
  <c r="X47" i="19" s="1"/>
  <c r="Y47" i="19" s="1"/>
  <c r="B41" i="27"/>
  <c r="G40" i="27"/>
  <c r="E48" i="19" l="1"/>
  <c r="S47" i="19"/>
  <c r="T47" i="19" s="1"/>
  <c r="G49" i="19"/>
  <c r="H48" i="19"/>
  <c r="I48" i="19" s="1"/>
  <c r="J48" i="19" s="1"/>
  <c r="B50" i="19"/>
  <c r="C49" i="19"/>
  <c r="D49" i="19" s="1"/>
  <c r="V49" i="19"/>
  <c r="W48" i="19"/>
  <c r="X48" i="19" s="1"/>
  <c r="Y48" i="19" s="1"/>
  <c r="Q49" i="19"/>
  <c r="R48" i="19"/>
  <c r="L49" i="19"/>
  <c r="M48" i="19"/>
  <c r="N48" i="19" s="1"/>
  <c r="O48" i="19" s="1"/>
  <c r="B42" i="27"/>
  <c r="G41" i="27"/>
  <c r="E49" i="19" l="1"/>
  <c r="S48" i="19"/>
  <c r="T48" i="19" s="1"/>
  <c r="Q50" i="19"/>
  <c r="R49" i="19"/>
  <c r="B51" i="19"/>
  <c r="C50" i="19"/>
  <c r="D50" i="19" s="1"/>
  <c r="L50" i="19"/>
  <c r="M49" i="19"/>
  <c r="N49" i="19" s="1"/>
  <c r="O49" i="19" s="1"/>
  <c r="V50" i="19"/>
  <c r="W49" i="19"/>
  <c r="X49" i="19" s="1"/>
  <c r="Y49" i="19" s="1"/>
  <c r="G50" i="19"/>
  <c r="H49" i="19"/>
  <c r="I49" i="19" s="1"/>
  <c r="J49" i="19" s="1"/>
  <c r="B43" i="27"/>
  <c r="G42" i="27"/>
  <c r="E50" i="19" l="1"/>
  <c r="S49" i="19"/>
  <c r="T49" i="19" s="1"/>
  <c r="V51" i="19"/>
  <c r="W50" i="19"/>
  <c r="X50" i="19" s="1"/>
  <c r="Y50" i="19" s="1"/>
  <c r="C51" i="19"/>
  <c r="D51" i="19" s="1"/>
  <c r="B52" i="19"/>
  <c r="G51" i="19"/>
  <c r="H50" i="19"/>
  <c r="I50" i="19" s="1"/>
  <c r="J50" i="19" s="1"/>
  <c r="L51" i="19"/>
  <c r="M50" i="19"/>
  <c r="N50" i="19" s="1"/>
  <c r="O50" i="19" s="1"/>
  <c r="Q51" i="19"/>
  <c r="R50" i="19"/>
  <c r="B44" i="27"/>
  <c r="G43" i="27"/>
  <c r="E51" i="19" l="1"/>
  <c r="S50" i="19"/>
  <c r="T50" i="19" s="1"/>
  <c r="L52" i="19"/>
  <c r="M51" i="19"/>
  <c r="N51" i="19" s="1"/>
  <c r="O51" i="19" s="1"/>
  <c r="B53" i="19"/>
  <c r="C53" i="19" s="1"/>
  <c r="D53" i="19" s="1"/>
  <c r="C52" i="19"/>
  <c r="D52" i="19" s="1"/>
  <c r="E52" i="19" s="1"/>
  <c r="Q52" i="19"/>
  <c r="R51" i="19"/>
  <c r="G52" i="19"/>
  <c r="H51" i="19"/>
  <c r="I51" i="19" s="1"/>
  <c r="J51" i="19" s="1"/>
  <c r="V52" i="19"/>
  <c r="W51" i="19"/>
  <c r="X51" i="19" s="1"/>
  <c r="Y51" i="19" s="1"/>
  <c r="B45" i="27"/>
  <c r="G44" i="27"/>
  <c r="S51" i="19" l="1"/>
  <c r="T51" i="19" s="1"/>
  <c r="E53" i="19"/>
  <c r="H52" i="19"/>
  <c r="I52" i="19" s="1"/>
  <c r="J52" i="19" s="1"/>
  <c r="G53" i="19"/>
  <c r="H53" i="19" s="1"/>
  <c r="I53" i="19" s="1"/>
  <c r="V53" i="19"/>
  <c r="W53" i="19" s="1"/>
  <c r="X53" i="19" s="1"/>
  <c r="W52" i="19"/>
  <c r="X52" i="19" s="1"/>
  <c r="Y52" i="19" s="1"/>
  <c r="R52" i="19"/>
  <c r="Q53" i="19"/>
  <c r="R53" i="19" s="1"/>
  <c r="S53" i="19" s="1"/>
  <c r="M52" i="19"/>
  <c r="N52" i="19" s="1"/>
  <c r="O52" i="19" s="1"/>
  <c r="L53" i="19"/>
  <c r="M53" i="19" s="1"/>
  <c r="N53" i="19" s="1"/>
  <c r="G45" i="27"/>
  <c r="B46" i="27"/>
  <c r="S52" i="19" l="1"/>
  <c r="T52" i="19" s="1"/>
  <c r="T53" i="19" s="1"/>
  <c r="Y53" i="19"/>
  <c r="J53" i="19"/>
  <c r="O53" i="19"/>
</calcChain>
</file>

<file path=xl/sharedStrings.xml><?xml version="1.0" encoding="utf-8"?>
<sst xmlns="http://schemas.openxmlformats.org/spreadsheetml/2006/main" count="412" uniqueCount="344">
  <si>
    <t>Overhead</t>
  </si>
  <si>
    <t>Regulars Frequency</t>
  </si>
  <si>
    <t>Regulars %</t>
  </si>
  <si>
    <t>Weekly %</t>
  </si>
  <si>
    <t>Community</t>
  </si>
  <si>
    <t>Customers per week</t>
  </si>
  <si>
    <t>Weekly Gross Income</t>
  </si>
  <si>
    <t>Four-week Income</t>
  </si>
  <si>
    <t>Gross Annual Income</t>
  </si>
  <si>
    <t>Taxes</t>
  </si>
  <si>
    <t>Income after taxes</t>
  </si>
  <si>
    <t>Total COGS Per Year</t>
  </si>
  <si>
    <t>Income after COGS</t>
  </si>
  <si>
    <t>Charge Entry per person on the weekends</t>
  </si>
  <si>
    <t>Charge Entry per person on a weekday</t>
  </si>
  <si>
    <t>About Once per week</t>
  </si>
  <si>
    <t>Regulars Income</t>
  </si>
  <si>
    <t>About Once per week  Gross Income</t>
  </si>
  <si>
    <t>utilities per month</t>
  </si>
  <si>
    <t>repairs per month</t>
  </si>
  <si>
    <t>supplies per month</t>
  </si>
  <si>
    <t>food per month</t>
  </si>
  <si>
    <t>rent per month</t>
  </si>
  <si>
    <t>staff per week</t>
  </si>
  <si>
    <t>Staff per four weeks</t>
  </si>
  <si>
    <t>Staff per year</t>
  </si>
  <si>
    <t>Total Per Month COGS (no staff)</t>
  </si>
  <si>
    <t>Number of daily staff</t>
  </si>
  <si>
    <t>Payment per staff per week</t>
  </si>
  <si>
    <t>Controllable Profit Variables</t>
  </si>
  <si>
    <t>Uncontrollable Profit Variables</t>
  </si>
  <si>
    <t>charge by rounding up to the nearest dollar</t>
  </si>
  <si>
    <t>security, food, greeting desk</t>
  </si>
  <si>
    <t>I will be maintenance</t>
  </si>
  <si>
    <t>Percentage</t>
  </si>
  <si>
    <t>per PC, accessories, and software</t>
  </si>
  <si>
    <t>long table, fits three PCs, 3x8 ft^2 design</t>
  </si>
  <si>
    <t>Number needed</t>
  </si>
  <si>
    <t>Costs</t>
  </si>
  <si>
    <t>Total Costs</t>
  </si>
  <si>
    <t>Costs Estimate</t>
  </si>
  <si>
    <t>Cleaning Supplies</t>
  </si>
  <si>
    <t>Games fund</t>
  </si>
  <si>
    <t>Total</t>
  </si>
  <si>
    <t>sprung wood flooring per square feet</t>
  </si>
  <si>
    <t>square feet</t>
  </si>
  <si>
    <t>sprung wood flooring per square feet costs</t>
  </si>
  <si>
    <t>$ 4 - 6</t>
  </si>
  <si>
    <t>Best case scenario</t>
  </si>
  <si>
    <t>Best case dance floor (synthetic)</t>
  </si>
  <si>
    <t>Wifi</t>
  </si>
  <si>
    <t>Electrical outlets</t>
  </si>
  <si>
    <t>sink installation and plumbing</t>
  </si>
  <si>
    <t>shared kitchen appliances</t>
  </si>
  <si>
    <t>plates and utensils</t>
  </si>
  <si>
    <t>number of countertops</t>
  </si>
  <si>
    <t>Amount needed</t>
  </si>
  <si>
    <t>Sq. feet per countertop</t>
  </si>
  <si>
    <t>Cost</t>
  </si>
  <si>
    <t>Counter Installation</t>
  </si>
  <si>
    <t>double basin sinks</t>
  </si>
  <si>
    <t>kitchen shelves</t>
  </si>
  <si>
    <t>decorations</t>
  </si>
  <si>
    <t>stainless steel cookware</t>
  </si>
  <si>
    <t>knives</t>
  </si>
  <si>
    <t>allergy form</t>
  </si>
  <si>
    <t>liabaility waiver for the kitchen use</t>
  </si>
  <si>
    <t>sq feet per 1 gal. can</t>
  </si>
  <si>
    <t>paint per 1 gal</t>
  </si>
  <si>
    <t>sq feet (3 walls and half of fourth)</t>
  </si>
  <si>
    <t>One normal wall sq feet</t>
  </si>
  <si>
    <t>paint cans per wall</t>
  </si>
  <si>
    <t>Number of walls</t>
  </si>
  <si>
    <t>Length (ft)</t>
  </si>
  <si>
    <t>height (ft)</t>
  </si>
  <si>
    <t>Paint cans needed</t>
  </si>
  <si>
    <t>cooking</t>
  </si>
  <si>
    <t>liability forms</t>
  </si>
  <si>
    <t>Likely scenario</t>
  </si>
  <si>
    <t>cleaning supplies</t>
  </si>
  <si>
    <t>Total Equipment Costs</t>
  </si>
  <si>
    <t>décor</t>
  </si>
  <si>
    <t>chairs</t>
  </si>
  <si>
    <t>8 seater tables</t>
  </si>
  <si>
    <t>4 seater tables</t>
  </si>
  <si>
    <t>2 seater tables</t>
  </si>
  <si>
    <t>Amount</t>
  </si>
  <si>
    <t>People per</t>
  </si>
  <si>
    <t>eating area</t>
  </si>
  <si>
    <t>Greeter/security</t>
  </si>
  <si>
    <t>Insurance</t>
  </si>
  <si>
    <t>wifi</t>
  </si>
  <si>
    <t>electricity</t>
  </si>
  <si>
    <t>weekly expenses</t>
  </si>
  <si>
    <t>biweekly expenses</t>
  </si>
  <si>
    <t>daily expenses</t>
  </si>
  <si>
    <t>biweekly expense</t>
  </si>
  <si>
    <t>annual expenses</t>
  </si>
  <si>
    <t>meats</t>
  </si>
  <si>
    <t>vegetables</t>
  </si>
  <si>
    <t>dairy</t>
  </si>
  <si>
    <t>carbohydrates</t>
  </si>
  <si>
    <t>Money set for food</t>
  </si>
  <si>
    <t>Cost per week</t>
  </si>
  <si>
    <t>biweekly</t>
  </si>
  <si>
    <t>four weeks</t>
  </si>
  <si>
    <t>Annually</t>
  </si>
  <si>
    <t>Food usage per cooking session</t>
  </si>
  <si>
    <t>People</t>
  </si>
  <si>
    <t>guided cooking sessions per week</t>
  </si>
  <si>
    <t>Number of People</t>
  </si>
  <si>
    <t>Cost per cooking session</t>
  </si>
  <si>
    <t>People per cooking session (including cook)</t>
  </si>
  <si>
    <t>Percent excess food needed for unguided cooking*</t>
  </si>
  <si>
    <t>*Based on 80/20 rule</t>
  </si>
  <si>
    <t>Cost per week before 80/20 rule</t>
  </si>
  <si>
    <t>Estimated Final cost of food per week</t>
  </si>
  <si>
    <t>spices</t>
  </si>
  <si>
    <t>water**</t>
  </si>
  <si>
    <t>new equipment budget</t>
  </si>
  <si>
    <t>**Food, cleaning supplies, and water are based on 50 weeks of expenses</t>
  </si>
  <si>
    <t>cleaning supplies**</t>
  </si>
  <si>
    <t>four week expenses</t>
  </si>
  <si>
    <t>employees</t>
  </si>
  <si>
    <t>Total Annual Operating Costs</t>
  </si>
  <si>
    <t>Borrowed time (months)</t>
  </si>
  <si>
    <t>Borrowed time (years)</t>
  </si>
  <si>
    <t>Estimated loan amount</t>
  </si>
  <si>
    <t>Month 1</t>
  </si>
  <si>
    <t>Month 2</t>
  </si>
  <si>
    <t>Dance</t>
  </si>
  <si>
    <t>PCs</t>
  </si>
  <si>
    <t>Eating area</t>
  </si>
  <si>
    <t>Kitchen</t>
  </si>
  <si>
    <t>Total People</t>
  </si>
  <si>
    <t>Capacity (people)</t>
  </si>
  <si>
    <t>Applying 80/20 rule for consumers</t>
  </si>
  <si>
    <t>Members</t>
  </si>
  <si>
    <t>Entry Fees</t>
  </si>
  <si>
    <t>Percent of Engaged Community Estimates</t>
  </si>
  <si>
    <t>Charge</t>
  </si>
  <si>
    <t>Charges</t>
  </si>
  <si>
    <t>Monthly member</t>
  </si>
  <si>
    <t>Weekday entry fee</t>
  </si>
  <si>
    <t>Weekend entry fee</t>
  </si>
  <si>
    <t>Frequency Estimates per week (% of community)</t>
  </si>
  <si>
    <t>Frequency is the number of visits</t>
  </si>
  <si>
    <t>Calculating member capacity</t>
  </si>
  <si>
    <t>Community (people)</t>
  </si>
  <si>
    <t>Weekday 80%</t>
  </si>
  <si>
    <t>Weekday 20%</t>
  </si>
  <si>
    <t>Weekend 80%</t>
  </si>
  <si>
    <t>Weekend 20%</t>
  </si>
  <si>
    <t>Assuming exclusive groups</t>
  </si>
  <si>
    <t>Members 80%</t>
  </si>
  <si>
    <t>Members 20%</t>
  </si>
  <si>
    <t>Frequency</t>
  </si>
  <si>
    <t>Fraction of Community</t>
  </si>
  <si>
    <t>Fraction of community</t>
  </si>
  <si>
    <t>Fraction subcommunities</t>
  </si>
  <si>
    <t>Total entry fees per week</t>
  </si>
  <si>
    <t>N/A</t>
  </si>
  <si>
    <t>Membership fees per month</t>
  </si>
  <si>
    <t>Annual membership fees</t>
  </si>
  <si>
    <t>Annual entry fees</t>
  </si>
  <si>
    <t>Annual Gross</t>
  </si>
  <si>
    <t>Total Visits per week</t>
  </si>
  <si>
    <t>Visits per week</t>
  </si>
  <si>
    <t>Average Visits per day</t>
  </si>
  <si>
    <t>Annual Operating Costs</t>
  </si>
  <si>
    <t>Annual Gross Income</t>
  </si>
  <si>
    <t>Annual Net Income</t>
  </si>
  <si>
    <t>Community Break even estimate</t>
  </si>
  <si>
    <t>Average visits per day</t>
  </si>
  <si>
    <t>Max Capacity</t>
  </si>
  <si>
    <t>Max real time capacity</t>
  </si>
  <si>
    <t>Max Visitor Capacity Estimate</t>
  </si>
  <si>
    <t>Average visits per day*</t>
  </si>
  <si>
    <t>Percent Greater than average visits</t>
  </si>
  <si>
    <t>Max possible visits per day</t>
  </si>
  <si>
    <t>Waves of people</t>
  </si>
  <si>
    <t>Estimated possible visits per day</t>
  </si>
  <si>
    <t>subtract members</t>
  </si>
  <si>
    <t>There must be room for regular members to come in</t>
  </si>
  <si>
    <t>Expected Visits per day</t>
  </si>
  <si>
    <t>Extra Room for Members</t>
  </si>
  <si>
    <t>Breakeven point</t>
  </si>
  <si>
    <t>Engaged Community</t>
  </si>
  <si>
    <t>First year goal</t>
  </si>
  <si>
    <t>Second year goal</t>
  </si>
  <si>
    <t>Third year goal</t>
  </si>
  <si>
    <t>Fourth year goal</t>
  </si>
  <si>
    <t>Target demographic</t>
  </si>
  <si>
    <t>Target demographic size in New Haven County</t>
  </si>
  <si>
    <t>not including 18-19 year=olds due to lack of data</t>
  </si>
  <si>
    <t>conservative estimate of 18-19 year-olds*</t>
  </si>
  <si>
    <t>True Total</t>
  </si>
  <si>
    <t>Percent of people needed to break even</t>
  </si>
  <si>
    <t>Percent of people needed to reach max capacity</t>
  </si>
  <si>
    <t>Sixth year max capacity goal</t>
  </si>
  <si>
    <t>Fifth year goal</t>
  </si>
  <si>
    <t>Month 1 prior</t>
  </si>
  <si>
    <t>Month 2 prior</t>
  </si>
  <si>
    <t>Create a team of potential employees: dedicated leaders</t>
  </si>
  <si>
    <t>Month 3</t>
  </si>
  <si>
    <t>Securing funding</t>
  </si>
  <si>
    <t>Month 3 prior</t>
  </si>
  <si>
    <t>Build the space</t>
  </si>
  <si>
    <t>Month 4 -12</t>
  </si>
  <si>
    <t>sub-sub-communities</t>
  </si>
  <si>
    <t>rent</t>
  </si>
  <si>
    <t>monthly rent estimate</t>
  </si>
  <si>
    <t>Attempt to reach target of break-even community members</t>
  </si>
  <si>
    <t>Business Management/Maintenance</t>
  </si>
  <si>
    <t>White board and markers</t>
  </si>
  <si>
    <t>Comfy office chairs</t>
  </si>
  <si>
    <t>counter installation</t>
  </si>
  <si>
    <t>Operating Costs</t>
  </si>
  <si>
    <t>mirror</t>
  </si>
  <si>
    <t>Total for worst case scenario</t>
  </si>
  <si>
    <t>Unforeseen Costs</t>
  </si>
  <si>
    <t>PC area</t>
  </si>
  <si>
    <t>https://data.census.gov/cedsci/table?q=S0101&amp;g=1600000USundefined_0500000US09009_0400000US09&amp;tid=ACSST1Y2018.S0101</t>
  </si>
  <si>
    <t>40-44</t>
  </si>
  <si>
    <t>35-39</t>
  </si>
  <si>
    <t>29-34</t>
  </si>
  <si>
    <t>25-29</t>
  </si>
  <si>
    <t>20-24</t>
  </si>
  <si>
    <t>45-49</t>
  </si>
  <si>
    <t>50-54</t>
  </si>
  <si>
    <t>55-59</t>
  </si>
  <si>
    <t>60-64</t>
  </si>
  <si>
    <t>65-69</t>
  </si>
  <si>
    <t>70-74</t>
  </si>
  <si>
    <t>Part-time greeter/security</t>
  </si>
  <si>
    <t>18-80 year-olds</t>
  </si>
  <si>
    <t>Break-even Point</t>
  </si>
  <si>
    <t>Estimate Number of People</t>
  </si>
  <si>
    <t>Website Setup</t>
  </si>
  <si>
    <t>Total Overhead Costs</t>
  </si>
  <si>
    <t>knife sharpener</t>
  </si>
  <si>
    <t>three-door fridge</t>
  </si>
  <si>
    <t>granite counter tops per sq foot</t>
  </si>
  <si>
    <t>low end</t>
  </si>
  <si>
    <t>high end</t>
  </si>
  <si>
    <t>Sq. feet I need</t>
  </si>
  <si>
    <t>estimated cost</t>
  </si>
  <si>
    <t>Rent in New Haven per sq. foot per year  is typically</t>
  </si>
  <si>
    <t>Recruiting Instructors and businesses</t>
  </si>
  <si>
    <t>Work-man's comp</t>
  </si>
  <si>
    <t>Work-man's Comp multiplier</t>
  </si>
  <si>
    <t>Workman's comp Estimate</t>
  </si>
  <si>
    <t>Month</t>
  </si>
  <si>
    <t>Percent of new community regulars per month</t>
  </si>
  <si>
    <t>Principle</t>
  </si>
  <si>
    <t>time (months)</t>
  </si>
  <si>
    <t>Community Regulars</t>
  </si>
  <si>
    <t>Dance group seed</t>
  </si>
  <si>
    <t>Percent Growth needed to be profitable</t>
  </si>
  <si>
    <t>Target Amount</t>
  </si>
  <si>
    <t>Break-even point in years</t>
  </si>
  <si>
    <t>Percent Compounded Monthly Community Regular increase</t>
  </si>
  <si>
    <t>Community Multiplier</t>
  </si>
  <si>
    <t>monthly membership</t>
  </si>
  <si>
    <t>weekly entry fees</t>
  </si>
  <si>
    <t>weekly multiplier</t>
  </si>
  <si>
    <t>Total multiplier per month</t>
  </si>
  <si>
    <t>Community Engagement % increase per month</t>
  </si>
  <si>
    <t>Note</t>
  </si>
  <si>
    <t>The principal is the first month of people.</t>
  </si>
  <si>
    <t>The principal number of people are what's needed in order to maintain a balance within the operating budget.</t>
  </si>
  <si>
    <t>Loan Amount Reserved for Operating Expenses</t>
  </si>
  <si>
    <t>I cannot go past this number</t>
  </si>
  <si>
    <t>Monthly Operating Costs</t>
  </si>
  <si>
    <t>Revenue/month</t>
  </si>
  <si>
    <t>Profit/month</t>
  </si>
  <si>
    <t>Balance/month</t>
  </si>
  <si>
    <t>Community Engagement (people) Breakeven number</t>
  </si>
  <si>
    <t>dancing area</t>
  </si>
  <si>
    <t>Food was removed because chef instructors will pay for their own ingredients.</t>
  </si>
  <si>
    <t>Possible Overflow Amount of People</t>
  </si>
  <si>
    <t>I need to ensure that I don't run out of money reserved for operating costs.</t>
  </si>
  <si>
    <t>Max community engagement capacity approximation</t>
  </si>
  <si>
    <t>Months Until Breakeven</t>
  </si>
  <si>
    <t>The breakeven point is dependent of percent growth and starting principal.</t>
  </si>
  <si>
    <t>Principal Amount of People Needed</t>
  </si>
  <si>
    <t>Angel Investors</t>
  </si>
  <si>
    <t>Grants</t>
  </si>
  <si>
    <t>Venture Capitalists</t>
  </si>
  <si>
    <t>Personal Investors</t>
  </si>
  <si>
    <t>Bank Loans</t>
  </si>
  <si>
    <t>Peer-to-peer lenders</t>
  </si>
  <si>
    <t>Contact Info 1</t>
  </si>
  <si>
    <t>Contact Info 2</t>
  </si>
  <si>
    <t>People limit</t>
  </si>
  <si>
    <t>Received?</t>
  </si>
  <si>
    <t>Some numbers are greyed out because these numbers are less and less possible.</t>
  </si>
  <si>
    <t>Located in which Account?</t>
  </si>
  <si>
    <t>Monthly</t>
  </si>
  <si>
    <t>Summary: The following are scenarios for compounding % increases in the number of engaged community customers per month. The greater number of people we retain in the first month, the less of a struggle it will be to run the business in the future.</t>
  </si>
  <si>
    <t>electric induction cooking range and oven</t>
  </si>
  <si>
    <t>big dishwasher</t>
  </si>
  <si>
    <t>Tier 2 Investors</t>
  </si>
  <si>
    <t>Tier 1 Investors</t>
  </si>
  <si>
    <t>Sweat Equity</t>
  </si>
  <si>
    <t>Contributions</t>
  </si>
  <si>
    <t>Tier 3 Investors</t>
  </si>
  <si>
    <t>keep updated</t>
  </si>
  <si>
    <t>email</t>
  </si>
  <si>
    <t>Brenton Brown</t>
  </si>
  <si>
    <t>info</t>
  </si>
  <si>
    <t>landscaping company owner</t>
  </si>
  <si>
    <t>brentonb050@gmail.com</t>
  </si>
  <si>
    <t>psychology grad student</t>
  </si>
  <si>
    <t>Ray Charles Capanzana</t>
  </si>
  <si>
    <t>rayccpnzn@gmail.com</t>
  </si>
  <si>
    <t>ernohott@gmail.com</t>
  </si>
  <si>
    <t>Erno</t>
  </si>
  <si>
    <t>Mom's friend</t>
  </si>
  <si>
    <t>Phone Number</t>
  </si>
  <si>
    <t>fb</t>
  </si>
  <si>
    <t>swermann@gmail.com </t>
  </si>
  <si>
    <t>work</t>
  </si>
  <si>
    <t>MHK senior co-worker</t>
  </si>
  <si>
    <t>Scott Wermann</t>
  </si>
  <si>
    <t>Leasehold Improvements</t>
  </si>
  <si>
    <t>Improvement</t>
  </si>
  <si>
    <t>Area</t>
  </si>
  <si>
    <t>Equipment Costs</t>
  </si>
  <si>
    <t>Equipment</t>
  </si>
  <si>
    <t>PC and Gaming</t>
  </si>
  <si>
    <t>Eating Area</t>
  </si>
  <si>
    <t>All equipment are improvements</t>
  </si>
  <si>
    <t>speakers don't need to be included because usually people bring their own.</t>
  </si>
  <si>
    <t>Décor</t>
  </si>
  <si>
    <t>Furniture and Fixtures</t>
  </si>
  <si>
    <t>Furniture or Fixture</t>
  </si>
  <si>
    <t>Eating</t>
  </si>
  <si>
    <t>none</t>
  </si>
  <si>
    <t>maybe a disco ball for fun someday</t>
  </si>
  <si>
    <t>none since this is all furniture</t>
  </si>
  <si>
    <t>six months salary combined</t>
  </si>
  <si>
    <t>per week</t>
  </si>
  <si>
    <t>per 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</si>
</sst>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0.000%"/>
    <numFmt numFmtId="166" formatCode="0.0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8" tint="0.39997558519241921"/>
        <bgColor indexed="65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10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4" fillId="2" borderId="0" applyNumberFormat="0" applyBorder="0" applyAlignment="0" applyProtection="0"/>
    <xf numFmtId="0" fontId="5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</cellStyleXfs>
  <cellXfs count="36">
    <xf numFmtId="0" fontId="0" fillId="0" borderId="0" xfId="0"/>
    <xf numFmtId="44" fontId="0" fillId="0" borderId="0" xfId="1" applyFont="1"/>
    <xf numFmtId="0" fontId="0" fillId="0" borderId="0" xfId="1" applyNumberFormat="1" applyFont="1"/>
    <xf numFmtId="0" fontId="0" fillId="0" borderId="0" xfId="0" applyNumberFormat="1"/>
    <xf numFmtId="9" fontId="0" fillId="0" borderId="0" xfId="2" applyFont="1"/>
    <xf numFmtId="10" fontId="0" fillId="0" borderId="0" xfId="1" applyNumberFormat="1" applyFont="1"/>
    <xf numFmtId="6" fontId="0" fillId="0" borderId="0" xfId="0" applyNumberFormat="1"/>
    <xf numFmtId="44" fontId="0" fillId="0" borderId="0" xfId="0" applyNumberFormat="1"/>
    <xf numFmtId="0" fontId="0" fillId="0" borderId="0" xfId="2" applyNumberFormat="1" applyFont="1"/>
    <xf numFmtId="9" fontId="0" fillId="0" borderId="0" xfId="0" applyNumberFormat="1"/>
    <xf numFmtId="0" fontId="2" fillId="0" borderId="0" xfId="4"/>
    <xf numFmtId="164" fontId="0" fillId="0" borderId="0" xfId="3" applyNumberFormat="1" applyFont="1"/>
    <xf numFmtId="164" fontId="0" fillId="0" borderId="0" xfId="0" applyNumberFormat="1"/>
    <xf numFmtId="165" fontId="0" fillId="0" borderId="0" xfId="2" applyNumberFormat="1" applyFont="1"/>
    <xf numFmtId="6" fontId="0" fillId="0" borderId="0" xfId="1" applyNumberFormat="1" applyFont="1"/>
    <xf numFmtId="0" fontId="5" fillId="3" borderId="0" xfId="6"/>
    <xf numFmtId="44" fontId="5" fillId="3" borderId="0" xfId="6" applyNumberFormat="1"/>
    <xf numFmtId="0" fontId="4" fillId="2" borderId="1" xfId="5" applyBorder="1"/>
    <xf numFmtId="44" fontId="4" fillId="2" borderId="1" xfId="5" applyNumberFormat="1" applyBorder="1"/>
    <xf numFmtId="166" fontId="0" fillId="0" borderId="0" xfId="0" applyNumberFormat="1"/>
    <xf numFmtId="1" fontId="0" fillId="0" borderId="0" xfId="0" applyNumberFormat="1"/>
    <xf numFmtId="44" fontId="0" fillId="0" borderId="0" xfId="1" applyNumberFormat="1" applyFont="1"/>
    <xf numFmtId="0" fontId="1" fillId="4" borderId="2" xfId="7" applyBorder="1"/>
    <xf numFmtId="1" fontId="1" fillId="4" borderId="2" xfId="7" applyNumberFormat="1" applyBorder="1"/>
    <xf numFmtId="44" fontId="1" fillId="4" borderId="2" xfId="7" applyNumberFormat="1" applyBorder="1"/>
    <xf numFmtId="164" fontId="1" fillId="4" borderId="2" xfId="7" applyNumberFormat="1" applyBorder="1"/>
    <xf numFmtId="0" fontId="1" fillId="4" borderId="0" xfId="7"/>
    <xf numFmtId="1" fontId="1" fillId="4" borderId="0" xfId="7" applyNumberFormat="1"/>
    <xf numFmtId="44" fontId="1" fillId="4" borderId="0" xfId="7" applyNumberFormat="1"/>
    <xf numFmtId="164" fontId="1" fillId="4" borderId="0" xfId="7" applyNumberFormat="1"/>
    <xf numFmtId="0" fontId="1" fillId="6" borderId="0" xfId="9"/>
    <xf numFmtId="0" fontId="1" fillId="5" borderId="3" xfId="8" applyBorder="1"/>
    <xf numFmtId="9" fontId="1" fillId="5" borderId="3" xfId="8" applyNumberFormat="1" applyBorder="1"/>
    <xf numFmtId="1" fontId="1" fillId="5" borderId="0" xfId="8" applyNumberFormat="1"/>
    <xf numFmtId="164" fontId="1" fillId="5" borderId="0" xfId="8" applyNumberFormat="1"/>
    <xf numFmtId="0" fontId="0" fillId="0" borderId="0" xfId="2" applyNumberFormat="1" applyFont="1" applyAlignment="1">
      <alignment horizontal="center"/>
    </xf>
  </cellXfs>
  <cellStyles count="10">
    <cellStyle name="40% - Accent1" xfId="7" builtinId="31"/>
    <cellStyle name="40% - Accent2" xfId="8" builtinId="35"/>
    <cellStyle name="60% - Accent5" xfId="9" builtinId="48"/>
    <cellStyle name="Comma" xfId="3" builtinId="3"/>
    <cellStyle name="Currency" xfId="1" builtinId="4"/>
    <cellStyle name="Good" xfId="5" builtinId="26"/>
    <cellStyle name="Hyperlink" xfId="4" builtinId="8"/>
    <cellStyle name="Neutral" xfId="6" builtinId="2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3" Type="http://schemas.openxmlformats.org/officeDocument/2006/relationships/worksheet" Target="worksheets/sheet2.xml"/><Relationship Id="rId21" Type="http://schemas.openxmlformats.org/officeDocument/2006/relationships/worksheet" Target="worksheets/sheet20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calcChain" Target="calcChain.xml"/><Relationship Id="rId2" Type="http://schemas.openxmlformats.org/officeDocument/2006/relationships/chartsheet" Target="chart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styles" Target="styles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Community Engagement Over Months</a:t>
            </a:r>
            <a:r>
              <a:rPr lang="en-US" baseline="0"/>
              <a:t> Based on Compounding Percentages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Revenue_Profit_Balance!$B$16</c:f>
              <c:strCache>
                <c:ptCount val="1"/>
                <c:pt idx="0">
                  <c:v>Community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Revenue_Profit_Balance!$B$17:$B$30</c:f>
              <c:numCache>
                <c:formatCode>0</c:formatCode>
                <c:ptCount val="14"/>
                <c:pt idx="0">
                  <c:v>15</c:v>
                </c:pt>
                <c:pt idx="1">
                  <c:v>22.5</c:v>
                </c:pt>
                <c:pt idx="2">
                  <c:v>33.75</c:v>
                </c:pt>
                <c:pt idx="3">
                  <c:v>50.625</c:v>
                </c:pt>
                <c:pt idx="4">
                  <c:v>75.9375</c:v>
                </c:pt>
                <c:pt idx="5">
                  <c:v>113.90625</c:v>
                </c:pt>
                <c:pt idx="6">
                  <c:v>170.859375</c:v>
                </c:pt>
                <c:pt idx="7">
                  <c:v>256.2890625</c:v>
                </c:pt>
                <c:pt idx="8">
                  <c:v>384.43359375</c:v>
                </c:pt>
                <c:pt idx="9">
                  <c:v>576.650390625</c:v>
                </c:pt>
                <c:pt idx="10">
                  <c:v>864.9755859375</c:v>
                </c:pt>
                <c:pt idx="11">
                  <c:v>1297.46337890625</c:v>
                </c:pt>
                <c:pt idx="12">
                  <c:v>1946.195068359375</c:v>
                </c:pt>
                <c:pt idx="13">
                  <c:v>2919.2926025390625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F6-45EF-8F02-D35ADBB8DCD1}"/>
            </c:ext>
          </c:extLst>
        </c:ser>
        <c:ser>
          <c:idx val="2"/>
          <c:order val="1"/>
          <c:tx>
            <c:strRef>
              <c:f>Revenue_Profit_Balance!$G$16</c:f>
              <c:strCache>
                <c:ptCount val="1"/>
                <c:pt idx="0">
                  <c:v>Community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Revenue_Profit_Balance!$G$17:$G$35</c:f>
              <c:numCache>
                <c:formatCode>0</c:formatCode>
                <c:ptCount val="19"/>
                <c:pt idx="0">
                  <c:v>25</c:v>
                </c:pt>
                <c:pt idx="1">
                  <c:v>35</c:v>
                </c:pt>
                <c:pt idx="2">
                  <c:v>49</c:v>
                </c:pt>
                <c:pt idx="3">
                  <c:v>68.599999999999994</c:v>
                </c:pt>
                <c:pt idx="4">
                  <c:v>96.039999999999992</c:v>
                </c:pt>
                <c:pt idx="5">
                  <c:v>134.45599999999999</c:v>
                </c:pt>
                <c:pt idx="6">
                  <c:v>188.23839999999998</c:v>
                </c:pt>
                <c:pt idx="7">
                  <c:v>263.53375999999997</c:v>
                </c:pt>
                <c:pt idx="8">
                  <c:v>368.94726399999996</c:v>
                </c:pt>
                <c:pt idx="9">
                  <c:v>516.52616959999989</c:v>
                </c:pt>
                <c:pt idx="10">
                  <c:v>723.13663743999984</c:v>
                </c:pt>
                <c:pt idx="11">
                  <c:v>1012.3912924159997</c:v>
                </c:pt>
                <c:pt idx="12">
                  <c:v>1417.3478093823994</c:v>
                </c:pt>
                <c:pt idx="13">
                  <c:v>1984.286933135359</c:v>
                </c:pt>
                <c:pt idx="14">
                  <c:v>2778.0017063895025</c:v>
                </c:pt>
                <c:pt idx="15">
                  <c:v>3889.202388945303</c:v>
                </c:pt>
                <c:pt idx="16">
                  <c:v>5444.8833445234241</c:v>
                </c:pt>
                <c:pt idx="17">
                  <c:v>7622.8366823327933</c:v>
                </c:pt>
                <c:pt idx="18">
                  <c:v>10671.97135526591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0F6-45EF-8F02-D35ADBB8DCD1}"/>
            </c:ext>
          </c:extLst>
        </c:ser>
        <c:ser>
          <c:idx val="3"/>
          <c:order val="2"/>
          <c:tx>
            <c:strRef>
              <c:f>Revenue_Profit_Balance!$L$16</c:f>
              <c:strCache>
                <c:ptCount val="1"/>
                <c:pt idx="0">
                  <c:v>Community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Revenue_Profit_Balance!$L$17:$L$42</c:f>
              <c:numCache>
                <c:formatCode>0</c:formatCode>
                <c:ptCount val="26"/>
                <c:pt idx="0">
                  <c:v>35</c:v>
                </c:pt>
                <c:pt idx="1">
                  <c:v>45.5</c:v>
                </c:pt>
                <c:pt idx="2">
                  <c:v>59.15</c:v>
                </c:pt>
                <c:pt idx="3">
                  <c:v>76.894999999999996</c:v>
                </c:pt>
                <c:pt idx="4">
                  <c:v>99.963499999999996</c:v>
                </c:pt>
                <c:pt idx="5">
                  <c:v>129.95255</c:v>
                </c:pt>
                <c:pt idx="6">
                  <c:v>168.93831500000002</c:v>
                </c:pt>
                <c:pt idx="7">
                  <c:v>219.61980950000003</c:v>
                </c:pt>
                <c:pt idx="8">
                  <c:v>285.50575235000002</c:v>
                </c:pt>
                <c:pt idx="9">
                  <c:v>371.15747805500007</c:v>
                </c:pt>
                <c:pt idx="10">
                  <c:v>482.50472147150009</c:v>
                </c:pt>
                <c:pt idx="11">
                  <c:v>627.25613791295018</c:v>
                </c:pt>
                <c:pt idx="12">
                  <c:v>815.43297928683523</c:v>
                </c:pt>
                <c:pt idx="13">
                  <c:v>1060.0628730728858</c:v>
                </c:pt>
                <c:pt idx="14">
                  <c:v>1378.0817349947517</c:v>
                </c:pt>
                <c:pt idx="15">
                  <c:v>1791.5062554931774</c:v>
                </c:pt>
                <c:pt idx="16">
                  <c:v>2328.9581321411306</c:v>
                </c:pt>
                <c:pt idx="17">
                  <c:v>3027.6455717834697</c:v>
                </c:pt>
                <c:pt idx="18">
                  <c:v>3935.9392433185108</c:v>
                </c:pt>
                <c:pt idx="19">
                  <c:v>5116.7210163140644</c:v>
                </c:pt>
                <c:pt idx="20">
                  <c:v>6651.7373212082839</c:v>
                </c:pt>
                <c:pt idx="21">
                  <c:v>8647.25851757077</c:v>
                </c:pt>
                <c:pt idx="22">
                  <c:v>11241.436072842002</c:v>
                </c:pt>
                <c:pt idx="23">
                  <c:v>14613.866894694602</c:v>
                </c:pt>
                <c:pt idx="24">
                  <c:v>18998.026963102984</c:v>
                </c:pt>
                <c:pt idx="25">
                  <c:v>24697.435052033881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0F6-45EF-8F02-D35ADBB8DCD1}"/>
            </c:ext>
          </c:extLst>
        </c:ser>
        <c:ser>
          <c:idx val="4"/>
          <c:order val="3"/>
          <c:tx>
            <c:strRef>
              <c:f>Revenue_Profit_Balance!$Q$16</c:f>
              <c:strCache>
                <c:ptCount val="1"/>
                <c:pt idx="0">
                  <c:v>Community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Revenue_Profit_Balance!$Q$17:$Q$49</c:f>
              <c:numCache>
                <c:formatCode>0</c:formatCode>
                <c:ptCount val="33"/>
                <c:pt idx="0">
                  <c:v>55</c:v>
                </c:pt>
                <c:pt idx="1">
                  <c:v>66</c:v>
                </c:pt>
                <c:pt idx="2">
                  <c:v>79.2</c:v>
                </c:pt>
                <c:pt idx="3">
                  <c:v>95.04</c:v>
                </c:pt>
                <c:pt idx="4">
                  <c:v>114.048</c:v>
                </c:pt>
                <c:pt idx="5">
                  <c:v>136.85759999999999</c:v>
                </c:pt>
                <c:pt idx="6">
                  <c:v>164.22911999999999</c:v>
                </c:pt>
                <c:pt idx="7">
                  <c:v>197.07494399999999</c:v>
                </c:pt>
                <c:pt idx="8">
                  <c:v>236.48993279999996</c:v>
                </c:pt>
                <c:pt idx="9">
                  <c:v>283.78791935999993</c:v>
                </c:pt>
                <c:pt idx="10">
                  <c:v>340.54550323199993</c:v>
                </c:pt>
                <c:pt idx="11">
                  <c:v>408.65460387839988</c:v>
                </c:pt>
                <c:pt idx="12">
                  <c:v>490.38552465407986</c:v>
                </c:pt>
                <c:pt idx="13">
                  <c:v>588.46262958489581</c:v>
                </c:pt>
                <c:pt idx="14">
                  <c:v>706.1551555018749</c:v>
                </c:pt>
                <c:pt idx="15">
                  <c:v>847.38618660224984</c:v>
                </c:pt>
                <c:pt idx="16">
                  <c:v>1016.8634239226998</c:v>
                </c:pt>
                <c:pt idx="17">
                  <c:v>1220.2361087072397</c:v>
                </c:pt>
                <c:pt idx="18">
                  <c:v>1464.2833304486876</c:v>
                </c:pt>
                <c:pt idx="19">
                  <c:v>1757.1399965384251</c:v>
                </c:pt>
                <c:pt idx="20">
                  <c:v>2108.5679958461101</c:v>
                </c:pt>
                <c:pt idx="21">
                  <c:v>2530.2815950153322</c:v>
                </c:pt>
                <c:pt idx="22">
                  <c:v>3036.3379140183984</c:v>
                </c:pt>
                <c:pt idx="23">
                  <c:v>3643.6054968220778</c:v>
                </c:pt>
                <c:pt idx="24">
                  <c:v>4372.3265961864936</c:v>
                </c:pt>
                <c:pt idx="25">
                  <c:v>5246.7919154237925</c:v>
                </c:pt>
                <c:pt idx="26">
                  <c:v>6296.1502985085508</c:v>
                </c:pt>
                <c:pt idx="27">
                  <c:v>7555.380358210261</c:v>
                </c:pt>
                <c:pt idx="28">
                  <c:v>9066.4564298523128</c:v>
                </c:pt>
                <c:pt idx="29">
                  <c:v>10879.747715822776</c:v>
                </c:pt>
                <c:pt idx="30">
                  <c:v>13055.697258987331</c:v>
                </c:pt>
                <c:pt idx="31">
                  <c:v>15666.836710784797</c:v>
                </c:pt>
                <c:pt idx="32">
                  <c:v>18800.204052941757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0F6-45EF-8F02-D35ADBB8DCD1}"/>
            </c:ext>
          </c:extLst>
        </c:ser>
        <c:ser>
          <c:idx val="5"/>
          <c:order val="4"/>
          <c:tx>
            <c:strRef>
              <c:f>Revenue_Profit_Balance!$V$16</c:f>
              <c:strCache>
                <c:ptCount val="1"/>
                <c:pt idx="0">
                  <c:v>Community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yVal>
            <c:numRef>
              <c:f>Revenue_Profit_Balance!$V$17:$V$53</c:f>
              <c:numCache>
                <c:formatCode>_(* #,##0_);_(* \(#,##0\);_(* "-"??_);_(@_)</c:formatCode>
                <c:ptCount val="37"/>
                <c:pt idx="0">
                  <c:v>100</c:v>
                </c:pt>
                <c:pt idx="1">
                  <c:v>110.00000000000001</c:v>
                </c:pt>
                <c:pt idx="2">
                  <c:v>121.00000000000003</c:v>
                </c:pt>
                <c:pt idx="3">
                  <c:v>133.10000000000005</c:v>
                </c:pt>
                <c:pt idx="4">
                  <c:v>146.41000000000008</c:v>
                </c:pt>
                <c:pt idx="5">
                  <c:v>161.0510000000001</c:v>
                </c:pt>
                <c:pt idx="6">
                  <c:v>177.15610000000012</c:v>
                </c:pt>
                <c:pt idx="7">
                  <c:v>194.87171000000015</c:v>
                </c:pt>
                <c:pt idx="8">
                  <c:v>214.3588810000002</c:v>
                </c:pt>
                <c:pt idx="9">
                  <c:v>235.79476910000022</c:v>
                </c:pt>
                <c:pt idx="10">
                  <c:v>259.37424601000026</c:v>
                </c:pt>
                <c:pt idx="11">
                  <c:v>285.3116706110003</c:v>
                </c:pt>
                <c:pt idx="12">
                  <c:v>313.84283767210036</c:v>
                </c:pt>
                <c:pt idx="13">
                  <c:v>345.22712143931039</c:v>
                </c:pt>
                <c:pt idx="14">
                  <c:v>379.74983358324147</c:v>
                </c:pt>
                <c:pt idx="15">
                  <c:v>417.72481694156562</c:v>
                </c:pt>
                <c:pt idx="16">
                  <c:v>459.49729863572225</c:v>
                </c:pt>
                <c:pt idx="17">
                  <c:v>505.4470284992945</c:v>
                </c:pt>
                <c:pt idx="18">
                  <c:v>555.99173134922398</c:v>
                </c:pt>
                <c:pt idx="19">
                  <c:v>611.59090448414645</c:v>
                </c:pt>
                <c:pt idx="20">
                  <c:v>672.74999493256109</c:v>
                </c:pt>
                <c:pt idx="21">
                  <c:v>740.02499442581723</c:v>
                </c:pt>
                <c:pt idx="22">
                  <c:v>814.02749386839901</c:v>
                </c:pt>
                <c:pt idx="23">
                  <c:v>895.43024325523902</c:v>
                </c:pt>
                <c:pt idx="24">
                  <c:v>984.97326758076304</c:v>
                </c:pt>
                <c:pt idx="25">
                  <c:v>1083.4705943388394</c:v>
                </c:pt>
                <c:pt idx="26">
                  <c:v>1191.8176537727234</c:v>
                </c:pt>
                <c:pt idx="27">
                  <c:v>1310.9994191499959</c:v>
                </c:pt>
                <c:pt idx="28">
                  <c:v>1442.0993610649957</c:v>
                </c:pt>
                <c:pt idx="29">
                  <c:v>1586.3092971714955</c:v>
                </c:pt>
                <c:pt idx="30">
                  <c:v>1744.9402268886452</c:v>
                </c:pt>
                <c:pt idx="31">
                  <c:v>1919.4342495775097</c:v>
                </c:pt>
                <c:pt idx="32">
                  <c:v>2111.3776745352607</c:v>
                </c:pt>
                <c:pt idx="33">
                  <c:v>2322.5154419887867</c:v>
                </c:pt>
                <c:pt idx="34">
                  <c:v>2554.7669861876657</c:v>
                </c:pt>
                <c:pt idx="35">
                  <c:v>2810.2436848064326</c:v>
                </c:pt>
                <c:pt idx="36">
                  <c:v>3091.2680532870763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0F6-45EF-8F02-D35ADBB8DC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5688335"/>
        <c:axId val="638556047"/>
      </c:scatterChart>
      <c:valAx>
        <c:axId val="605688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556047"/>
        <c:crosses val="autoZero"/>
        <c:crossBetween val="midCat"/>
      </c:valAx>
      <c:valAx>
        <c:axId val="638556047"/>
        <c:scaling>
          <c:orientation val="minMax"/>
          <c:max val="5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Engaged</a:t>
                </a:r>
                <a:r>
                  <a:rPr lang="en-US" baseline="0"/>
                  <a:t> Community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6883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2D349C1-18D8-4786-954C-974F753BC510}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10833100" cy="7861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756753-EF22-4C5E-815E-D1CA0F5548B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mailto:rayccpnzn@gmail.com" TargetMode="External"/><Relationship Id="rId1" Type="http://schemas.openxmlformats.org/officeDocument/2006/relationships/hyperlink" Target="mailto:brentonb050@gmail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data.census.gov/cedsci/table?q=S0101&amp;g=1600000USundefined_0500000US09009_0400000US09&amp;tid=ACSST1Y2018.S010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6099F-1EDE-433D-AAEB-0D6FF227F835}">
  <dimension ref="A2:M46"/>
  <sheetViews>
    <sheetView workbookViewId="0">
      <selection activeCell="E10" sqref="E10"/>
    </sheetView>
  </sheetViews>
  <sheetFormatPr defaultRowHeight="14.4" x14ac:dyDescent="0.3"/>
  <cols>
    <col min="1" max="1" width="42.109375" bestFit="1" customWidth="1"/>
    <col min="2" max="2" width="19" bestFit="1" customWidth="1"/>
    <col min="5" max="5" width="12" bestFit="1" customWidth="1"/>
    <col min="6" max="6" width="19" bestFit="1" customWidth="1"/>
    <col min="12" max="12" width="23.33203125" bestFit="1" customWidth="1"/>
    <col min="13" max="13" width="53.88671875" bestFit="1" customWidth="1"/>
  </cols>
  <sheetData>
    <row r="2" spans="1:13" x14ac:dyDescent="0.3">
      <c r="A2" t="s">
        <v>253</v>
      </c>
      <c r="B2" s="4">
        <v>0.13</v>
      </c>
    </row>
    <row r="3" spans="1:13" x14ac:dyDescent="0.3">
      <c r="A3" t="s">
        <v>254</v>
      </c>
      <c r="B3">
        <v>5</v>
      </c>
      <c r="L3" t="s">
        <v>260</v>
      </c>
      <c r="M3" t="s">
        <v>261</v>
      </c>
    </row>
    <row r="4" spans="1:13" x14ac:dyDescent="0.3">
      <c r="A4" t="s">
        <v>255</v>
      </c>
      <c r="B4">
        <v>36</v>
      </c>
      <c r="L4">
        <v>1</v>
      </c>
      <c r="M4" s="4">
        <v>0.45</v>
      </c>
    </row>
    <row r="5" spans="1:13" x14ac:dyDescent="0.3">
      <c r="L5">
        <v>1.5</v>
      </c>
      <c r="M5" s="4">
        <v>0.3</v>
      </c>
    </row>
    <row r="6" spans="1:13" x14ac:dyDescent="0.3">
      <c r="L6">
        <v>2</v>
      </c>
      <c r="M6" s="4">
        <v>0.21</v>
      </c>
    </row>
    <row r="7" spans="1:13" x14ac:dyDescent="0.3">
      <c r="A7" t="s">
        <v>86</v>
      </c>
      <c r="B7">
        <f>B3*(1+(B2/1))^(B4*1)</f>
        <v>407.18706153581047</v>
      </c>
      <c r="F7" t="s">
        <v>259</v>
      </c>
      <c r="G7">
        <f>Gross!J30</f>
        <v>355</v>
      </c>
      <c r="L7">
        <v>2.5</v>
      </c>
      <c r="M7" s="4">
        <v>0.16</v>
      </c>
    </row>
    <row r="8" spans="1:13" x14ac:dyDescent="0.3">
      <c r="L8">
        <v>3</v>
      </c>
      <c r="M8" s="4">
        <v>0.13</v>
      </c>
    </row>
    <row r="9" spans="1:13" x14ac:dyDescent="0.3">
      <c r="A9" t="s">
        <v>252</v>
      </c>
      <c r="B9" t="s">
        <v>256</v>
      </c>
      <c r="F9" t="s">
        <v>252</v>
      </c>
      <c r="G9" t="s">
        <v>258</v>
      </c>
    </row>
    <row r="10" spans="1:13" x14ac:dyDescent="0.3">
      <c r="A10">
        <v>1</v>
      </c>
      <c r="B10" s="20">
        <v>5</v>
      </c>
      <c r="C10" t="s">
        <v>257</v>
      </c>
      <c r="F10">
        <v>1</v>
      </c>
      <c r="G10" s="4">
        <f>($G$7/$B$3)-1</f>
        <v>70</v>
      </c>
    </row>
    <row r="11" spans="1:13" x14ac:dyDescent="0.3">
      <c r="A11">
        <v>2</v>
      </c>
      <c r="B11" s="20">
        <f>B10*(1+$B$2)</f>
        <v>5.6499999999999995</v>
      </c>
      <c r="F11">
        <v>2</v>
      </c>
      <c r="G11" s="4">
        <f>($G$7/B11)-1</f>
        <v>61.83185840707965</v>
      </c>
    </row>
    <row r="12" spans="1:13" x14ac:dyDescent="0.3">
      <c r="A12">
        <v>3</v>
      </c>
      <c r="B12" s="20">
        <f t="shared" ref="B12:B46" si="0">B11*(1+$B$2)</f>
        <v>6.3844999999999992</v>
      </c>
      <c r="F12">
        <v>3</v>
      </c>
      <c r="G12" s="4">
        <f t="shared" ref="G12:G45" si="1">($G$7/B12)-1</f>
        <v>54.60341451953952</v>
      </c>
    </row>
    <row r="13" spans="1:13" x14ac:dyDescent="0.3">
      <c r="A13">
        <v>4</v>
      </c>
      <c r="B13" s="20">
        <f t="shared" si="0"/>
        <v>7.214484999999998</v>
      </c>
      <c r="F13">
        <v>4</v>
      </c>
      <c r="G13" s="4">
        <f t="shared" si="1"/>
        <v>48.206561521716395</v>
      </c>
    </row>
    <row r="14" spans="1:13" x14ac:dyDescent="0.3">
      <c r="A14">
        <v>5</v>
      </c>
      <c r="B14" s="20">
        <f t="shared" si="0"/>
        <v>8.1523680499999962</v>
      </c>
      <c r="F14">
        <v>5</v>
      </c>
      <c r="G14" s="4">
        <f t="shared" si="1"/>
        <v>42.545629665235758</v>
      </c>
    </row>
    <row r="15" spans="1:13" x14ac:dyDescent="0.3">
      <c r="A15">
        <v>6</v>
      </c>
      <c r="B15" s="20">
        <f t="shared" si="0"/>
        <v>9.2121758964999945</v>
      </c>
      <c r="F15">
        <v>6</v>
      </c>
      <c r="G15" s="4">
        <f t="shared" si="1"/>
        <v>37.535955455960853</v>
      </c>
    </row>
    <row r="16" spans="1:13" x14ac:dyDescent="0.3">
      <c r="A16">
        <v>7</v>
      </c>
      <c r="B16" s="20">
        <f t="shared" si="0"/>
        <v>10.409758763044993</v>
      </c>
      <c r="F16">
        <v>7</v>
      </c>
      <c r="G16" s="4">
        <f t="shared" si="1"/>
        <v>33.102615447752967</v>
      </c>
    </row>
    <row r="17" spans="1:7" x14ac:dyDescent="0.3">
      <c r="A17">
        <v>8</v>
      </c>
      <c r="B17" s="20">
        <f t="shared" si="0"/>
        <v>11.763027402240841</v>
      </c>
      <c r="F17">
        <v>8</v>
      </c>
      <c r="G17" s="4">
        <f t="shared" si="1"/>
        <v>29.179305705976081</v>
      </c>
    </row>
    <row r="18" spans="1:7" x14ac:dyDescent="0.3">
      <c r="A18">
        <v>9</v>
      </c>
      <c r="B18" s="20">
        <f t="shared" si="0"/>
        <v>13.292220964532149</v>
      </c>
      <c r="F18">
        <v>9</v>
      </c>
      <c r="G18" s="4">
        <f t="shared" si="1"/>
        <v>25.707350182279718</v>
      </c>
    </row>
    <row r="19" spans="1:7" x14ac:dyDescent="0.3">
      <c r="A19">
        <v>10</v>
      </c>
      <c r="B19" s="20">
        <f t="shared" si="0"/>
        <v>15.020209689921327</v>
      </c>
      <c r="F19">
        <v>10</v>
      </c>
      <c r="G19" s="4">
        <f t="shared" si="1"/>
        <v>22.634823170159045</v>
      </c>
    </row>
    <row r="20" spans="1:7" x14ac:dyDescent="0.3">
      <c r="A20">
        <v>11</v>
      </c>
      <c r="B20" s="20">
        <f t="shared" si="0"/>
        <v>16.972836949611096</v>
      </c>
      <c r="F20">
        <v>11</v>
      </c>
      <c r="G20" s="4">
        <f t="shared" si="1"/>
        <v>19.915772716954912</v>
      </c>
    </row>
    <row r="21" spans="1:7" x14ac:dyDescent="0.3">
      <c r="A21">
        <v>12</v>
      </c>
      <c r="B21" s="20">
        <f t="shared" si="0"/>
        <v>19.179305753060536</v>
      </c>
      <c r="F21">
        <v>12</v>
      </c>
      <c r="G21" s="4">
        <f t="shared" si="1"/>
        <v>17.50953337783621</v>
      </c>
    </row>
    <row r="22" spans="1:7" x14ac:dyDescent="0.3">
      <c r="A22">
        <v>13</v>
      </c>
      <c r="B22" s="20">
        <f t="shared" si="0"/>
        <v>21.672615500958404</v>
      </c>
      <c r="F22">
        <v>13</v>
      </c>
      <c r="G22" s="4">
        <f t="shared" si="1"/>
        <v>15.38011803348337</v>
      </c>
    </row>
    <row r="23" spans="1:7" x14ac:dyDescent="0.3">
      <c r="A23">
        <v>14</v>
      </c>
      <c r="B23" s="20">
        <f t="shared" si="0"/>
        <v>24.490055516082993</v>
      </c>
      <c r="F23">
        <v>14</v>
      </c>
      <c r="G23" s="4">
        <f t="shared" si="1"/>
        <v>13.495679675649003</v>
      </c>
    </row>
    <row r="24" spans="1:7" x14ac:dyDescent="0.3">
      <c r="A24">
        <v>15</v>
      </c>
      <c r="B24" s="20">
        <f t="shared" si="0"/>
        <v>27.673762733173781</v>
      </c>
      <c r="F24">
        <v>15</v>
      </c>
      <c r="G24" s="4">
        <f t="shared" si="1"/>
        <v>11.828035111193808</v>
      </c>
    </row>
    <row r="25" spans="1:7" x14ac:dyDescent="0.3">
      <c r="A25">
        <v>16</v>
      </c>
      <c r="B25" s="20">
        <f t="shared" si="0"/>
        <v>31.271351888486368</v>
      </c>
      <c r="F25">
        <v>16</v>
      </c>
      <c r="G25" s="4">
        <f t="shared" si="1"/>
        <v>10.35224346123346</v>
      </c>
    </row>
    <row r="26" spans="1:7" x14ac:dyDescent="0.3">
      <c r="A26">
        <v>17</v>
      </c>
      <c r="B26" s="20">
        <f t="shared" si="0"/>
        <v>35.336627633989593</v>
      </c>
      <c r="F26">
        <v>17</v>
      </c>
      <c r="G26" s="4">
        <f t="shared" si="1"/>
        <v>9.046233151534036</v>
      </c>
    </row>
    <row r="27" spans="1:7" x14ac:dyDescent="0.3">
      <c r="A27">
        <v>18</v>
      </c>
      <c r="B27" s="20">
        <f t="shared" si="0"/>
        <v>39.930389226408238</v>
      </c>
      <c r="F27">
        <v>18</v>
      </c>
      <c r="G27" s="4">
        <f t="shared" si="1"/>
        <v>7.8904718155168467</v>
      </c>
    </row>
    <row r="28" spans="1:7" x14ac:dyDescent="0.3">
      <c r="A28">
        <v>19</v>
      </c>
      <c r="B28" s="20">
        <f t="shared" si="0"/>
        <v>45.121339825841304</v>
      </c>
      <c r="F28">
        <v>19</v>
      </c>
      <c r="G28" s="4">
        <f t="shared" si="1"/>
        <v>6.8676741730237598</v>
      </c>
    </row>
    <row r="29" spans="1:7" x14ac:dyDescent="0.3">
      <c r="A29">
        <v>20</v>
      </c>
      <c r="B29" s="20">
        <f t="shared" si="0"/>
        <v>50.987114003200666</v>
      </c>
      <c r="F29">
        <v>20</v>
      </c>
      <c r="G29" s="4">
        <f t="shared" si="1"/>
        <v>5.9625435159502302</v>
      </c>
    </row>
    <row r="30" spans="1:7" x14ac:dyDescent="0.3">
      <c r="A30">
        <v>21</v>
      </c>
      <c r="B30" s="20">
        <f t="shared" si="0"/>
        <v>57.615438823616749</v>
      </c>
      <c r="F30">
        <v>21</v>
      </c>
      <c r="G30" s="4">
        <f t="shared" si="1"/>
        <v>5.1615429344692307</v>
      </c>
    </row>
    <row r="31" spans="1:7" x14ac:dyDescent="0.3">
      <c r="A31">
        <v>22</v>
      </c>
      <c r="B31" s="20">
        <f t="shared" si="0"/>
        <v>65.105445870686921</v>
      </c>
      <c r="F31">
        <v>22</v>
      </c>
      <c r="G31" s="4">
        <f t="shared" si="1"/>
        <v>4.4526928623621513</v>
      </c>
    </row>
    <row r="32" spans="1:7" x14ac:dyDescent="0.3">
      <c r="A32">
        <v>23</v>
      </c>
      <c r="B32" s="20">
        <f t="shared" si="0"/>
        <v>73.569153833876214</v>
      </c>
      <c r="F32">
        <v>23</v>
      </c>
      <c r="G32" s="4">
        <f t="shared" si="1"/>
        <v>3.8253919135948253</v>
      </c>
    </row>
    <row r="33" spans="1:7" x14ac:dyDescent="0.3">
      <c r="A33">
        <v>24</v>
      </c>
      <c r="B33" s="20">
        <f t="shared" si="0"/>
        <v>83.133143832280112</v>
      </c>
      <c r="F33">
        <v>24</v>
      </c>
      <c r="G33" s="4">
        <f t="shared" si="1"/>
        <v>3.2702583306148902</v>
      </c>
    </row>
    <row r="34" spans="1:7" x14ac:dyDescent="0.3">
      <c r="A34">
        <v>25</v>
      </c>
      <c r="B34" s="20">
        <f t="shared" si="0"/>
        <v>93.94045253047652</v>
      </c>
      <c r="F34">
        <v>25</v>
      </c>
      <c r="G34" s="4">
        <f t="shared" si="1"/>
        <v>2.7789896731105221</v>
      </c>
    </row>
    <row r="35" spans="1:7" x14ac:dyDescent="0.3">
      <c r="A35">
        <v>26</v>
      </c>
      <c r="B35" s="20">
        <f t="shared" si="0"/>
        <v>106.15271135943846</v>
      </c>
      <c r="F35">
        <v>26</v>
      </c>
      <c r="G35" s="4">
        <f t="shared" si="1"/>
        <v>2.3442386487703741</v>
      </c>
    </row>
    <row r="36" spans="1:7" x14ac:dyDescent="0.3">
      <c r="A36">
        <v>27</v>
      </c>
      <c r="B36" s="20">
        <f t="shared" si="0"/>
        <v>119.95256383616544</v>
      </c>
      <c r="F36">
        <v>27</v>
      </c>
      <c r="G36" s="4">
        <f t="shared" si="1"/>
        <v>1.9595032290003314</v>
      </c>
    </row>
    <row r="37" spans="1:7" x14ac:dyDescent="0.3">
      <c r="A37">
        <v>28</v>
      </c>
      <c r="B37" s="20">
        <f t="shared" si="0"/>
        <v>135.54639713486694</v>
      </c>
      <c r="F37">
        <v>28</v>
      </c>
      <c r="G37" s="4">
        <f t="shared" si="1"/>
        <v>1.6190294061949837</v>
      </c>
    </row>
    <row r="38" spans="1:7" x14ac:dyDescent="0.3">
      <c r="A38">
        <v>29</v>
      </c>
      <c r="B38" s="20">
        <f t="shared" si="0"/>
        <v>153.16742876239962</v>
      </c>
      <c r="F38">
        <v>29</v>
      </c>
      <c r="G38" s="4">
        <f t="shared" si="1"/>
        <v>1.3177251382256494</v>
      </c>
    </row>
    <row r="39" spans="1:7" x14ac:dyDescent="0.3">
      <c r="A39">
        <v>30</v>
      </c>
      <c r="B39" s="20">
        <f t="shared" si="0"/>
        <v>173.07919450151155</v>
      </c>
      <c r="F39">
        <v>30</v>
      </c>
      <c r="G39" s="4">
        <f t="shared" si="1"/>
        <v>1.0510841931200443</v>
      </c>
    </row>
    <row r="40" spans="1:7" x14ac:dyDescent="0.3">
      <c r="A40">
        <v>31</v>
      </c>
      <c r="B40" s="20">
        <f t="shared" si="0"/>
        <v>195.57948978670802</v>
      </c>
      <c r="F40">
        <v>31</v>
      </c>
      <c r="G40" s="4">
        <f t="shared" si="1"/>
        <v>0.81511875497349062</v>
      </c>
    </row>
    <row r="41" spans="1:7" x14ac:dyDescent="0.3">
      <c r="A41">
        <v>32</v>
      </c>
      <c r="B41" s="20">
        <f t="shared" si="0"/>
        <v>221.00482345898004</v>
      </c>
      <c r="F41">
        <v>32</v>
      </c>
      <c r="G41" s="4">
        <f t="shared" si="1"/>
        <v>0.60629978316238131</v>
      </c>
    </row>
    <row r="42" spans="1:7" x14ac:dyDescent="0.3">
      <c r="A42">
        <v>33</v>
      </c>
      <c r="B42" s="20">
        <f t="shared" si="0"/>
        <v>249.73545050864743</v>
      </c>
      <c r="F42">
        <v>33</v>
      </c>
      <c r="G42" s="4">
        <f t="shared" si="1"/>
        <v>0.42150423288706329</v>
      </c>
    </row>
    <row r="43" spans="1:7" x14ac:dyDescent="0.3">
      <c r="A43">
        <v>34</v>
      </c>
      <c r="B43" s="20">
        <f t="shared" si="0"/>
        <v>282.20105907477159</v>
      </c>
      <c r="F43">
        <v>34</v>
      </c>
      <c r="G43" s="4">
        <f t="shared" si="1"/>
        <v>0.25796834768766663</v>
      </c>
    </row>
    <row r="44" spans="1:7" x14ac:dyDescent="0.3">
      <c r="A44">
        <v>35</v>
      </c>
      <c r="B44" s="20">
        <f t="shared" si="0"/>
        <v>318.88719675449187</v>
      </c>
      <c r="F44">
        <v>35</v>
      </c>
      <c r="G44" s="4">
        <f t="shared" si="1"/>
        <v>0.11324632538731572</v>
      </c>
    </row>
    <row r="45" spans="1:7" x14ac:dyDescent="0.3">
      <c r="A45">
        <v>36</v>
      </c>
      <c r="B45" s="20">
        <f t="shared" si="0"/>
        <v>360.34253233257579</v>
      </c>
      <c r="F45">
        <v>36</v>
      </c>
      <c r="G45" s="4">
        <f t="shared" si="1"/>
        <v>-1.4826260719189577E-2</v>
      </c>
    </row>
    <row r="46" spans="1:7" x14ac:dyDescent="0.3">
      <c r="A46">
        <v>37</v>
      </c>
      <c r="B46" s="20">
        <f t="shared" si="0"/>
        <v>407.18706153581059</v>
      </c>
    </row>
  </sheetData>
  <conditionalFormatting sqref="B10:B46">
    <cfRule type="colorScale" priority="1">
      <colorScale>
        <cfvo type="num" val="5"/>
        <cfvo type="num" val="380"/>
        <color rgb="FFF8696B"/>
        <color rgb="FF63BE7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68B3A-A81C-4168-AA3E-DAD4781E4B82}">
  <dimension ref="A1:H18"/>
  <sheetViews>
    <sheetView workbookViewId="0">
      <selection activeCell="C4" sqref="C4"/>
    </sheetView>
  </sheetViews>
  <sheetFormatPr defaultRowHeight="14.4" x14ac:dyDescent="0.3"/>
  <cols>
    <col min="1" max="1" width="33.33203125" bestFit="1" customWidth="1"/>
    <col min="2" max="2" width="12.5546875" style="1" bestFit="1" customWidth="1"/>
    <col min="3" max="3" width="27" bestFit="1" customWidth="1"/>
  </cols>
  <sheetData>
    <row r="1" spans="1:8" x14ac:dyDescent="0.3">
      <c r="B1" s="1" t="s">
        <v>38</v>
      </c>
    </row>
    <row r="2" spans="1:8" x14ac:dyDescent="0.3">
      <c r="C2" t="s">
        <v>250</v>
      </c>
      <c r="D2" t="s">
        <v>251</v>
      </c>
      <c r="G2" t="s">
        <v>342</v>
      </c>
      <c r="H2" t="s">
        <v>343</v>
      </c>
    </row>
    <row r="3" spans="1:8" x14ac:dyDescent="0.3">
      <c r="A3" t="s">
        <v>213</v>
      </c>
      <c r="B3" s="1">
        <v>50000</v>
      </c>
      <c r="G3" s="7">
        <f>B3/51</f>
        <v>980.39215686274508</v>
      </c>
      <c r="H3" s="7">
        <f>G3/40</f>
        <v>24.509803921568626</v>
      </c>
    </row>
    <row r="4" spans="1:8" x14ac:dyDescent="0.3">
      <c r="A4" t="s">
        <v>89</v>
      </c>
      <c r="B4" s="1">
        <v>45000</v>
      </c>
      <c r="G4" s="7">
        <f>B4/51</f>
        <v>882.35294117647061</v>
      </c>
      <c r="H4" s="7">
        <f t="shared" ref="H4" si="0">G4/40</f>
        <v>22.058823529411764</v>
      </c>
    </row>
    <row r="5" spans="1:8" x14ac:dyDescent="0.3">
      <c r="A5" t="s">
        <v>234</v>
      </c>
      <c r="B5" s="1">
        <v>18000</v>
      </c>
      <c r="G5" s="7">
        <f>B5/51</f>
        <v>352.94117647058823</v>
      </c>
      <c r="H5" s="7">
        <f>G5/16</f>
        <v>22.058823529411764</v>
      </c>
    </row>
    <row r="6" spans="1:8" x14ac:dyDescent="0.3">
      <c r="A6" t="s">
        <v>249</v>
      </c>
      <c r="B6" s="1">
        <f>C6*D6</f>
        <v>1800</v>
      </c>
      <c r="C6">
        <v>3</v>
      </c>
      <c r="D6">
        <v>600</v>
      </c>
    </row>
    <row r="8" spans="1:8" x14ac:dyDescent="0.3">
      <c r="A8" t="s">
        <v>43</v>
      </c>
      <c r="B8" s="1">
        <f>SUM(B2:B6)</f>
        <v>114800</v>
      </c>
    </row>
    <row r="11" spans="1:8" x14ac:dyDescent="0.3">
      <c r="A11" t="s">
        <v>93</v>
      </c>
      <c r="B11" s="1">
        <f>B8/52</f>
        <v>2207.6923076923076</v>
      </c>
    </row>
    <row r="12" spans="1:8" x14ac:dyDescent="0.3">
      <c r="A12" t="s">
        <v>94</v>
      </c>
      <c r="B12" s="1">
        <f>B8/26</f>
        <v>4415.3846153846152</v>
      </c>
    </row>
    <row r="13" spans="1:8" x14ac:dyDescent="0.3">
      <c r="A13" t="s">
        <v>105</v>
      </c>
      <c r="B13" s="1">
        <f>B12*2</f>
        <v>8830.7692307692305</v>
      </c>
    </row>
    <row r="18" spans="1:2" x14ac:dyDescent="0.3">
      <c r="A18" t="s">
        <v>341</v>
      </c>
      <c r="B18" s="1">
        <f>B8*0.5</f>
        <v>57400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2D85A-4F0C-4E7C-B387-6C1D4414D45A}">
  <dimension ref="A1:C13"/>
  <sheetViews>
    <sheetView workbookViewId="0">
      <selection activeCell="A14" sqref="A14"/>
    </sheetView>
  </sheetViews>
  <sheetFormatPr defaultRowHeight="14.4" x14ac:dyDescent="0.3"/>
  <cols>
    <col min="1" max="1" width="21.77734375" bestFit="1" customWidth="1"/>
    <col min="2" max="2" width="31.5546875" bestFit="1" customWidth="1"/>
    <col min="3" max="3" width="11.109375" bestFit="1" customWidth="1"/>
  </cols>
  <sheetData>
    <row r="1" spans="1:3" x14ac:dyDescent="0.3">
      <c r="A1" t="s">
        <v>325</v>
      </c>
    </row>
    <row r="2" spans="1:3" x14ac:dyDescent="0.3">
      <c r="A2" t="s">
        <v>327</v>
      </c>
      <c r="B2" t="s">
        <v>326</v>
      </c>
      <c r="C2" t="s">
        <v>58</v>
      </c>
    </row>
    <row r="3" spans="1:3" x14ac:dyDescent="0.3">
      <c r="A3" t="s">
        <v>133</v>
      </c>
      <c r="B3" t="str">
        <f>Kitchen!A2</f>
        <v>granite counter tops per sq foot</v>
      </c>
      <c r="C3" s="7">
        <f>Kitchen!G2</f>
        <v>5325</v>
      </c>
    </row>
    <row r="4" spans="1:3" x14ac:dyDescent="0.3">
      <c r="B4" t="str">
        <f>Kitchen!A3</f>
        <v>counter installation</v>
      </c>
      <c r="C4" s="7">
        <f>Kitchen!G3</f>
        <v>8000</v>
      </c>
    </row>
    <row r="5" spans="1:3" x14ac:dyDescent="0.3">
      <c r="B5" t="str">
        <f>Kitchen!A4</f>
        <v>double basin sinks</v>
      </c>
      <c r="C5" s="7">
        <f>Kitchen!G4</f>
        <v>1200</v>
      </c>
    </row>
    <row r="6" spans="1:3" x14ac:dyDescent="0.3">
      <c r="B6" t="str">
        <f>Kitchen!A5</f>
        <v>Electrical outlets</v>
      </c>
      <c r="C6" s="7">
        <f>Kitchen!G5</f>
        <v>200</v>
      </c>
    </row>
    <row r="7" spans="1:3" x14ac:dyDescent="0.3">
      <c r="B7" t="str">
        <f>Kitchen!A6</f>
        <v>sink installation and plumbing</v>
      </c>
      <c r="C7" s="7">
        <f>Kitchen!G6</f>
        <v>4000</v>
      </c>
    </row>
    <row r="9" spans="1:3" x14ac:dyDescent="0.3">
      <c r="A9" t="s">
        <v>130</v>
      </c>
      <c r="B9" t="str">
        <f>Dance_Studio!A3</f>
        <v>sprung wood flooring per square feet</v>
      </c>
      <c r="C9" s="7">
        <f>Dance_Studio!D3</f>
        <v>13500</v>
      </c>
    </row>
    <row r="10" spans="1:3" x14ac:dyDescent="0.3">
      <c r="B10" t="str">
        <f>Dance_Studio!A6</f>
        <v>mirror</v>
      </c>
      <c r="C10" s="7">
        <f>Dance_Studio!D6</f>
        <v>3000</v>
      </c>
    </row>
    <row r="13" spans="1:3" x14ac:dyDescent="0.3">
      <c r="A13" t="s">
        <v>43</v>
      </c>
      <c r="C13" s="7">
        <f>SUM(C3:C11)</f>
        <v>35225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8F79C-848E-45C7-B440-BCF016365DF9}">
  <dimension ref="A1:D12"/>
  <sheetViews>
    <sheetView workbookViewId="0">
      <selection activeCell="E10" sqref="E10"/>
    </sheetView>
  </sheetViews>
  <sheetFormatPr defaultRowHeight="14.4" x14ac:dyDescent="0.3"/>
  <cols>
    <col min="1" max="1" width="49.6640625" bestFit="1" customWidth="1"/>
    <col min="2" max="2" width="15" style="1" bestFit="1" customWidth="1"/>
    <col min="3" max="3" width="15.33203125" customWidth="1"/>
    <col min="4" max="4" width="11.33203125" bestFit="1" customWidth="1"/>
  </cols>
  <sheetData>
    <row r="1" spans="1:4" x14ac:dyDescent="0.3">
      <c r="B1" s="1" t="s">
        <v>40</v>
      </c>
      <c r="C1" t="s">
        <v>37</v>
      </c>
      <c r="D1" t="s">
        <v>39</v>
      </c>
    </row>
    <row r="2" spans="1:4" x14ac:dyDescent="0.3">
      <c r="A2" t="s">
        <v>35</v>
      </c>
      <c r="B2" s="1">
        <v>1600</v>
      </c>
      <c r="C2">
        <v>10</v>
      </c>
      <c r="D2" s="7">
        <f>B2*C2</f>
        <v>16000</v>
      </c>
    </row>
    <row r="3" spans="1:4" x14ac:dyDescent="0.3">
      <c r="A3" t="s">
        <v>36</v>
      </c>
      <c r="B3" s="1">
        <v>115</v>
      </c>
      <c r="C3">
        <v>12</v>
      </c>
      <c r="D3" s="7">
        <f t="shared" ref="D3:D8" si="0">B3*C3</f>
        <v>1380</v>
      </c>
    </row>
    <row r="4" spans="1:4" x14ac:dyDescent="0.3">
      <c r="A4" t="s">
        <v>215</v>
      </c>
      <c r="B4" s="1">
        <v>100</v>
      </c>
      <c r="C4">
        <f>C3</f>
        <v>12</v>
      </c>
      <c r="D4" s="7">
        <f>B4*C4</f>
        <v>1200</v>
      </c>
    </row>
    <row r="5" spans="1:4" x14ac:dyDescent="0.3">
      <c r="A5" t="s">
        <v>42</v>
      </c>
      <c r="B5" s="1">
        <v>500</v>
      </c>
      <c r="C5">
        <v>1</v>
      </c>
      <c r="D5" s="7">
        <f t="shared" si="0"/>
        <v>500</v>
      </c>
    </row>
    <row r="6" spans="1:4" x14ac:dyDescent="0.3">
      <c r="A6" t="s">
        <v>41</v>
      </c>
      <c r="B6" s="1">
        <v>100</v>
      </c>
      <c r="C6">
        <v>1</v>
      </c>
      <c r="D6" s="7">
        <f t="shared" si="0"/>
        <v>100</v>
      </c>
    </row>
    <row r="7" spans="1:4" x14ac:dyDescent="0.3">
      <c r="A7" t="s">
        <v>50</v>
      </c>
      <c r="B7" s="1">
        <v>200</v>
      </c>
      <c r="C7">
        <v>1</v>
      </c>
      <c r="D7" s="7">
        <f t="shared" si="0"/>
        <v>200</v>
      </c>
    </row>
    <row r="8" spans="1:4" x14ac:dyDescent="0.3">
      <c r="A8" t="s">
        <v>214</v>
      </c>
      <c r="B8" s="1">
        <v>300</v>
      </c>
      <c r="C8">
        <v>1</v>
      </c>
      <c r="D8" s="7">
        <f t="shared" si="0"/>
        <v>300</v>
      </c>
    </row>
    <row r="12" spans="1:4" x14ac:dyDescent="0.3">
      <c r="A12" t="s">
        <v>43</v>
      </c>
      <c r="D12" s="7">
        <f>SUM(D2:D8)</f>
        <v>19680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A9098-80F9-4D65-B579-EC820EC08891}">
  <dimension ref="A1:C23"/>
  <sheetViews>
    <sheetView workbookViewId="0">
      <selection activeCell="C24" sqref="C24"/>
    </sheetView>
  </sheetViews>
  <sheetFormatPr defaultRowHeight="14.4" x14ac:dyDescent="0.3"/>
  <cols>
    <col min="1" max="1" width="14.6640625" bestFit="1" customWidth="1"/>
    <col min="2" max="2" width="62.88671875" bestFit="1" customWidth="1"/>
    <col min="3" max="3" width="11.109375" bestFit="1" customWidth="1"/>
  </cols>
  <sheetData>
    <row r="1" spans="1:3" x14ac:dyDescent="0.3">
      <c r="A1" t="s">
        <v>328</v>
      </c>
    </row>
    <row r="2" spans="1:3" x14ac:dyDescent="0.3">
      <c r="A2" t="s">
        <v>327</v>
      </c>
      <c r="B2" t="s">
        <v>329</v>
      </c>
      <c r="C2" t="s">
        <v>58</v>
      </c>
    </row>
    <row r="3" spans="1:3" x14ac:dyDescent="0.3">
      <c r="B3" t="str">
        <f>Kitchen!A10</f>
        <v>shared kitchen appliances</v>
      </c>
      <c r="C3" s="7">
        <f>Kitchen!G10</f>
        <v>1000</v>
      </c>
    </row>
    <row r="4" spans="1:3" x14ac:dyDescent="0.3">
      <c r="B4" t="str">
        <f>Kitchen!A11</f>
        <v>plates and utensils</v>
      </c>
      <c r="C4" s="7">
        <f>Kitchen!G11</f>
        <v>0</v>
      </c>
    </row>
    <row r="5" spans="1:3" x14ac:dyDescent="0.3">
      <c r="B5" t="str">
        <f>Kitchen!A12</f>
        <v>kitchen shelves</v>
      </c>
      <c r="C5" s="7">
        <f>Kitchen!G12</f>
        <v>600</v>
      </c>
    </row>
    <row r="6" spans="1:3" x14ac:dyDescent="0.3">
      <c r="B6" t="str">
        <f>Kitchen!A13</f>
        <v>stainless steel cookware</v>
      </c>
      <c r="C6" s="7">
        <f>Kitchen!G13</f>
        <v>750</v>
      </c>
    </row>
    <row r="7" spans="1:3" x14ac:dyDescent="0.3">
      <c r="B7" t="str">
        <f>Kitchen!A14</f>
        <v>knives</v>
      </c>
      <c r="C7" s="7">
        <f>Kitchen!G14</f>
        <v>240</v>
      </c>
    </row>
    <row r="8" spans="1:3" x14ac:dyDescent="0.3">
      <c r="B8" t="str">
        <f>Kitchen!A15</f>
        <v>knife sharpener</v>
      </c>
      <c r="C8" s="7">
        <f>Kitchen!G15</f>
        <v>100</v>
      </c>
    </row>
    <row r="10" spans="1:3" x14ac:dyDescent="0.3">
      <c r="A10" t="s">
        <v>130</v>
      </c>
      <c r="B10" t="s">
        <v>332</v>
      </c>
    </row>
    <row r="11" spans="1:3" x14ac:dyDescent="0.3">
      <c r="B11" t="s">
        <v>333</v>
      </c>
    </row>
    <row r="13" spans="1:3" x14ac:dyDescent="0.3">
      <c r="A13" t="s">
        <v>330</v>
      </c>
      <c r="B13" t="str">
        <f>PCs!A5</f>
        <v>Games fund</v>
      </c>
      <c r="C13" s="7">
        <f>PCs!D5</f>
        <v>500</v>
      </c>
    </row>
    <row r="14" spans="1:3" x14ac:dyDescent="0.3">
      <c r="B14" t="str">
        <f>PCs!A6</f>
        <v>Cleaning Supplies</v>
      </c>
      <c r="C14" s="7">
        <f>PCs!D6</f>
        <v>100</v>
      </c>
    </row>
    <row r="15" spans="1:3" x14ac:dyDescent="0.3">
      <c r="B15" t="str">
        <f>PCs!A7</f>
        <v>Wifi</v>
      </c>
      <c r="C15" s="7">
        <f>PCs!D7</f>
        <v>200</v>
      </c>
    </row>
    <row r="17" spans="1:3" x14ac:dyDescent="0.3">
      <c r="A17" t="s">
        <v>331</v>
      </c>
      <c r="B17" t="s">
        <v>340</v>
      </c>
      <c r="C17" s="7"/>
    </row>
    <row r="18" spans="1:3" x14ac:dyDescent="0.3">
      <c r="C18" s="7"/>
    </row>
    <row r="19" spans="1:3" x14ac:dyDescent="0.3">
      <c r="A19" t="s">
        <v>334</v>
      </c>
      <c r="B19" t="str">
        <f>decor!A2</f>
        <v>paint per 1 gal</v>
      </c>
      <c r="C19" s="7">
        <f>decor!K2</f>
        <v>200</v>
      </c>
    </row>
    <row r="20" spans="1:3" x14ac:dyDescent="0.3">
      <c r="B20" t="str">
        <f>decor!A3</f>
        <v>decorations</v>
      </c>
      <c r="C20" s="7">
        <f>decor!K3</f>
        <v>400</v>
      </c>
    </row>
    <row r="21" spans="1:3" x14ac:dyDescent="0.3">
      <c r="B21" t="str">
        <f>decor!A4</f>
        <v>cleaning supplies</v>
      </c>
      <c r="C21" s="7">
        <f>decor!K4</f>
        <v>200</v>
      </c>
    </row>
    <row r="23" spans="1:3" x14ac:dyDescent="0.3">
      <c r="A23" t="s">
        <v>43</v>
      </c>
      <c r="C23" s="7">
        <f>SUM(C3:C21)</f>
        <v>4290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1ED6D-054C-4B7C-A88D-F5493FF873D6}">
  <dimension ref="A1:C21"/>
  <sheetViews>
    <sheetView workbookViewId="0">
      <selection activeCell="C21" sqref="C21"/>
    </sheetView>
  </sheetViews>
  <sheetFormatPr defaultRowHeight="14.4" x14ac:dyDescent="0.3"/>
  <cols>
    <col min="1" max="1" width="18.77734375" bestFit="1" customWidth="1"/>
    <col min="2" max="2" width="35.33203125" bestFit="1" customWidth="1"/>
    <col min="3" max="3" width="11.109375" bestFit="1" customWidth="1"/>
  </cols>
  <sheetData>
    <row r="1" spans="1:3" x14ac:dyDescent="0.3">
      <c r="A1" t="s">
        <v>335</v>
      </c>
    </row>
    <row r="2" spans="1:3" x14ac:dyDescent="0.3">
      <c r="A2" t="s">
        <v>327</v>
      </c>
      <c r="B2" t="s">
        <v>336</v>
      </c>
      <c r="C2" t="s">
        <v>58</v>
      </c>
    </row>
    <row r="4" spans="1:3" x14ac:dyDescent="0.3">
      <c r="A4" t="s">
        <v>133</v>
      </c>
      <c r="B4" t="str">
        <f>Kitchen!A7</f>
        <v>electric induction cooking range and oven</v>
      </c>
      <c r="C4" s="7">
        <f>Kitchen!G7</f>
        <v>4000</v>
      </c>
    </row>
    <row r="5" spans="1:3" x14ac:dyDescent="0.3">
      <c r="B5" t="str">
        <f>Kitchen!A8</f>
        <v>three-door fridge</v>
      </c>
      <c r="C5" s="7">
        <f>Kitchen!G8</f>
        <v>3900</v>
      </c>
    </row>
    <row r="6" spans="1:3" x14ac:dyDescent="0.3">
      <c r="B6" t="str">
        <f>Kitchen!A9</f>
        <v>big dishwasher</v>
      </c>
      <c r="C6" s="7">
        <f>Kitchen!G9</f>
        <v>4000</v>
      </c>
    </row>
    <row r="7" spans="1:3" x14ac:dyDescent="0.3">
      <c r="C7" s="7"/>
    </row>
    <row r="8" spans="1:3" x14ac:dyDescent="0.3">
      <c r="A8" t="s">
        <v>130</v>
      </c>
      <c r="B8" t="s">
        <v>338</v>
      </c>
      <c r="C8" s="7"/>
    </row>
    <row r="9" spans="1:3" x14ac:dyDescent="0.3">
      <c r="B9" t="s">
        <v>339</v>
      </c>
    </row>
    <row r="11" spans="1:3" x14ac:dyDescent="0.3">
      <c r="A11" t="s">
        <v>337</v>
      </c>
      <c r="B11" t="str">
        <f>'Eating Area'!A3</f>
        <v>chairs</v>
      </c>
      <c r="C11" s="7">
        <f>'Eating Area'!F3</f>
        <v>1000</v>
      </c>
    </row>
    <row r="12" spans="1:3" x14ac:dyDescent="0.3">
      <c r="B12" t="str">
        <f>'Eating Area'!A4</f>
        <v>8 seater tables</v>
      </c>
      <c r="C12" s="7">
        <f>'Eating Area'!F4</f>
        <v>800</v>
      </c>
    </row>
    <row r="13" spans="1:3" x14ac:dyDescent="0.3">
      <c r="B13" t="str">
        <f>'Eating Area'!A5</f>
        <v>4 seater tables</v>
      </c>
      <c r="C13" s="7">
        <f>'Eating Area'!F5</f>
        <v>800</v>
      </c>
    </row>
    <row r="14" spans="1:3" x14ac:dyDescent="0.3">
      <c r="B14" t="str">
        <f>'Eating Area'!A6</f>
        <v>2 seater tables</v>
      </c>
      <c r="C14" s="7">
        <f>'Eating Area'!F6</f>
        <v>600</v>
      </c>
    </row>
    <row r="16" spans="1:3" x14ac:dyDescent="0.3">
      <c r="A16" t="s">
        <v>330</v>
      </c>
      <c r="B16" t="str">
        <f>PCs!A2</f>
        <v>per PC, accessories, and software</v>
      </c>
      <c r="C16" s="7">
        <f>PCs!D2</f>
        <v>16000</v>
      </c>
    </row>
    <row r="17" spans="1:3" x14ac:dyDescent="0.3">
      <c r="B17" t="str">
        <f>PCs!A3</f>
        <v>long table, fits three PCs, 3x8 ft^2 design</v>
      </c>
      <c r="C17" s="7">
        <f>PCs!D3</f>
        <v>1380</v>
      </c>
    </row>
    <row r="18" spans="1:3" x14ac:dyDescent="0.3">
      <c r="B18" t="str">
        <f>PCs!A4</f>
        <v>Comfy office chairs</v>
      </c>
      <c r="C18" s="7">
        <f>PCs!D4</f>
        <v>1200</v>
      </c>
    </row>
    <row r="19" spans="1:3" x14ac:dyDescent="0.3">
      <c r="B19" t="str">
        <f>PCs!A8</f>
        <v>White board and markers</v>
      </c>
      <c r="C19" s="7">
        <f>PCs!D8</f>
        <v>300</v>
      </c>
    </row>
    <row r="21" spans="1:3" x14ac:dyDescent="0.3">
      <c r="A21" t="s">
        <v>43</v>
      </c>
      <c r="C21" s="7">
        <f>SUM(C4:C20)</f>
        <v>33980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7EBCF-A6A9-4054-90A6-E709ADB7E2B5}">
  <dimension ref="A1:G8"/>
  <sheetViews>
    <sheetView workbookViewId="0">
      <selection activeCell="J6" sqref="J6"/>
    </sheetView>
  </sheetViews>
  <sheetFormatPr defaultRowHeight="14.4" x14ac:dyDescent="0.3"/>
  <cols>
    <col min="1" max="1" width="33.6640625" bestFit="1" customWidth="1"/>
    <col min="2" max="2" width="8.88671875" style="1"/>
    <col min="3" max="3" width="10.6640625" bestFit="1" customWidth="1"/>
    <col min="4" max="4" width="11.33203125" bestFit="1" customWidth="1"/>
  </cols>
  <sheetData>
    <row r="1" spans="1:7" x14ac:dyDescent="0.3">
      <c r="G1" t="s">
        <v>46</v>
      </c>
    </row>
    <row r="2" spans="1:7" x14ac:dyDescent="0.3">
      <c r="B2" s="1" t="s">
        <v>38</v>
      </c>
      <c r="C2" t="s">
        <v>45</v>
      </c>
      <c r="G2" t="s">
        <v>47</v>
      </c>
    </row>
    <row r="3" spans="1:7" x14ac:dyDescent="0.3">
      <c r="A3" t="s">
        <v>44</v>
      </c>
      <c r="B3" s="1">
        <v>15</v>
      </c>
      <c r="C3">
        <v>900</v>
      </c>
      <c r="D3" s="7">
        <f>C3*B3</f>
        <v>13500</v>
      </c>
      <c r="G3" t="s">
        <v>48</v>
      </c>
    </row>
    <row r="4" spans="1:7" x14ac:dyDescent="0.3">
      <c r="A4" t="s">
        <v>49</v>
      </c>
      <c r="B4" s="1">
        <v>3</v>
      </c>
      <c r="C4">
        <v>900</v>
      </c>
      <c r="D4" s="7">
        <f>C4*B4</f>
        <v>2700</v>
      </c>
      <c r="G4" s="6">
        <v>3</v>
      </c>
    </row>
    <row r="5" spans="1:7" x14ac:dyDescent="0.3">
      <c r="A5" t="s">
        <v>78</v>
      </c>
      <c r="D5" s="1">
        <v>5000</v>
      </c>
    </row>
    <row r="6" spans="1:7" x14ac:dyDescent="0.3">
      <c r="A6" t="s">
        <v>218</v>
      </c>
      <c r="D6" s="1">
        <v>3000</v>
      </c>
    </row>
    <row r="8" spans="1:7" x14ac:dyDescent="0.3">
      <c r="A8" t="s">
        <v>219</v>
      </c>
      <c r="D8" s="7">
        <f>D3+D6</f>
        <v>16500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0605D-AE6F-456E-B5FE-7223BF3283FD}">
  <dimension ref="A1:G18"/>
  <sheetViews>
    <sheetView workbookViewId="0">
      <selection activeCell="B10" sqref="B10"/>
    </sheetView>
  </sheetViews>
  <sheetFormatPr defaultRowHeight="14.4" x14ac:dyDescent="0.3"/>
  <cols>
    <col min="1" max="1" width="37.6640625" bestFit="1" customWidth="1"/>
    <col min="2" max="2" width="10.5546875" style="1" bestFit="1" customWidth="1"/>
    <col min="3" max="3" width="22.44140625" bestFit="1" customWidth="1"/>
    <col min="4" max="4" width="20" bestFit="1" customWidth="1"/>
    <col min="5" max="5" width="20.109375" bestFit="1" customWidth="1"/>
    <col min="6" max="6" width="21.33203125" bestFit="1" customWidth="1"/>
    <col min="7" max="7" width="11.5546875" bestFit="1" customWidth="1"/>
  </cols>
  <sheetData>
    <row r="1" spans="1:7" x14ac:dyDescent="0.3">
      <c r="B1" s="1" t="s">
        <v>38</v>
      </c>
      <c r="C1" t="s">
        <v>56</v>
      </c>
      <c r="D1" t="s">
        <v>57</v>
      </c>
      <c r="E1" t="s">
        <v>59</v>
      </c>
      <c r="F1" t="s">
        <v>55</v>
      </c>
      <c r="G1" t="s">
        <v>58</v>
      </c>
    </row>
    <row r="2" spans="1:7" x14ac:dyDescent="0.3">
      <c r="A2" t="s">
        <v>242</v>
      </c>
      <c r="B2" s="1">
        <v>55</v>
      </c>
      <c r="C2">
        <v>1</v>
      </c>
      <c r="D2">
        <f>5*5</f>
        <v>25</v>
      </c>
      <c r="E2">
        <v>400</v>
      </c>
      <c r="F2">
        <v>3</v>
      </c>
      <c r="G2" s="7">
        <f>(PRODUCT(B2:D2) +E2)*F2</f>
        <v>5325</v>
      </c>
    </row>
    <row r="3" spans="1:7" x14ac:dyDescent="0.3">
      <c r="A3" t="s">
        <v>216</v>
      </c>
      <c r="B3" s="1">
        <v>2000</v>
      </c>
      <c r="C3">
        <v>4</v>
      </c>
      <c r="G3" s="7">
        <f>B3*C3</f>
        <v>8000</v>
      </c>
    </row>
    <row r="4" spans="1:7" x14ac:dyDescent="0.3">
      <c r="A4" t="s">
        <v>60</v>
      </c>
      <c r="B4" s="1">
        <v>300</v>
      </c>
      <c r="C4">
        <v>4</v>
      </c>
      <c r="G4" s="7">
        <f>B4*C4</f>
        <v>1200</v>
      </c>
    </row>
    <row r="5" spans="1:7" x14ac:dyDescent="0.3">
      <c r="A5" t="s">
        <v>51</v>
      </c>
      <c r="B5" s="1">
        <v>50</v>
      </c>
      <c r="C5">
        <v>4</v>
      </c>
      <c r="G5" s="7">
        <f t="shared" ref="G5:G9" si="0">B5*C5</f>
        <v>200</v>
      </c>
    </row>
    <row r="6" spans="1:7" x14ac:dyDescent="0.3">
      <c r="A6" t="s">
        <v>52</v>
      </c>
      <c r="B6" s="1">
        <v>1000</v>
      </c>
      <c r="C6">
        <v>4</v>
      </c>
      <c r="G6" s="7">
        <f t="shared" si="0"/>
        <v>4000</v>
      </c>
    </row>
    <row r="7" spans="1:7" x14ac:dyDescent="0.3">
      <c r="A7" t="s">
        <v>300</v>
      </c>
      <c r="B7" s="1">
        <v>1000</v>
      </c>
      <c r="C7">
        <v>4</v>
      </c>
      <c r="G7" s="7">
        <f t="shared" si="0"/>
        <v>4000</v>
      </c>
    </row>
    <row r="8" spans="1:7" x14ac:dyDescent="0.3">
      <c r="A8" t="s">
        <v>241</v>
      </c>
      <c r="B8" s="1">
        <v>3900</v>
      </c>
      <c r="C8">
        <v>1</v>
      </c>
      <c r="G8" s="7">
        <f t="shared" si="0"/>
        <v>3900</v>
      </c>
    </row>
    <row r="9" spans="1:7" x14ac:dyDescent="0.3">
      <c r="A9" t="s">
        <v>301</v>
      </c>
      <c r="B9" s="1">
        <v>4000</v>
      </c>
      <c r="C9">
        <v>1</v>
      </c>
      <c r="G9" s="7">
        <f t="shared" si="0"/>
        <v>4000</v>
      </c>
    </row>
    <row r="10" spans="1:7" x14ac:dyDescent="0.3">
      <c r="A10" t="s">
        <v>53</v>
      </c>
      <c r="B10" s="1">
        <v>1000</v>
      </c>
      <c r="C10">
        <v>1</v>
      </c>
      <c r="G10" s="7">
        <f t="shared" ref="G10:G15" si="1">B10*C10</f>
        <v>1000</v>
      </c>
    </row>
    <row r="11" spans="1:7" x14ac:dyDescent="0.3">
      <c r="A11" t="s">
        <v>54</v>
      </c>
      <c r="B11" s="1">
        <v>0</v>
      </c>
      <c r="C11">
        <v>1</v>
      </c>
      <c r="G11" s="7">
        <f t="shared" si="1"/>
        <v>0</v>
      </c>
    </row>
    <row r="12" spans="1:7" x14ac:dyDescent="0.3">
      <c r="A12" t="s">
        <v>61</v>
      </c>
      <c r="B12" s="1">
        <v>100</v>
      </c>
      <c r="C12">
        <v>6</v>
      </c>
      <c r="G12" s="7">
        <f t="shared" si="1"/>
        <v>600</v>
      </c>
    </row>
    <row r="13" spans="1:7" x14ac:dyDescent="0.3">
      <c r="A13" t="s">
        <v>63</v>
      </c>
      <c r="B13" s="1">
        <v>250</v>
      </c>
      <c r="C13">
        <v>3</v>
      </c>
      <c r="G13" s="7">
        <f t="shared" si="1"/>
        <v>750</v>
      </c>
    </row>
    <row r="14" spans="1:7" x14ac:dyDescent="0.3">
      <c r="A14" t="s">
        <v>64</v>
      </c>
      <c r="B14" s="1">
        <v>80</v>
      </c>
      <c r="C14">
        <v>3</v>
      </c>
      <c r="G14" s="7">
        <f t="shared" si="1"/>
        <v>240</v>
      </c>
    </row>
    <row r="15" spans="1:7" x14ac:dyDescent="0.3">
      <c r="A15" t="s">
        <v>240</v>
      </c>
      <c r="B15" s="1">
        <v>100</v>
      </c>
      <c r="C15">
        <v>1</v>
      </c>
      <c r="G15" s="7">
        <f t="shared" si="1"/>
        <v>100</v>
      </c>
    </row>
    <row r="18" spans="1:7" x14ac:dyDescent="0.3">
      <c r="A18" t="s">
        <v>43</v>
      </c>
      <c r="G18" s="7">
        <f>SUM(G2:G15)</f>
        <v>33315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6F18DE-64EC-418D-B15A-DB7866B424E3}">
  <dimension ref="A1:B7"/>
  <sheetViews>
    <sheetView workbookViewId="0">
      <selection activeCell="A8" sqref="A8"/>
    </sheetView>
  </sheetViews>
  <sheetFormatPr defaultRowHeight="14.4" x14ac:dyDescent="0.3"/>
  <cols>
    <col min="1" max="1" width="32.88671875" bestFit="1" customWidth="1"/>
  </cols>
  <sheetData>
    <row r="1" spans="1:2" x14ac:dyDescent="0.3">
      <c r="B1" t="s">
        <v>58</v>
      </c>
    </row>
    <row r="2" spans="1:2" x14ac:dyDescent="0.3">
      <c r="A2" t="s">
        <v>66</v>
      </c>
      <c r="B2" s="1">
        <v>100</v>
      </c>
    </row>
    <row r="3" spans="1:2" x14ac:dyDescent="0.3">
      <c r="A3" t="s">
        <v>65</v>
      </c>
      <c r="B3" s="1">
        <v>50</v>
      </c>
    </row>
    <row r="7" spans="1:2" x14ac:dyDescent="0.3">
      <c r="A7" t="s">
        <v>43</v>
      </c>
      <c r="B7" s="7">
        <f>B2+B3</f>
        <v>150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D3AE5-3953-4739-93F6-EFB9BCC1B4E0}">
  <dimension ref="A2:F10"/>
  <sheetViews>
    <sheetView workbookViewId="0">
      <selection activeCell="F9" sqref="F9"/>
    </sheetView>
  </sheetViews>
  <sheetFormatPr defaultRowHeight="14.4" x14ac:dyDescent="0.3"/>
  <cols>
    <col min="1" max="1" width="26.44140625" customWidth="1"/>
    <col min="3" max="3" width="15.88671875" bestFit="1" customWidth="1"/>
    <col min="4" max="4" width="11.33203125" bestFit="1" customWidth="1"/>
    <col min="6" max="6" width="10.5546875" style="1" bestFit="1" customWidth="1"/>
  </cols>
  <sheetData>
    <row r="2" spans="1:6" x14ac:dyDescent="0.3">
      <c r="B2" t="s">
        <v>86</v>
      </c>
      <c r="C2" t="s">
        <v>87</v>
      </c>
      <c r="D2" t="s">
        <v>134</v>
      </c>
      <c r="E2" t="s">
        <v>58</v>
      </c>
      <c r="F2" s="1" t="s">
        <v>43</v>
      </c>
    </row>
    <row r="3" spans="1:6" x14ac:dyDescent="0.3">
      <c r="A3" t="s">
        <v>82</v>
      </c>
      <c r="B3">
        <f>D3</f>
        <v>40</v>
      </c>
      <c r="C3">
        <v>1</v>
      </c>
      <c r="D3">
        <f>SUM(D4:D6)</f>
        <v>40</v>
      </c>
      <c r="E3">
        <v>25</v>
      </c>
      <c r="F3" s="1">
        <f>E3*B3</f>
        <v>1000</v>
      </c>
    </row>
    <row r="4" spans="1:6" x14ac:dyDescent="0.3">
      <c r="A4" t="s">
        <v>83</v>
      </c>
      <c r="B4">
        <v>2</v>
      </c>
      <c r="C4">
        <v>8</v>
      </c>
      <c r="D4">
        <f>C4*B4</f>
        <v>16</v>
      </c>
      <c r="E4">
        <v>400</v>
      </c>
      <c r="F4" s="1">
        <f>E4*B4</f>
        <v>800</v>
      </c>
    </row>
    <row r="5" spans="1:6" x14ac:dyDescent="0.3">
      <c r="A5" t="s">
        <v>84</v>
      </c>
      <c r="B5">
        <v>4</v>
      </c>
      <c r="C5">
        <v>4</v>
      </c>
      <c r="D5">
        <f t="shared" ref="D5:D6" si="0">C5*B5</f>
        <v>16</v>
      </c>
      <c r="E5">
        <v>200</v>
      </c>
      <c r="F5" s="1">
        <f>E5*B5</f>
        <v>800</v>
      </c>
    </row>
    <row r="6" spans="1:6" x14ac:dyDescent="0.3">
      <c r="A6" t="s">
        <v>85</v>
      </c>
      <c r="B6">
        <v>4</v>
      </c>
      <c r="C6">
        <v>2</v>
      </c>
      <c r="D6">
        <f t="shared" si="0"/>
        <v>8</v>
      </c>
      <c r="E6">
        <v>150</v>
      </c>
      <c r="F6" s="1">
        <f>E6*B6</f>
        <v>600</v>
      </c>
    </row>
    <row r="10" spans="1:6" x14ac:dyDescent="0.3">
      <c r="A10" t="s">
        <v>43</v>
      </c>
      <c r="F10" s="1">
        <f>SUM(F3:F6)</f>
        <v>3200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A6F31-02C3-4DB3-8520-6CC51B52F01A}">
  <dimension ref="A1:K7"/>
  <sheetViews>
    <sheetView workbookViewId="0">
      <selection activeCell="H12" sqref="H12"/>
    </sheetView>
  </sheetViews>
  <sheetFormatPr defaultRowHeight="14.4" x14ac:dyDescent="0.3"/>
  <cols>
    <col min="1" max="1" width="16.44140625" bestFit="1" customWidth="1"/>
    <col min="3" max="3" width="31.5546875" bestFit="1" customWidth="1"/>
    <col min="4" max="4" width="22.5546875" bestFit="1" customWidth="1"/>
    <col min="5" max="5" width="19.33203125" bestFit="1" customWidth="1"/>
    <col min="6" max="6" width="17.6640625" bestFit="1" customWidth="1"/>
    <col min="7" max="7" width="15.6640625" bestFit="1" customWidth="1"/>
    <col min="8" max="8" width="10.33203125" bestFit="1" customWidth="1"/>
    <col min="9" max="9" width="10.5546875" bestFit="1" customWidth="1"/>
    <col min="10" max="10" width="17.44140625" bestFit="1" customWidth="1"/>
    <col min="11" max="11" width="9.109375" style="1"/>
  </cols>
  <sheetData>
    <row r="1" spans="1:11" x14ac:dyDescent="0.3">
      <c r="B1" t="s">
        <v>58</v>
      </c>
      <c r="C1" t="s">
        <v>69</v>
      </c>
      <c r="D1" t="s">
        <v>70</v>
      </c>
      <c r="E1" t="s">
        <v>67</v>
      </c>
      <c r="F1" t="s">
        <v>71</v>
      </c>
      <c r="G1" t="s">
        <v>72</v>
      </c>
      <c r="H1" t="s">
        <v>73</v>
      </c>
      <c r="I1" t="s">
        <v>74</v>
      </c>
      <c r="J1" t="s">
        <v>75</v>
      </c>
      <c r="K1" s="1" t="s">
        <v>43</v>
      </c>
    </row>
    <row r="2" spans="1:11" x14ac:dyDescent="0.3">
      <c r="A2" t="s">
        <v>68</v>
      </c>
      <c r="B2">
        <v>20</v>
      </c>
      <c r="C2">
        <f>D2*G2</f>
        <v>3500</v>
      </c>
      <c r="D2">
        <f>I2*H2</f>
        <v>1000</v>
      </c>
      <c r="E2">
        <v>350</v>
      </c>
      <c r="F2">
        <f>D2/E2</f>
        <v>2.8571428571428572</v>
      </c>
      <c r="G2">
        <v>3.5</v>
      </c>
      <c r="H2">
        <v>100</v>
      </c>
      <c r="I2">
        <v>10</v>
      </c>
      <c r="J2">
        <f>C2/E2</f>
        <v>10</v>
      </c>
      <c r="K2" s="1">
        <f>B2*J2</f>
        <v>200</v>
      </c>
    </row>
    <row r="3" spans="1:11" x14ac:dyDescent="0.3">
      <c r="A3" t="s">
        <v>62</v>
      </c>
      <c r="K3" s="1">
        <v>400</v>
      </c>
    </row>
    <row r="4" spans="1:11" x14ac:dyDescent="0.3">
      <c r="A4" t="s">
        <v>79</v>
      </c>
      <c r="K4" s="1">
        <v>200</v>
      </c>
    </row>
    <row r="7" spans="1:11" x14ac:dyDescent="0.3">
      <c r="A7" t="s">
        <v>43</v>
      </c>
      <c r="K7" s="1">
        <f>SUM(K2:K4)</f>
        <v>800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7438C7-F562-43B8-A4F8-A402353A65B3}">
  <dimension ref="A1:Y53"/>
  <sheetViews>
    <sheetView topLeftCell="A4" zoomScaleNormal="100" workbookViewId="0">
      <selection activeCell="E24" sqref="E24"/>
    </sheetView>
  </sheetViews>
  <sheetFormatPr defaultRowHeight="14.4" x14ac:dyDescent="0.3"/>
  <cols>
    <col min="1" max="1" width="48" bestFit="1" customWidth="1"/>
    <col min="2" max="2" width="16.21875" bestFit="1" customWidth="1"/>
    <col min="3" max="4" width="17.44140625" bestFit="1" customWidth="1"/>
    <col min="5" max="5" width="18.33203125" customWidth="1"/>
    <col min="7" max="7" width="14" bestFit="1" customWidth="1"/>
    <col min="8" max="8" width="15.88671875" style="21" customWidth="1"/>
    <col min="9" max="9" width="16" bestFit="1" customWidth="1"/>
    <col min="10" max="10" width="17.77734375" customWidth="1"/>
    <col min="12" max="12" width="14" bestFit="1" customWidth="1"/>
    <col min="13" max="13" width="15.21875" style="21" bestFit="1" customWidth="1"/>
    <col min="14" max="14" width="14.88671875" bestFit="1" customWidth="1"/>
    <col min="15" max="15" width="16.109375" customWidth="1"/>
    <col min="17" max="17" width="14" bestFit="1" customWidth="1"/>
    <col min="18" max="18" width="13.88671875" style="7" bestFit="1" customWidth="1"/>
    <col min="19" max="20" width="13.88671875" bestFit="1" customWidth="1"/>
    <col min="22" max="22" width="14" bestFit="1" customWidth="1"/>
    <col min="23" max="23" width="14" style="7" bestFit="1" customWidth="1"/>
    <col min="24" max="24" width="11.88671875" bestFit="1" customWidth="1"/>
    <col min="25" max="25" width="14" bestFit="1" customWidth="1"/>
  </cols>
  <sheetData>
    <row r="1" spans="1:25" x14ac:dyDescent="0.3">
      <c r="A1" t="s">
        <v>277</v>
      </c>
      <c r="B1" s="15">
        <f>Key_Assumptions_draft!G7</f>
        <v>355</v>
      </c>
      <c r="D1" s="30" t="s">
        <v>268</v>
      </c>
    </row>
    <row r="2" spans="1:25" x14ac:dyDescent="0.3">
      <c r="A2" t="s">
        <v>282</v>
      </c>
      <c r="B2" s="15">
        <f>Gross!N30</f>
        <v>600</v>
      </c>
      <c r="C2" t="s">
        <v>294</v>
      </c>
      <c r="D2" s="30" t="s">
        <v>269</v>
      </c>
    </row>
    <row r="3" spans="1:25" x14ac:dyDescent="0.3">
      <c r="A3" t="s">
        <v>273</v>
      </c>
      <c r="B3" s="16">
        <f>Overhead!B15/12</f>
        <v>29997.222222222223</v>
      </c>
      <c r="D3" s="30" t="s">
        <v>281</v>
      </c>
    </row>
    <row r="4" spans="1:25" x14ac:dyDescent="0.3">
      <c r="A4" t="s">
        <v>271</v>
      </c>
      <c r="B4" s="16">
        <f>Overhead!B18</f>
        <v>179983.33333333334</v>
      </c>
      <c r="D4" s="30" t="s">
        <v>270</v>
      </c>
    </row>
    <row r="5" spans="1:25" x14ac:dyDescent="0.3">
      <c r="B5" t="s">
        <v>272</v>
      </c>
      <c r="D5" s="30" t="s">
        <v>284</v>
      </c>
    </row>
    <row r="6" spans="1:25" x14ac:dyDescent="0.3">
      <c r="D6" s="30" t="s">
        <v>296</v>
      </c>
    </row>
    <row r="8" spans="1:25" x14ac:dyDescent="0.3">
      <c r="A8" t="s">
        <v>299</v>
      </c>
    </row>
    <row r="13" spans="1:25" x14ac:dyDescent="0.3">
      <c r="A13" t="s">
        <v>267</v>
      </c>
      <c r="B13" s="32">
        <v>0.5</v>
      </c>
      <c r="G13" s="32">
        <v>0.4</v>
      </c>
      <c r="L13" s="32">
        <v>0.3</v>
      </c>
      <c r="Q13" s="32">
        <v>0.2</v>
      </c>
      <c r="V13" s="32">
        <v>0.1</v>
      </c>
    </row>
    <row r="14" spans="1:25" x14ac:dyDescent="0.3">
      <c r="A14" t="s">
        <v>285</v>
      </c>
      <c r="B14" s="33">
        <f>B17</f>
        <v>15</v>
      </c>
      <c r="G14" s="33">
        <f>G17</f>
        <v>25</v>
      </c>
      <c r="L14" s="33">
        <f>L17</f>
        <v>35</v>
      </c>
      <c r="Q14" s="33">
        <f>Q17</f>
        <v>55</v>
      </c>
      <c r="V14" s="34">
        <f>V17</f>
        <v>100</v>
      </c>
    </row>
    <row r="15" spans="1:25" x14ac:dyDescent="0.3">
      <c r="A15" t="s">
        <v>283</v>
      </c>
      <c r="B15" s="31">
        <v>9</v>
      </c>
      <c r="G15" s="31">
        <v>9</v>
      </c>
      <c r="L15" s="31">
        <v>10</v>
      </c>
      <c r="Q15" s="31">
        <v>11</v>
      </c>
      <c r="V15" s="31">
        <v>12</v>
      </c>
    </row>
    <row r="16" spans="1:25" x14ac:dyDescent="0.3">
      <c r="A16" t="s">
        <v>252</v>
      </c>
      <c r="B16" s="9" t="s">
        <v>4</v>
      </c>
      <c r="C16" t="s">
        <v>274</v>
      </c>
      <c r="D16" t="s">
        <v>275</v>
      </c>
      <c r="E16" t="s">
        <v>276</v>
      </c>
      <c r="G16" t="s">
        <v>4</v>
      </c>
      <c r="H16" t="s">
        <v>274</v>
      </c>
      <c r="I16" t="s">
        <v>275</v>
      </c>
      <c r="J16" t="s">
        <v>276</v>
      </c>
      <c r="L16" t="s">
        <v>4</v>
      </c>
      <c r="M16" t="s">
        <v>274</v>
      </c>
      <c r="N16" t="s">
        <v>275</v>
      </c>
      <c r="O16" t="s">
        <v>276</v>
      </c>
      <c r="Q16" t="s">
        <v>4</v>
      </c>
      <c r="R16" t="s">
        <v>274</v>
      </c>
      <c r="S16" t="s">
        <v>275</v>
      </c>
      <c r="T16" t="s">
        <v>276</v>
      </c>
      <c r="V16" t="s">
        <v>4</v>
      </c>
      <c r="W16" t="s">
        <v>274</v>
      </c>
      <c r="X16" t="s">
        <v>275</v>
      </c>
      <c r="Y16" t="s">
        <v>276</v>
      </c>
    </row>
    <row r="17" spans="1:25" x14ac:dyDescent="0.3">
      <c r="A17">
        <v>1</v>
      </c>
      <c r="B17" s="20">
        <v>15</v>
      </c>
      <c r="C17" s="7">
        <f>B17*Gross!$L$27</f>
        <v>1347.2000000000005</v>
      </c>
      <c r="D17" s="7">
        <f t="shared" ref="D17:D53" si="0">C17-$B$3</f>
        <v>-28650.022222222222</v>
      </c>
      <c r="E17" s="7">
        <f>D17</f>
        <v>-28650.022222222222</v>
      </c>
      <c r="G17" s="20">
        <v>25</v>
      </c>
      <c r="H17" s="21">
        <f>G17*Gross!$L$27</f>
        <v>2245.3333333333339</v>
      </c>
      <c r="I17" s="7">
        <f t="shared" ref="I17:I53" si="1">H17-$B$3</f>
        <v>-27751.888888888891</v>
      </c>
      <c r="J17" s="7">
        <f>I17</f>
        <v>-27751.888888888891</v>
      </c>
      <c r="L17" s="20">
        <v>35</v>
      </c>
      <c r="M17" s="21">
        <f>L17*Gross!$L$27</f>
        <v>3143.4666666666676</v>
      </c>
      <c r="N17" s="7">
        <f t="shared" ref="N17:N53" si="2">M17-$B$3</f>
        <v>-26853.755555555555</v>
      </c>
      <c r="O17" s="7">
        <f>N17</f>
        <v>-26853.755555555555</v>
      </c>
      <c r="Q17" s="20">
        <v>55</v>
      </c>
      <c r="R17" s="7">
        <f>Q17*Gross!$L$27</f>
        <v>4939.7333333333345</v>
      </c>
      <c r="S17" s="7">
        <f t="shared" ref="S17:S53" si="3">R17-$B$3</f>
        <v>-25057.488888888889</v>
      </c>
      <c r="T17" s="7">
        <f>S17</f>
        <v>-25057.488888888889</v>
      </c>
      <c r="V17" s="11">
        <v>100</v>
      </c>
      <c r="W17" s="7">
        <f>V17*Gross!$L$27</f>
        <v>8981.3333333333358</v>
      </c>
      <c r="X17" s="7">
        <f t="shared" ref="X17:X53" si="4">W17-$B$3</f>
        <v>-21015.888888888887</v>
      </c>
      <c r="Y17" s="7">
        <f>X17</f>
        <v>-21015.888888888887</v>
      </c>
    </row>
    <row r="18" spans="1:25" x14ac:dyDescent="0.3">
      <c r="A18">
        <v>2</v>
      </c>
      <c r="B18" s="20">
        <f t="shared" ref="B18:B53" si="5">B17*(1+$B$13)</f>
        <v>22.5</v>
      </c>
      <c r="C18" s="7">
        <f>B18*Gross!$L$27</f>
        <v>2020.8000000000006</v>
      </c>
      <c r="D18" s="7">
        <f t="shared" si="0"/>
        <v>-27976.422222222223</v>
      </c>
      <c r="E18" s="7">
        <f>E17+D18</f>
        <v>-56626.444444444445</v>
      </c>
      <c r="G18" s="20">
        <f t="shared" ref="G18:G53" si="6">G17*(1+$G$13)</f>
        <v>35</v>
      </c>
      <c r="H18" s="21">
        <f>G18*Gross!$L$27</f>
        <v>3143.4666666666676</v>
      </c>
      <c r="I18" s="7">
        <f t="shared" si="1"/>
        <v>-26853.755555555555</v>
      </c>
      <c r="J18" s="7">
        <f>J17+I18</f>
        <v>-54605.64444444445</v>
      </c>
      <c r="L18" s="20">
        <f t="shared" ref="L18:L53" si="7">L17*(1+$L$13)</f>
        <v>45.5</v>
      </c>
      <c r="M18" s="21">
        <f>L18*Gross!$L$27</f>
        <v>4086.506666666668</v>
      </c>
      <c r="N18" s="7">
        <f t="shared" si="2"/>
        <v>-25910.715555555555</v>
      </c>
      <c r="O18" s="7">
        <f>O17+N18</f>
        <v>-52764.47111111111</v>
      </c>
      <c r="Q18" s="20">
        <f t="shared" ref="Q18:Q53" si="8">Q17*(1+$Q$13)</f>
        <v>66</v>
      </c>
      <c r="R18" s="7">
        <f>Q18*Gross!$L$27</f>
        <v>5927.6800000000021</v>
      </c>
      <c r="S18" s="7">
        <f t="shared" si="3"/>
        <v>-24069.542222222219</v>
      </c>
      <c r="T18" s="7">
        <f>T17+S18</f>
        <v>-49127.031111111108</v>
      </c>
      <c r="V18" s="11">
        <f t="shared" ref="V18:V53" si="9">V17*(1+$V$13)</f>
        <v>110.00000000000001</v>
      </c>
      <c r="W18" s="7">
        <f>V18*Gross!$L$27</f>
        <v>9879.4666666666708</v>
      </c>
      <c r="X18" s="7">
        <f t="shared" si="4"/>
        <v>-20117.755555555552</v>
      </c>
      <c r="Y18" s="7">
        <f>Y17+X18</f>
        <v>-41133.644444444435</v>
      </c>
    </row>
    <row r="19" spans="1:25" x14ac:dyDescent="0.3">
      <c r="A19">
        <v>3</v>
      </c>
      <c r="B19" s="20">
        <f t="shared" si="5"/>
        <v>33.75</v>
      </c>
      <c r="C19" s="7">
        <f>B19*Gross!$L$27</f>
        <v>3031.2000000000007</v>
      </c>
      <c r="D19" s="7">
        <f t="shared" si="0"/>
        <v>-26966.022222222222</v>
      </c>
      <c r="E19" s="7">
        <f t="shared" ref="E19:E53" si="10">E18+D19</f>
        <v>-83592.466666666674</v>
      </c>
      <c r="G19" s="20">
        <f t="shared" si="6"/>
        <v>49</v>
      </c>
      <c r="H19" s="21">
        <f>G19*Gross!$L$27</f>
        <v>4400.8533333333344</v>
      </c>
      <c r="I19" s="7">
        <f t="shared" si="1"/>
        <v>-25596.368888888886</v>
      </c>
      <c r="J19" s="7">
        <f t="shared" ref="J19:J53" si="11">J18+I19</f>
        <v>-80202.013333333336</v>
      </c>
      <c r="L19" s="20">
        <f t="shared" si="7"/>
        <v>59.15</v>
      </c>
      <c r="M19" s="21">
        <f>L19*Gross!$L$27</f>
        <v>5312.4586666666683</v>
      </c>
      <c r="N19" s="7">
        <f t="shared" si="2"/>
        <v>-24684.763555555553</v>
      </c>
      <c r="O19" s="7">
        <f t="shared" ref="O19:O53" si="12">O18+N19</f>
        <v>-77449.234666666656</v>
      </c>
      <c r="Q19" s="20">
        <f t="shared" si="8"/>
        <v>79.2</v>
      </c>
      <c r="R19" s="7">
        <f>Q19*Gross!$L$27</f>
        <v>7113.2160000000022</v>
      </c>
      <c r="S19" s="7">
        <f t="shared" si="3"/>
        <v>-22884.006222222219</v>
      </c>
      <c r="T19" s="7">
        <f t="shared" ref="T19:T53" si="13">T18+S19</f>
        <v>-72011.037333333326</v>
      </c>
      <c r="V19" s="11">
        <f t="shared" si="9"/>
        <v>121.00000000000003</v>
      </c>
      <c r="W19" s="7">
        <f>V19*Gross!$L$27</f>
        <v>10867.413333333339</v>
      </c>
      <c r="X19" s="7">
        <f t="shared" si="4"/>
        <v>-19129.808888888881</v>
      </c>
      <c r="Y19" s="7">
        <f t="shared" ref="Y19:Y53" si="14">Y18+X19</f>
        <v>-60263.453333333317</v>
      </c>
    </row>
    <row r="20" spans="1:25" x14ac:dyDescent="0.3">
      <c r="A20">
        <v>4</v>
      </c>
      <c r="B20" s="20">
        <f t="shared" si="5"/>
        <v>50.625</v>
      </c>
      <c r="C20" s="7">
        <f>B20*Gross!$L$27</f>
        <v>4546.8000000000011</v>
      </c>
      <c r="D20" s="7">
        <f t="shared" si="0"/>
        <v>-25450.422222222223</v>
      </c>
      <c r="E20" s="7">
        <f t="shared" si="10"/>
        <v>-109042.88888888891</v>
      </c>
      <c r="G20" s="20">
        <f t="shared" si="6"/>
        <v>68.599999999999994</v>
      </c>
      <c r="H20" s="21">
        <f>G20*Gross!$L$27</f>
        <v>6161.1946666666681</v>
      </c>
      <c r="I20" s="7">
        <f t="shared" si="1"/>
        <v>-23836.027555555556</v>
      </c>
      <c r="J20" s="7">
        <f t="shared" si="11"/>
        <v>-104038.04088888889</v>
      </c>
      <c r="L20" s="20">
        <f t="shared" si="7"/>
        <v>76.894999999999996</v>
      </c>
      <c r="M20" s="21">
        <f>L20*Gross!$L$27</f>
        <v>6906.1962666666686</v>
      </c>
      <c r="N20" s="7">
        <f t="shared" si="2"/>
        <v>-23091.025955555553</v>
      </c>
      <c r="O20" s="7">
        <f t="shared" si="12"/>
        <v>-100540.26062222221</v>
      </c>
      <c r="Q20" s="20">
        <f t="shared" si="8"/>
        <v>95.04</v>
      </c>
      <c r="R20" s="7">
        <f>Q20*Gross!$L$27</f>
        <v>8535.8592000000026</v>
      </c>
      <c r="S20" s="7">
        <f t="shared" si="3"/>
        <v>-21461.36302222222</v>
      </c>
      <c r="T20" s="7">
        <f t="shared" si="13"/>
        <v>-93472.400355555554</v>
      </c>
      <c r="V20" s="11">
        <f t="shared" si="9"/>
        <v>133.10000000000005</v>
      </c>
      <c r="W20" s="7">
        <f>V20*Gross!$L$27</f>
        <v>11954.154666666675</v>
      </c>
      <c r="X20" s="7">
        <f t="shared" si="4"/>
        <v>-18043.06755555555</v>
      </c>
      <c r="Y20" s="7">
        <f t="shared" si="14"/>
        <v>-78306.520888888859</v>
      </c>
    </row>
    <row r="21" spans="1:25" x14ac:dyDescent="0.3">
      <c r="A21">
        <v>5</v>
      </c>
      <c r="B21" s="20">
        <f t="shared" si="5"/>
        <v>75.9375</v>
      </c>
      <c r="C21" s="7">
        <f>B21*Gross!$L$27</f>
        <v>6820.2000000000025</v>
      </c>
      <c r="D21" s="7">
        <f t="shared" si="0"/>
        <v>-23177.022222222222</v>
      </c>
      <c r="E21" s="7">
        <f t="shared" si="10"/>
        <v>-132219.91111111111</v>
      </c>
      <c r="G21" s="20">
        <f t="shared" si="6"/>
        <v>96.039999999999992</v>
      </c>
      <c r="H21" s="21">
        <f>G21*Gross!$L$27</f>
        <v>8625.6725333333361</v>
      </c>
      <c r="I21" s="7">
        <f t="shared" si="1"/>
        <v>-21371.549688888888</v>
      </c>
      <c r="J21" s="7">
        <f t="shared" si="11"/>
        <v>-125409.59057777778</v>
      </c>
      <c r="L21" s="20">
        <f t="shared" si="7"/>
        <v>99.963499999999996</v>
      </c>
      <c r="M21" s="21">
        <f>L21*Gross!$L$27</f>
        <v>8978.0551466666693</v>
      </c>
      <c r="N21" s="7">
        <f t="shared" si="2"/>
        <v>-21019.167075555553</v>
      </c>
      <c r="O21" s="7">
        <f t="shared" si="12"/>
        <v>-121559.42769777776</v>
      </c>
      <c r="Q21" s="20">
        <f t="shared" si="8"/>
        <v>114.048</v>
      </c>
      <c r="R21" s="7">
        <f>Q21*Gross!$L$27</f>
        <v>10243.031040000003</v>
      </c>
      <c r="S21" s="7">
        <f t="shared" si="3"/>
        <v>-19754.191182222217</v>
      </c>
      <c r="T21" s="7">
        <f t="shared" si="13"/>
        <v>-113226.59153777777</v>
      </c>
      <c r="V21" s="11">
        <f t="shared" si="9"/>
        <v>146.41000000000008</v>
      </c>
      <c r="W21" s="7">
        <f>V21*Gross!$L$27</f>
        <v>13149.570133333345</v>
      </c>
      <c r="X21" s="7">
        <f t="shared" si="4"/>
        <v>-16847.652088888877</v>
      </c>
      <c r="Y21" s="7">
        <f t="shared" si="14"/>
        <v>-95154.172977777736</v>
      </c>
    </row>
    <row r="22" spans="1:25" s="22" customFormat="1" x14ac:dyDescent="0.3">
      <c r="A22" s="22">
        <v>6</v>
      </c>
      <c r="B22" s="23">
        <f t="shared" si="5"/>
        <v>113.90625</v>
      </c>
      <c r="C22" s="24">
        <f>B22*Gross!$L$27</f>
        <v>10230.300000000003</v>
      </c>
      <c r="D22" s="24">
        <f t="shared" si="0"/>
        <v>-19766.92222222222</v>
      </c>
      <c r="E22" s="24">
        <f t="shared" si="10"/>
        <v>-151986.83333333334</v>
      </c>
      <c r="G22" s="23">
        <f t="shared" si="6"/>
        <v>134.45599999999999</v>
      </c>
      <c r="H22" s="24">
        <f>G22*Gross!$L$27</f>
        <v>12075.941546666669</v>
      </c>
      <c r="I22" s="24">
        <f t="shared" si="1"/>
        <v>-17921.280675555554</v>
      </c>
      <c r="J22" s="24">
        <f t="shared" si="11"/>
        <v>-143330.87125333335</v>
      </c>
      <c r="L22" s="23">
        <f t="shared" si="7"/>
        <v>129.95255</v>
      </c>
      <c r="M22" s="24">
        <f>L22*Gross!$L$27</f>
        <v>11671.471690666671</v>
      </c>
      <c r="N22" s="24">
        <f t="shared" si="2"/>
        <v>-18325.750531555554</v>
      </c>
      <c r="O22" s="24">
        <f t="shared" si="12"/>
        <v>-139885.17822933331</v>
      </c>
      <c r="Q22" s="23">
        <f t="shared" si="8"/>
        <v>136.85759999999999</v>
      </c>
      <c r="R22" s="24">
        <f>Q22*Gross!$L$27</f>
        <v>12291.637248000003</v>
      </c>
      <c r="S22" s="24">
        <f t="shared" si="3"/>
        <v>-17705.58497422222</v>
      </c>
      <c r="T22" s="24">
        <f t="shared" si="13"/>
        <v>-130932.17651199999</v>
      </c>
      <c r="V22" s="25">
        <f t="shared" si="9"/>
        <v>161.0510000000001</v>
      </c>
      <c r="W22" s="24">
        <f>V22*Gross!$L$27</f>
        <v>14464.52714666668</v>
      </c>
      <c r="X22" s="24">
        <f t="shared" si="4"/>
        <v>-15532.695075555543</v>
      </c>
      <c r="Y22" s="24">
        <f t="shared" si="14"/>
        <v>-110686.86805333328</v>
      </c>
    </row>
    <row r="23" spans="1:25" x14ac:dyDescent="0.3">
      <c r="A23">
        <v>7</v>
      </c>
      <c r="B23" s="20">
        <f t="shared" si="5"/>
        <v>170.859375</v>
      </c>
      <c r="C23" s="7">
        <f>B23*Gross!$L$27</f>
        <v>15345.450000000004</v>
      </c>
      <c r="D23" s="7">
        <f t="shared" si="0"/>
        <v>-14651.772222222218</v>
      </c>
      <c r="E23" s="7">
        <f t="shared" si="10"/>
        <v>-166638.60555555555</v>
      </c>
      <c r="G23" s="20">
        <f t="shared" si="6"/>
        <v>188.23839999999998</v>
      </c>
      <c r="H23" s="21">
        <f>G23*Gross!$L$27</f>
        <v>16906.318165333338</v>
      </c>
      <c r="I23" s="7">
        <f t="shared" si="1"/>
        <v>-13090.904056888885</v>
      </c>
      <c r="J23" s="7">
        <f t="shared" si="11"/>
        <v>-156421.77531022223</v>
      </c>
      <c r="L23" s="20">
        <f t="shared" si="7"/>
        <v>168.93831500000002</v>
      </c>
      <c r="M23" s="21">
        <f>L23*Gross!$L$27</f>
        <v>15172.913197866674</v>
      </c>
      <c r="N23" s="7">
        <f t="shared" si="2"/>
        <v>-14824.309024355549</v>
      </c>
      <c r="O23" s="7">
        <f t="shared" si="12"/>
        <v>-154709.48725368886</v>
      </c>
      <c r="Q23" s="20">
        <f t="shared" si="8"/>
        <v>164.22911999999999</v>
      </c>
      <c r="R23" s="7">
        <f>Q23*Gross!$L$27</f>
        <v>14749.964697600004</v>
      </c>
      <c r="S23" s="7">
        <f t="shared" si="3"/>
        <v>-15247.257524622219</v>
      </c>
      <c r="T23" s="7">
        <f t="shared" si="13"/>
        <v>-146179.4340366222</v>
      </c>
      <c r="V23" s="11">
        <f t="shared" si="9"/>
        <v>177.15610000000012</v>
      </c>
      <c r="W23" s="7">
        <f>V23*Gross!$L$27</f>
        <v>15910.97986133335</v>
      </c>
      <c r="X23" s="7">
        <f t="shared" si="4"/>
        <v>-14086.242360888873</v>
      </c>
      <c r="Y23" s="7">
        <f t="shared" si="14"/>
        <v>-124773.11041422216</v>
      </c>
    </row>
    <row r="24" spans="1:25" x14ac:dyDescent="0.3">
      <c r="A24">
        <v>8</v>
      </c>
      <c r="B24" s="20">
        <f t="shared" si="5"/>
        <v>256.2890625</v>
      </c>
      <c r="C24" s="7">
        <f>B24*Gross!$L$27</f>
        <v>23018.175000000007</v>
      </c>
      <c r="D24" s="7">
        <f t="shared" si="0"/>
        <v>-6979.0472222222161</v>
      </c>
      <c r="E24" s="7">
        <f t="shared" si="10"/>
        <v>-173617.65277777775</v>
      </c>
      <c r="G24" s="20">
        <f t="shared" si="6"/>
        <v>263.53375999999997</v>
      </c>
      <c r="H24" s="21">
        <f>G24*Gross!$L$27</f>
        <v>23668.845431466671</v>
      </c>
      <c r="I24" s="7">
        <f t="shared" si="1"/>
        <v>-6328.3767907555521</v>
      </c>
      <c r="J24" s="7">
        <f t="shared" si="11"/>
        <v>-162750.15210097778</v>
      </c>
      <c r="L24" s="20">
        <f t="shared" si="7"/>
        <v>219.61980950000003</v>
      </c>
      <c r="M24" s="21">
        <f>L24*Gross!$L$27</f>
        <v>19724.787157226674</v>
      </c>
      <c r="N24" s="7">
        <f t="shared" si="2"/>
        <v>-10272.435064995549</v>
      </c>
      <c r="O24" s="7">
        <f t="shared" si="12"/>
        <v>-164981.9223186844</v>
      </c>
      <c r="Q24" s="20">
        <f t="shared" si="8"/>
        <v>197.07494399999999</v>
      </c>
      <c r="R24" s="7">
        <f>Q24*Gross!$L$27</f>
        <v>17699.957637120006</v>
      </c>
      <c r="S24" s="7">
        <f t="shared" si="3"/>
        <v>-12297.264585102217</v>
      </c>
      <c r="T24" s="7">
        <f t="shared" si="13"/>
        <v>-158476.69862172441</v>
      </c>
      <c r="V24" s="11">
        <f t="shared" si="9"/>
        <v>194.87171000000015</v>
      </c>
      <c r="W24" s="7">
        <f>V24*Gross!$L$27</f>
        <v>17502.077847466684</v>
      </c>
      <c r="X24" s="7">
        <f t="shared" si="4"/>
        <v>-12495.144374755539</v>
      </c>
      <c r="Y24" s="7">
        <f t="shared" si="14"/>
        <v>-137268.25478897771</v>
      </c>
    </row>
    <row r="25" spans="1:25" x14ac:dyDescent="0.3">
      <c r="A25">
        <v>9</v>
      </c>
      <c r="B25" s="20">
        <f t="shared" si="5"/>
        <v>384.43359375</v>
      </c>
      <c r="C25" s="7">
        <f>B25*Gross!$L$27</f>
        <v>34527.262500000012</v>
      </c>
      <c r="D25" s="7">
        <f t="shared" si="0"/>
        <v>4530.040277777789</v>
      </c>
      <c r="E25" s="7">
        <f t="shared" si="10"/>
        <v>-169087.61249999996</v>
      </c>
      <c r="G25" s="20">
        <f t="shared" si="6"/>
        <v>368.94726399999996</v>
      </c>
      <c r="H25" s="21">
        <f>G25*Gross!$L$27</f>
        <v>33136.383604053342</v>
      </c>
      <c r="I25" s="7">
        <f t="shared" si="1"/>
        <v>3139.1613818311198</v>
      </c>
      <c r="J25" s="7">
        <f t="shared" si="11"/>
        <v>-159610.99071914665</v>
      </c>
      <c r="L25" s="20">
        <f t="shared" si="7"/>
        <v>285.50575235000002</v>
      </c>
      <c r="M25" s="21">
        <f>L25*Gross!$L$27</f>
        <v>25642.223304394676</v>
      </c>
      <c r="N25" s="7">
        <f t="shared" si="2"/>
        <v>-4354.9989178275464</v>
      </c>
      <c r="O25" s="7">
        <f t="shared" si="12"/>
        <v>-169336.92123651196</v>
      </c>
      <c r="Q25" s="20">
        <f t="shared" si="8"/>
        <v>236.48993279999996</v>
      </c>
      <c r="R25" s="7">
        <f>Q25*Gross!$L$27</f>
        <v>21239.949164544003</v>
      </c>
      <c r="S25" s="7">
        <f t="shared" si="3"/>
        <v>-8757.2730576782196</v>
      </c>
      <c r="T25" s="7">
        <f t="shared" si="13"/>
        <v>-167233.97167940263</v>
      </c>
      <c r="V25" s="11">
        <f t="shared" si="9"/>
        <v>214.3588810000002</v>
      </c>
      <c r="W25" s="7">
        <f>V25*Gross!$L$27</f>
        <v>19252.285632213356</v>
      </c>
      <c r="X25" s="7">
        <f t="shared" si="4"/>
        <v>-10744.936590008867</v>
      </c>
      <c r="Y25" s="7">
        <f t="shared" si="14"/>
        <v>-148013.19137898658</v>
      </c>
    </row>
    <row r="26" spans="1:25" x14ac:dyDescent="0.3">
      <c r="A26">
        <v>10</v>
      </c>
      <c r="B26" s="20">
        <f t="shared" si="5"/>
        <v>576.650390625</v>
      </c>
      <c r="C26" s="7">
        <f>B26*Gross!$L$27</f>
        <v>51790.893750000017</v>
      </c>
      <c r="D26" s="7">
        <f t="shared" si="0"/>
        <v>21793.671527777795</v>
      </c>
      <c r="E26" s="7">
        <f t="shared" si="10"/>
        <v>-147293.94097222216</v>
      </c>
      <c r="G26" s="20">
        <f t="shared" si="6"/>
        <v>516.52616959999989</v>
      </c>
      <c r="H26" s="21">
        <f>G26*Gross!$L$27</f>
        <v>46390.937045674669</v>
      </c>
      <c r="I26" s="7">
        <f t="shared" si="1"/>
        <v>16393.714823452447</v>
      </c>
      <c r="J26" s="7">
        <f t="shared" si="11"/>
        <v>-143217.27589569421</v>
      </c>
      <c r="L26" s="20">
        <f t="shared" si="7"/>
        <v>371.15747805500007</v>
      </c>
      <c r="M26" s="21">
        <f>L26*Gross!$L$27</f>
        <v>33334.890295713085</v>
      </c>
      <c r="N26" s="7">
        <f t="shared" si="2"/>
        <v>3337.6680734908623</v>
      </c>
      <c r="O26" s="7">
        <f t="shared" si="12"/>
        <v>-165999.25316302109</v>
      </c>
      <c r="Q26" s="20">
        <f t="shared" si="8"/>
        <v>283.78791935999993</v>
      </c>
      <c r="R26" s="7">
        <f>Q26*Gross!$L$27</f>
        <v>25487.938997452802</v>
      </c>
      <c r="S26" s="7">
        <f t="shared" si="3"/>
        <v>-4509.2832247694205</v>
      </c>
      <c r="T26" s="7">
        <f t="shared" si="13"/>
        <v>-171743.25490417206</v>
      </c>
      <c r="V26" s="11">
        <f t="shared" si="9"/>
        <v>235.79476910000022</v>
      </c>
      <c r="W26" s="7">
        <f>V26*Gross!$L$27</f>
        <v>21177.514195434695</v>
      </c>
      <c r="X26" s="7">
        <f t="shared" si="4"/>
        <v>-8819.7080267875281</v>
      </c>
      <c r="Y26" s="7">
        <f t="shared" si="14"/>
        <v>-156832.89940577411</v>
      </c>
    </row>
    <row r="27" spans="1:25" x14ac:dyDescent="0.3">
      <c r="A27">
        <v>11</v>
      </c>
      <c r="B27" s="20">
        <f t="shared" si="5"/>
        <v>864.9755859375</v>
      </c>
      <c r="C27" s="7">
        <f>B27*Gross!$L$27</f>
        <v>77686.340625000026</v>
      </c>
      <c r="D27" s="7">
        <f t="shared" si="0"/>
        <v>47689.118402777807</v>
      </c>
      <c r="E27" s="7">
        <f t="shared" si="10"/>
        <v>-99604.822569444354</v>
      </c>
      <c r="G27" s="20">
        <f t="shared" si="6"/>
        <v>723.13663743999984</v>
      </c>
      <c r="H27" s="21">
        <f>G27*Gross!$L$27</f>
        <v>64947.311863944538</v>
      </c>
      <c r="I27" s="7">
        <f t="shared" si="1"/>
        <v>34950.089641722312</v>
      </c>
      <c r="J27" s="7">
        <f t="shared" si="11"/>
        <v>-108267.1862539719</v>
      </c>
      <c r="L27" s="20">
        <f t="shared" si="7"/>
        <v>482.50472147150009</v>
      </c>
      <c r="M27" s="21">
        <f>L27*Gross!$L$27</f>
        <v>43335.357384427007</v>
      </c>
      <c r="N27" s="7">
        <f t="shared" si="2"/>
        <v>13338.135162204784</v>
      </c>
      <c r="O27" s="7">
        <f t="shared" si="12"/>
        <v>-152661.11800081629</v>
      </c>
      <c r="Q27" s="20">
        <f t="shared" si="8"/>
        <v>340.54550323199993</v>
      </c>
      <c r="R27" s="7">
        <f>Q27*Gross!$L$27</f>
        <v>30585.526796943363</v>
      </c>
      <c r="S27" s="7">
        <f t="shared" si="3"/>
        <v>588.30457472113994</v>
      </c>
      <c r="T27" s="7">
        <f t="shared" si="13"/>
        <v>-171154.95032945092</v>
      </c>
      <c r="V27" s="11">
        <f t="shared" si="9"/>
        <v>259.37424601000026</v>
      </c>
      <c r="W27" s="7">
        <f>V27*Gross!$L$27</f>
        <v>23295.265614978165</v>
      </c>
      <c r="X27" s="7">
        <f t="shared" si="4"/>
        <v>-6701.9566072440575</v>
      </c>
      <c r="Y27" s="7">
        <f t="shared" si="14"/>
        <v>-163534.85601301817</v>
      </c>
    </row>
    <row r="28" spans="1:25" s="26" customFormat="1" x14ac:dyDescent="0.3">
      <c r="A28" s="26">
        <v>12</v>
      </c>
      <c r="B28" s="27">
        <f t="shared" si="5"/>
        <v>1297.46337890625</v>
      </c>
      <c r="C28" s="28">
        <f>B28*Gross!$L$27</f>
        <v>116529.51093750003</v>
      </c>
      <c r="D28" s="28">
        <f t="shared" si="0"/>
        <v>86532.288715277813</v>
      </c>
      <c r="E28" s="28">
        <f t="shared" si="10"/>
        <v>-13072.533854166541</v>
      </c>
      <c r="G28" s="27">
        <f t="shared" si="6"/>
        <v>1012.3912924159997</v>
      </c>
      <c r="H28" s="28">
        <f>G28*Gross!$L$27</f>
        <v>90926.236609522355</v>
      </c>
      <c r="I28" s="28">
        <f t="shared" si="1"/>
        <v>60929.014387300136</v>
      </c>
      <c r="J28" s="28">
        <f t="shared" si="11"/>
        <v>-47338.171866671764</v>
      </c>
      <c r="L28" s="27">
        <f t="shared" si="7"/>
        <v>627.25613791295018</v>
      </c>
      <c r="M28" s="28">
        <f>L28*Gross!$L$27</f>
        <v>56335.96459975512</v>
      </c>
      <c r="N28" s="28">
        <f t="shared" si="2"/>
        <v>26338.742377532897</v>
      </c>
      <c r="O28" s="28">
        <f t="shared" si="12"/>
        <v>-126322.3756232834</v>
      </c>
      <c r="Q28" s="27">
        <f t="shared" si="8"/>
        <v>408.65460387839988</v>
      </c>
      <c r="R28" s="28">
        <f>Q28*Gross!$L$27</f>
        <v>36702.632156332031</v>
      </c>
      <c r="S28" s="28">
        <f t="shared" si="3"/>
        <v>6705.4099341098081</v>
      </c>
      <c r="T28" s="28">
        <f t="shared" si="13"/>
        <v>-164449.54039534112</v>
      </c>
      <c r="V28" s="29">
        <f t="shared" si="9"/>
        <v>285.3116706110003</v>
      </c>
      <c r="W28" s="28">
        <f>V28*Gross!$L$27</f>
        <v>25624.792176475981</v>
      </c>
      <c r="X28" s="28">
        <f t="shared" si="4"/>
        <v>-4372.4300457462414</v>
      </c>
      <c r="Y28" s="28">
        <f t="shared" si="14"/>
        <v>-167907.28605876441</v>
      </c>
    </row>
    <row r="29" spans="1:25" x14ac:dyDescent="0.3">
      <c r="A29">
        <v>13</v>
      </c>
      <c r="B29" s="20">
        <f t="shared" si="5"/>
        <v>1946.195068359375</v>
      </c>
      <c r="C29" s="7">
        <f>B29*Gross!$L$27</f>
        <v>174794.26640625004</v>
      </c>
      <c r="D29" s="7">
        <f t="shared" si="0"/>
        <v>144797.04418402782</v>
      </c>
      <c r="E29" s="7">
        <f>E28+D29</f>
        <v>131724.51032986128</v>
      </c>
      <c r="G29" s="20">
        <f t="shared" si="6"/>
        <v>1417.3478093823994</v>
      </c>
      <c r="H29" s="21">
        <f>G29*Gross!$L$27</f>
        <v>127296.73125333127</v>
      </c>
      <c r="I29" s="7">
        <f t="shared" si="1"/>
        <v>97299.509031109046</v>
      </c>
      <c r="J29" s="7">
        <f t="shared" si="11"/>
        <v>49961.337164437282</v>
      </c>
      <c r="L29" s="20">
        <f t="shared" si="7"/>
        <v>815.43297928683523</v>
      </c>
      <c r="M29" s="21">
        <f>L29*Gross!$L$27</f>
        <v>73236.753979681656</v>
      </c>
      <c r="N29" s="7">
        <f t="shared" si="2"/>
        <v>43239.531757459437</v>
      </c>
      <c r="O29" s="7">
        <f t="shared" si="12"/>
        <v>-83082.843865823961</v>
      </c>
      <c r="Q29" s="20">
        <f t="shared" si="8"/>
        <v>490.38552465407986</v>
      </c>
      <c r="R29" s="7">
        <f>Q29*Gross!$L$27</f>
        <v>44043.158587598438</v>
      </c>
      <c r="S29" s="7">
        <f t="shared" si="3"/>
        <v>14045.936365376216</v>
      </c>
      <c r="T29" s="7">
        <f t="shared" si="13"/>
        <v>-150403.60402996489</v>
      </c>
      <c r="V29" s="11">
        <f t="shared" si="9"/>
        <v>313.84283767210036</v>
      </c>
      <c r="W29" s="7">
        <f>V29*Gross!$L$27</f>
        <v>28187.271394123582</v>
      </c>
      <c r="X29" s="7">
        <f t="shared" si="4"/>
        <v>-1809.9508280986411</v>
      </c>
      <c r="Y29" s="7">
        <f t="shared" si="14"/>
        <v>-169717.23688686304</v>
      </c>
    </row>
    <row r="30" spans="1:25" x14ac:dyDescent="0.3">
      <c r="A30">
        <v>14</v>
      </c>
      <c r="B30" s="20">
        <f t="shared" si="5"/>
        <v>2919.2926025390625</v>
      </c>
      <c r="C30" s="7">
        <f>B30*Gross!$L$27</f>
        <v>262191.3996093751</v>
      </c>
      <c r="D30" s="7">
        <f t="shared" si="0"/>
        <v>232194.17738715289</v>
      </c>
      <c r="E30" s="7">
        <f t="shared" si="10"/>
        <v>363918.68771701417</v>
      </c>
      <c r="G30" s="20">
        <f t="shared" si="6"/>
        <v>1984.286933135359</v>
      </c>
      <c r="H30" s="21">
        <f>G30*Gross!$L$27</f>
        <v>178215.42375466376</v>
      </c>
      <c r="I30" s="7">
        <f t="shared" si="1"/>
        <v>148218.20153244154</v>
      </c>
      <c r="J30" s="7">
        <f t="shared" si="11"/>
        <v>198179.53869687882</v>
      </c>
      <c r="L30" s="20">
        <f t="shared" si="7"/>
        <v>1060.0628730728858</v>
      </c>
      <c r="M30" s="21">
        <f>L30*Gross!$L$27</f>
        <v>95207.780173586158</v>
      </c>
      <c r="N30" s="7">
        <f t="shared" si="2"/>
        <v>65210.557951363939</v>
      </c>
      <c r="O30" s="7">
        <f t="shared" si="12"/>
        <v>-17872.285914460022</v>
      </c>
      <c r="Q30" s="20">
        <f t="shared" si="8"/>
        <v>588.46262958489581</v>
      </c>
      <c r="R30" s="7">
        <f>Q30*Gross!$L$27</f>
        <v>52851.790305118127</v>
      </c>
      <c r="S30" s="7">
        <f t="shared" si="3"/>
        <v>22854.568082895905</v>
      </c>
      <c r="T30" s="7">
        <f t="shared" si="13"/>
        <v>-127549.03594706899</v>
      </c>
      <c r="V30" s="11">
        <f t="shared" si="9"/>
        <v>345.22712143931039</v>
      </c>
      <c r="W30" s="7">
        <f>V30*Gross!$L$27</f>
        <v>31005.998533535942</v>
      </c>
      <c r="X30" s="7">
        <f t="shared" si="4"/>
        <v>1008.7763113137189</v>
      </c>
      <c r="Y30" s="7">
        <f t="shared" si="14"/>
        <v>-168708.46057554934</v>
      </c>
    </row>
    <row r="31" spans="1:25" x14ac:dyDescent="0.3">
      <c r="A31">
        <v>15</v>
      </c>
      <c r="B31" s="20">
        <f t="shared" si="5"/>
        <v>4378.9389038085938</v>
      </c>
      <c r="C31" s="7">
        <f>B31*Gross!$L$27</f>
        <v>393287.09941406263</v>
      </c>
      <c r="D31" s="7">
        <f t="shared" si="0"/>
        <v>363289.87719184038</v>
      </c>
      <c r="E31" s="7">
        <f t="shared" si="10"/>
        <v>727208.56490885455</v>
      </c>
      <c r="G31" s="20">
        <f t="shared" si="6"/>
        <v>2778.0017063895025</v>
      </c>
      <c r="H31" s="21">
        <f>G31*Gross!$L$27</f>
        <v>249501.59325652925</v>
      </c>
      <c r="I31" s="7">
        <f t="shared" si="1"/>
        <v>219504.37103430703</v>
      </c>
      <c r="J31" s="7">
        <f t="shared" si="11"/>
        <v>417683.90973118588</v>
      </c>
      <c r="L31" s="20">
        <f t="shared" si="7"/>
        <v>1378.0817349947517</v>
      </c>
      <c r="M31" s="21">
        <f>L31*Gross!$L$27</f>
        <v>123770.11422566201</v>
      </c>
      <c r="N31" s="7">
        <f t="shared" si="2"/>
        <v>93772.892003439789</v>
      </c>
      <c r="O31" s="7">
        <f t="shared" si="12"/>
        <v>75900.606088979766</v>
      </c>
      <c r="Q31" s="20">
        <f t="shared" si="8"/>
        <v>706.1551555018749</v>
      </c>
      <c r="R31" s="7">
        <f>Q31*Gross!$L$27</f>
        <v>63422.148366141744</v>
      </c>
      <c r="S31" s="7">
        <f t="shared" si="3"/>
        <v>33424.926143919525</v>
      </c>
      <c r="T31" s="7">
        <f t="shared" si="13"/>
        <v>-94124.109803149462</v>
      </c>
      <c r="V31" s="11">
        <f t="shared" si="9"/>
        <v>379.74983358324147</v>
      </c>
      <c r="W31" s="7">
        <f>V31*Gross!$L$27</f>
        <v>34106.598386889535</v>
      </c>
      <c r="X31" s="7">
        <f t="shared" si="4"/>
        <v>4109.376164667312</v>
      </c>
      <c r="Y31" s="7">
        <f t="shared" si="14"/>
        <v>-164599.08441088203</v>
      </c>
    </row>
    <row r="32" spans="1:25" x14ac:dyDescent="0.3">
      <c r="A32">
        <v>16</v>
      </c>
      <c r="B32" s="20">
        <f t="shared" si="5"/>
        <v>6568.4083557128906</v>
      </c>
      <c r="C32" s="7">
        <f>B32*Gross!$L$27</f>
        <v>589930.64912109391</v>
      </c>
      <c r="D32" s="7">
        <f t="shared" si="0"/>
        <v>559933.42689887166</v>
      </c>
      <c r="E32" s="7">
        <f t="shared" si="10"/>
        <v>1287141.9918077262</v>
      </c>
      <c r="G32" s="20">
        <f t="shared" si="6"/>
        <v>3889.202388945303</v>
      </c>
      <c r="H32" s="21">
        <f>G32*Gross!$L$27</f>
        <v>349302.23055914091</v>
      </c>
      <c r="I32" s="7">
        <f t="shared" si="1"/>
        <v>319305.00833691866</v>
      </c>
      <c r="J32" s="7">
        <f t="shared" si="11"/>
        <v>736988.91806810454</v>
      </c>
      <c r="L32" s="20">
        <f t="shared" si="7"/>
        <v>1791.5062554931774</v>
      </c>
      <c r="M32" s="21">
        <f>L32*Gross!$L$27</f>
        <v>160901.14849336061</v>
      </c>
      <c r="N32" s="7">
        <f t="shared" si="2"/>
        <v>130903.92627113839</v>
      </c>
      <c r="O32" s="7">
        <f t="shared" si="12"/>
        <v>206804.53236011817</v>
      </c>
      <c r="Q32" s="20">
        <f t="shared" si="8"/>
        <v>847.38618660224984</v>
      </c>
      <c r="R32" s="7">
        <f>Q32*Gross!$L$27</f>
        <v>76106.578039370084</v>
      </c>
      <c r="S32" s="7">
        <f t="shared" si="3"/>
        <v>46109.355817147865</v>
      </c>
      <c r="T32" s="7">
        <f t="shared" si="13"/>
        <v>-48014.753986001597</v>
      </c>
      <c r="V32" s="11">
        <f t="shared" si="9"/>
        <v>417.72481694156562</v>
      </c>
      <c r="W32" s="7">
        <f>V32*Gross!$L$27</f>
        <v>37517.258225578495</v>
      </c>
      <c r="X32" s="7">
        <f t="shared" si="4"/>
        <v>7520.036003356272</v>
      </c>
      <c r="Y32" s="7">
        <f t="shared" si="14"/>
        <v>-157079.04840752576</v>
      </c>
    </row>
    <row r="33" spans="1:25" x14ac:dyDescent="0.3">
      <c r="A33">
        <v>17</v>
      </c>
      <c r="B33" s="20">
        <f t="shared" si="5"/>
        <v>9852.6125335693359</v>
      </c>
      <c r="C33" s="7">
        <f>B33*Gross!$L$27</f>
        <v>884895.97368164093</v>
      </c>
      <c r="D33" s="7">
        <f t="shared" si="0"/>
        <v>854898.75145941868</v>
      </c>
      <c r="E33" s="7">
        <f t="shared" si="10"/>
        <v>2142040.743267145</v>
      </c>
      <c r="G33" s="20">
        <f t="shared" si="6"/>
        <v>5444.8833445234241</v>
      </c>
      <c r="H33" s="21">
        <f>G33*Gross!$L$27</f>
        <v>489023.12278279726</v>
      </c>
      <c r="I33" s="7">
        <f t="shared" si="1"/>
        <v>459025.90056057501</v>
      </c>
      <c r="J33" s="7">
        <f t="shared" si="11"/>
        <v>1196014.8186286795</v>
      </c>
      <c r="L33" s="20">
        <f t="shared" si="7"/>
        <v>2328.9581321411306</v>
      </c>
      <c r="M33" s="21">
        <f>L33*Gross!$L$27</f>
        <v>209171.49304136881</v>
      </c>
      <c r="N33" s="7">
        <f t="shared" si="2"/>
        <v>179174.27081914659</v>
      </c>
      <c r="O33" s="7">
        <f t="shared" si="12"/>
        <v>385978.80317926477</v>
      </c>
      <c r="Q33" s="20">
        <f t="shared" si="8"/>
        <v>1016.8634239226998</v>
      </c>
      <c r="R33" s="7">
        <f>Q33*Gross!$L$27</f>
        <v>91327.893647244098</v>
      </c>
      <c r="S33" s="7">
        <f t="shared" si="3"/>
        <v>61330.671425021879</v>
      </c>
      <c r="T33" s="7">
        <f t="shared" si="13"/>
        <v>13315.917439020282</v>
      </c>
      <c r="V33" s="11">
        <f t="shared" si="9"/>
        <v>459.49729863572225</v>
      </c>
      <c r="W33" s="7">
        <f>V33*Gross!$L$27</f>
        <v>41268.98404813635</v>
      </c>
      <c r="X33" s="7">
        <f t="shared" si="4"/>
        <v>11271.761825914127</v>
      </c>
      <c r="Y33" s="7">
        <f t="shared" si="14"/>
        <v>-145807.28658161164</v>
      </c>
    </row>
    <row r="34" spans="1:25" s="26" customFormat="1" x14ac:dyDescent="0.3">
      <c r="A34" s="26">
        <v>18</v>
      </c>
      <c r="B34" s="27">
        <f t="shared" si="5"/>
        <v>14778.918800354004</v>
      </c>
      <c r="C34" s="28">
        <f>B34*Gross!$L$27</f>
        <v>1327343.9605224614</v>
      </c>
      <c r="D34" s="28">
        <f t="shared" si="0"/>
        <v>1297346.7383002392</v>
      </c>
      <c r="E34" s="28">
        <f t="shared" si="10"/>
        <v>3439387.4815673842</v>
      </c>
      <c r="G34" s="27">
        <f t="shared" si="6"/>
        <v>7622.8366823327933</v>
      </c>
      <c r="H34" s="28">
        <f>G34*Gross!$L$27</f>
        <v>684632.37189591618</v>
      </c>
      <c r="I34" s="28">
        <f t="shared" si="1"/>
        <v>654635.14967369393</v>
      </c>
      <c r="J34" s="28">
        <f t="shared" si="11"/>
        <v>1850649.9683023733</v>
      </c>
      <c r="L34" s="27">
        <f t="shared" si="7"/>
        <v>3027.6455717834697</v>
      </c>
      <c r="M34" s="28">
        <f>L34*Gross!$L$27</f>
        <v>271922.94095377944</v>
      </c>
      <c r="N34" s="28">
        <f t="shared" si="2"/>
        <v>241925.71873155722</v>
      </c>
      <c r="O34" s="28">
        <f t="shared" si="12"/>
        <v>627904.52191082202</v>
      </c>
      <c r="Q34" s="27">
        <f t="shared" si="8"/>
        <v>1220.2361087072397</v>
      </c>
      <c r="R34" s="28">
        <f>Q34*Gross!$L$27</f>
        <v>109593.47237669292</v>
      </c>
      <c r="S34" s="28">
        <f t="shared" si="3"/>
        <v>79596.250154470705</v>
      </c>
      <c r="T34" s="28">
        <f t="shared" si="13"/>
        <v>92912.167593490987</v>
      </c>
      <c r="V34" s="29">
        <f t="shared" si="9"/>
        <v>505.4470284992945</v>
      </c>
      <c r="W34" s="28">
        <f>V34*Gross!$L$27</f>
        <v>45395.882452949983</v>
      </c>
      <c r="X34" s="28">
        <f t="shared" si="4"/>
        <v>15398.660230727761</v>
      </c>
      <c r="Y34" s="28">
        <f t="shared" si="14"/>
        <v>-130408.62635088387</v>
      </c>
    </row>
    <row r="35" spans="1:25" x14ac:dyDescent="0.3">
      <c r="A35">
        <v>19</v>
      </c>
      <c r="B35" s="20">
        <f t="shared" si="5"/>
        <v>22168.378200531006</v>
      </c>
      <c r="C35" s="7">
        <f>B35*Gross!$L$27</f>
        <v>1991015.9407836921</v>
      </c>
      <c r="D35" s="7">
        <f t="shared" si="0"/>
        <v>1961018.7185614698</v>
      </c>
      <c r="E35" s="7">
        <f t="shared" si="10"/>
        <v>5400406.2001288543</v>
      </c>
      <c r="G35" s="20">
        <f t="shared" si="6"/>
        <v>10671.97135526591</v>
      </c>
      <c r="H35" s="21">
        <f>G35*Gross!$L$27</f>
        <v>958485.32065428258</v>
      </c>
      <c r="I35" s="7">
        <f t="shared" si="1"/>
        <v>928488.09843206033</v>
      </c>
      <c r="J35" s="7">
        <f t="shared" si="11"/>
        <v>2779138.0667344336</v>
      </c>
      <c r="L35" s="20">
        <f t="shared" si="7"/>
        <v>3935.9392433185108</v>
      </c>
      <c r="M35" s="21">
        <f>L35*Gross!$L$27</f>
        <v>353499.82323991327</v>
      </c>
      <c r="N35" s="7">
        <f t="shared" si="2"/>
        <v>323502.60101769102</v>
      </c>
      <c r="O35" s="7">
        <f t="shared" si="12"/>
        <v>951407.12292851298</v>
      </c>
      <c r="Q35" s="20">
        <f t="shared" si="8"/>
        <v>1464.2833304486876</v>
      </c>
      <c r="R35" s="7">
        <f>Q35*Gross!$L$27</f>
        <v>131512.16685203151</v>
      </c>
      <c r="S35" s="7">
        <f t="shared" si="3"/>
        <v>101514.9446298093</v>
      </c>
      <c r="T35" s="7">
        <f t="shared" si="13"/>
        <v>194427.11222330027</v>
      </c>
      <c r="V35" s="11">
        <f t="shared" si="9"/>
        <v>555.99173134922398</v>
      </c>
      <c r="W35" s="7">
        <f>V35*Gross!$L$27</f>
        <v>49935.470698244986</v>
      </c>
      <c r="X35" s="7">
        <f t="shared" si="4"/>
        <v>19938.248476022763</v>
      </c>
      <c r="Y35" s="7">
        <f t="shared" si="14"/>
        <v>-110470.37787486111</v>
      </c>
    </row>
    <row r="36" spans="1:25" x14ac:dyDescent="0.3">
      <c r="A36">
        <v>20</v>
      </c>
      <c r="B36" s="20">
        <f t="shared" si="5"/>
        <v>33252.567300796509</v>
      </c>
      <c r="C36" s="7">
        <f>B36*Gross!$L$27</f>
        <v>2986523.9111755379</v>
      </c>
      <c r="D36" s="7">
        <f t="shared" si="0"/>
        <v>2956526.6889533158</v>
      </c>
      <c r="E36" s="7">
        <f t="shared" si="10"/>
        <v>8356932.8890821701</v>
      </c>
      <c r="G36" s="20">
        <f t="shared" si="6"/>
        <v>14940.759897372274</v>
      </c>
      <c r="H36" s="21">
        <f>G36*Gross!$L$27</f>
        <v>1341879.4489159957</v>
      </c>
      <c r="I36" s="7">
        <f t="shared" si="1"/>
        <v>1311882.2266937734</v>
      </c>
      <c r="J36" s="7">
        <f t="shared" si="11"/>
        <v>4091020.2934282068</v>
      </c>
      <c r="L36" s="20">
        <f t="shared" si="7"/>
        <v>5116.7210163140644</v>
      </c>
      <c r="M36" s="21">
        <f>L36*Gross!$L$27</f>
        <v>459549.77021188731</v>
      </c>
      <c r="N36" s="7">
        <f t="shared" si="2"/>
        <v>429552.54798966506</v>
      </c>
      <c r="O36" s="7">
        <f t="shared" si="12"/>
        <v>1380959.670918178</v>
      </c>
      <c r="Q36" s="20">
        <f t="shared" si="8"/>
        <v>1757.1399965384251</v>
      </c>
      <c r="R36" s="7">
        <f>Q36*Gross!$L$27</f>
        <v>157814.60022243779</v>
      </c>
      <c r="S36" s="7">
        <f t="shared" si="3"/>
        <v>127817.37800021557</v>
      </c>
      <c r="T36" s="7">
        <f t="shared" si="13"/>
        <v>322244.49022351584</v>
      </c>
      <c r="V36" s="11">
        <f t="shared" si="9"/>
        <v>611.59090448414645</v>
      </c>
      <c r="W36" s="7">
        <f>V36*Gross!$L$27</f>
        <v>54929.017768069491</v>
      </c>
      <c r="X36" s="7">
        <f t="shared" si="4"/>
        <v>24931.795545847268</v>
      </c>
      <c r="Y36" s="7">
        <f t="shared" si="14"/>
        <v>-85538.582329013836</v>
      </c>
    </row>
    <row r="37" spans="1:25" x14ac:dyDescent="0.3">
      <c r="A37">
        <v>21</v>
      </c>
      <c r="B37" s="20">
        <f t="shared" si="5"/>
        <v>49878.850951194763</v>
      </c>
      <c r="C37" s="7">
        <f>B37*Gross!$L$27</f>
        <v>4479785.8667633068</v>
      </c>
      <c r="D37" s="7">
        <f t="shared" si="0"/>
        <v>4449788.6445410848</v>
      </c>
      <c r="E37" s="7">
        <f t="shared" si="10"/>
        <v>12806721.533623256</v>
      </c>
      <c r="G37" s="20">
        <f t="shared" si="6"/>
        <v>20917.063856321183</v>
      </c>
      <c r="H37" s="21">
        <f>G37*Gross!$L$27</f>
        <v>1878631.2284823938</v>
      </c>
      <c r="I37" s="7">
        <f t="shared" si="1"/>
        <v>1848634.0062601715</v>
      </c>
      <c r="J37" s="7">
        <f t="shared" si="11"/>
        <v>5939654.2996883783</v>
      </c>
      <c r="L37" s="20">
        <f t="shared" si="7"/>
        <v>6651.7373212082839</v>
      </c>
      <c r="M37" s="21">
        <f>L37*Gross!$L$27</f>
        <v>597414.70127545355</v>
      </c>
      <c r="N37" s="7">
        <f t="shared" si="2"/>
        <v>567417.47905323131</v>
      </c>
      <c r="O37" s="7">
        <f t="shared" si="12"/>
        <v>1948377.1499714092</v>
      </c>
      <c r="Q37" s="20">
        <f t="shared" si="8"/>
        <v>2108.5679958461101</v>
      </c>
      <c r="R37" s="7">
        <f>Q37*Gross!$L$27</f>
        <v>189377.52026692536</v>
      </c>
      <c r="S37" s="7">
        <f t="shared" si="3"/>
        <v>159380.29804470314</v>
      </c>
      <c r="T37" s="7">
        <f t="shared" si="13"/>
        <v>481624.78826821898</v>
      </c>
      <c r="V37" s="11">
        <f t="shared" si="9"/>
        <v>672.74999493256109</v>
      </c>
      <c r="W37" s="7">
        <f>V37*Gross!$L$27</f>
        <v>60421.919544876437</v>
      </c>
      <c r="X37" s="7">
        <f t="shared" si="4"/>
        <v>30424.697322654214</v>
      </c>
      <c r="Y37" s="7">
        <f t="shared" si="14"/>
        <v>-55113.885006359618</v>
      </c>
    </row>
    <row r="38" spans="1:25" x14ac:dyDescent="0.3">
      <c r="A38">
        <v>22</v>
      </c>
      <c r="B38" s="20">
        <f t="shared" si="5"/>
        <v>74818.276426792145</v>
      </c>
      <c r="C38" s="7">
        <f>B38*Gross!$L$27</f>
        <v>6719678.8001449602</v>
      </c>
      <c r="D38" s="7">
        <f t="shared" si="0"/>
        <v>6689681.5779227382</v>
      </c>
      <c r="E38" s="7">
        <f t="shared" si="10"/>
        <v>19496403.111545995</v>
      </c>
      <c r="G38" s="20">
        <f t="shared" si="6"/>
        <v>29283.889398849653</v>
      </c>
      <c r="H38" s="21">
        <f>G38*Gross!$L$27</f>
        <v>2630083.7198753511</v>
      </c>
      <c r="I38" s="7">
        <f t="shared" si="1"/>
        <v>2600086.497653129</v>
      </c>
      <c r="J38" s="7">
        <f t="shared" si="11"/>
        <v>8539740.7973415069</v>
      </c>
      <c r="L38" s="20">
        <f t="shared" si="7"/>
        <v>8647.25851757077</v>
      </c>
      <c r="M38" s="21">
        <f>L38*Gross!$L$27</f>
        <v>776639.11165808968</v>
      </c>
      <c r="N38" s="7">
        <f t="shared" si="2"/>
        <v>746641.88943586743</v>
      </c>
      <c r="O38" s="7">
        <f t="shared" si="12"/>
        <v>2695019.0394072765</v>
      </c>
      <c r="Q38" s="20">
        <f t="shared" si="8"/>
        <v>2530.2815950153322</v>
      </c>
      <c r="R38" s="7">
        <f>Q38*Gross!$L$27</f>
        <v>227253.02432031045</v>
      </c>
      <c r="S38" s="7">
        <f t="shared" si="3"/>
        <v>197255.80209808823</v>
      </c>
      <c r="T38" s="7">
        <f t="shared" si="13"/>
        <v>678880.59036630718</v>
      </c>
      <c r="V38" s="11">
        <f t="shared" si="9"/>
        <v>740.02499442581723</v>
      </c>
      <c r="W38" s="7">
        <f>V38*Gross!$L$27</f>
        <v>66464.11149936408</v>
      </c>
      <c r="X38" s="7">
        <f t="shared" si="4"/>
        <v>36466.889277141861</v>
      </c>
      <c r="Y38" s="7">
        <f t="shared" si="14"/>
        <v>-18646.995729217757</v>
      </c>
    </row>
    <row r="39" spans="1:25" x14ac:dyDescent="0.3">
      <c r="A39">
        <v>23</v>
      </c>
      <c r="B39" s="20">
        <f t="shared" si="5"/>
        <v>112227.41464018822</v>
      </c>
      <c r="C39" s="7">
        <f>B39*Gross!$L$27</f>
        <v>10079518.200217441</v>
      </c>
      <c r="D39" s="7">
        <f t="shared" si="0"/>
        <v>10049520.977995219</v>
      </c>
      <c r="E39" s="7">
        <f t="shared" si="10"/>
        <v>29545924.089541212</v>
      </c>
      <c r="G39" s="20">
        <f t="shared" si="6"/>
        <v>40997.445158389513</v>
      </c>
      <c r="H39" s="21">
        <f>G39*Gross!$L$27</f>
        <v>3682117.2078254912</v>
      </c>
      <c r="I39" s="7">
        <f t="shared" si="1"/>
        <v>3652119.9856032692</v>
      </c>
      <c r="J39" s="7">
        <f t="shared" si="11"/>
        <v>12191860.782944776</v>
      </c>
      <c r="L39" s="20">
        <f t="shared" si="7"/>
        <v>11241.436072842002</v>
      </c>
      <c r="M39" s="21">
        <f>L39*Gross!$L$27</f>
        <v>1009630.8451555166</v>
      </c>
      <c r="N39" s="7">
        <f t="shared" si="2"/>
        <v>979633.62293329439</v>
      </c>
      <c r="O39" s="7">
        <f t="shared" si="12"/>
        <v>3674652.6623405712</v>
      </c>
      <c r="Q39" s="20">
        <f t="shared" si="8"/>
        <v>3036.3379140183984</v>
      </c>
      <c r="R39" s="7">
        <f>Q39*Gross!$L$27</f>
        <v>272703.62918437249</v>
      </c>
      <c r="S39" s="7">
        <f t="shared" si="3"/>
        <v>242706.40696215027</v>
      </c>
      <c r="T39" s="7">
        <f t="shared" si="13"/>
        <v>921586.99732845742</v>
      </c>
      <c r="V39" s="11">
        <f t="shared" si="9"/>
        <v>814.02749386839901</v>
      </c>
      <c r="W39" s="7">
        <f>V39*Gross!$L$27</f>
        <v>73110.522649300503</v>
      </c>
      <c r="X39" s="7">
        <f t="shared" si="4"/>
        <v>43113.300427078284</v>
      </c>
      <c r="Y39" s="7">
        <f t="shared" si="14"/>
        <v>24466.304697860527</v>
      </c>
    </row>
    <row r="40" spans="1:25" s="26" customFormat="1" x14ac:dyDescent="0.3">
      <c r="A40" s="26">
        <v>24</v>
      </c>
      <c r="B40" s="27">
        <f t="shared" si="5"/>
        <v>168341.12196028233</v>
      </c>
      <c r="C40" s="28">
        <f>B40*Gross!$L$27</f>
        <v>15119277.300326161</v>
      </c>
      <c r="D40" s="28">
        <f t="shared" si="0"/>
        <v>15089280.078103939</v>
      </c>
      <c r="E40" s="28">
        <f t="shared" si="10"/>
        <v>44635204.167645149</v>
      </c>
      <c r="G40" s="27">
        <f t="shared" si="6"/>
        <v>57396.423221745317</v>
      </c>
      <c r="H40" s="28">
        <f>G40*Gross!$L$27</f>
        <v>5154964.0909556877</v>
      </c>
      <c r="I40" s="28">
        <f t="shared" si="1"/>
        <v>5124966.8687334657</v>
      </c>
      <c r="J40" s="28">
        <f t="shared" si="11"/>
        <v>17316827.651678242</v>
      </c>
      <c r="L40" s="27">
        <f t="shared" si="7"/>
        <v>14613.866894694602</v>
      </c>
      <c r="M40" s="28">
        <f>L40*Gross!$L$27</f>
        <v>1312520.0987021716</v>
      </c>
      <c r="N40" s="28">
        <f t="shared" si="2"/>
        <v>1282522.8764799493</v>
      </c>
      <c r="O40" s="28">
        <f t="shared" si="12"/>
        <v>4957175.53882052</v>
      </c>
      <c r="Q40" s="27">
        <f t="shared" si="8"/>
        <v>3643.6054968220778</v>
      </c>
      <c r="R40" s="28">
        <f>Q40*Gross!$L$27</f>
        <v>327244.355021247</v>
      </c>
      <c r="S40" s="28">
        <f t="shared" si="3"/>
        <v>297247.13279902475</v>
      </c>
      <c r="T40" s="28">
        <f t="shared" si="13"/>
        <v>1218834.1301274821</v>
      </c>
      <c r="V40" s="29">
        <f t="shared" si="9"/>
        <v>895.43024325523902</v>
      </c>
      <c r="W40" s="28">
        <f>V40*Gross!$L$27</f>
        <v>80421.574914230558</v>
      </c>
      <c r="X40" s="28">
        <f t="shared" si="4"/>
        <v>50424.352692008339</v>
      </c>
      <c r="Y40" s="28">
        <f t="shared" si="14"/>
        <v>74890.657389868866</v>
      </c>
    </row>
    <row r="41" spans="1:25" x14ac:dyDescent="0.3">
      <c r="A41">
        <v>25</v>
      </c>
      <c r="B41" s="20">
        <f t="shared" si="5"/>
        <v>252511.68294042349</v>
      </c>
      <c r="C41" s="7">
        <f>B41*Gross!$L$27</f>
        <v>22678915.950489242</v>
      </c>
      <c r="D41" s="7">
        <f t="shared" si="0"/>
        <v>22648918.728267018</v>
      </c>
      <c r="E41" s="7">
        <f t="shared" si="10"/>
        <v>67284122.89591217</v>
      </c>
      <c r="G41" s="20">
        <f t="shared" si="6"/>
        <v>80354.992510443437</v>
      </c>
      <c r="H41" s="21">
        <f>G41*Gross!$L$27</f>
        <v>7216949.727337962</v>
      </c>
      <c r="I41" s="7">
        <f t="shared" si="1"/>
        <v>7186952.50511574</v>
      </c>
      <c r="J41" s="7">
        <f t="shared" si="11"/>
        <v>24503780.156793982</v>
      </c>
      <c r="L41" s="20">
        <f t="shared" si="7"/>
        <v>18998.026963102984</v>
      </c>
      <c r="M41" s="21">
        <f>L41*Gross!$L$27</f>
        <v>1706276.1283128231</v>
      </c>
      <c r="N41" s="7">
        <f t="shared" si="2"/>
        <v>1676278.9060906009</v>
      </c>
      <c r="O41" s="7">
        <f t="shared" si="12"/>
        <v>6633454.4449111205</v>
      </c>
      <c r="Q41" s="20">
        <f t="shared" si="8"/>
        <v>4372.3265961864936</v>
      </c>
      <c r="R41" s="7">
        <f>Q41*Gross!$L$27</f>
        <v>392693.22602549638</v>
      </c>
      <c r="S41" s="7">
        <f t="shared" si="3"/>
        <v>362696.00380327413</v>
      </c>
      <c r="T41" s="7">
        <f t="shared" si="13"/>
        <v>1581530.1339307562</v>
      </c>
      <c r="V41" s="11">
        <f t="shared" si="9"/>
        <v>984.97326758076304</v>
      </c>
      <c r="W41" s="7">
        <f>V41*Gross!$L$27</f>
        <v>88463.732405653631</v>
      </c>
      <c r="X41" s="7">
        <f t="shared" si="4"/>
        <v>58466.510183431412</v>
      </c>
      <c r="Y41" s="7">
        <f t="shared" si="14"/>
        <v>133357.16757330028</v>
      </c>
    </row>
    <row r="42" spans="1:25" x14ac:dyDescent="0.3">
      <c r="A42">
        <v>26</v>
      </c>
      <c r="B42" s="20">
        <f t="shared" si="5"/>
        <v>378767.52441063523</v>
      </c>
      <c r="C42" s="7">
        <f>B42*Gross!$L$27</f>
        <v>34018373.925733864</v>
      </c>
      <c r="D42" s="7">
        <f t="shared" si="0"/>
        <v>33988376.70351164</v>
      </c>
      <c r="E42" s="7">
        <f t="shared" si="10"/>
        <v>101272499.59942381</v>
      </c>
      <c r="G42" s="20">
        <f t="shared" si="6"/>
        <v>112496.9895146208</v>
      </c>
      <c r="H42" s="21">
        <f>G42*Gross!$L$27</f>
        <v>10103729.618273146</v>
      </c>
      <c r="I42" s="7">
        <f t="shared" si="1"/>
        <v>10073732.396050924</v>
      </c>
      <c r="J42" s="7">
        <f t="shared" si="11"/>
        <v>34577512.552844904</v>
      </c>
      <c r="L42" s="20">
        <f t="shared" si="7"/>
        <v>24697.435052033881</v>
      </c>
      <c r="M42" s="21">
        <f>L42*Gross!$L$27</f>
        <v>2218158.9668066702</v>
      </c>
      <c r="N42" s="7">
        <f t="shared" si="2"/>
        <v>2188161.7445844482</v>
      </c>
      <c r="O42" s="7">
        <f t="shared" si="12"/>
        <v>8821616.1894955691</v>
      </c>
      <c r="Q42" s="20">
        <f t="shared" si="8"/>
        <v>5246.7919154237925</v>
      </c>
      <c r="R42" s="7">
        <f>Q42*Gross!$L$27</f>
        <v>471231.87123059569</v>
      </c>
      <c r="S42" s="7">
        <f t="shared" si="3"/>
        <v>441234.64900837344</v>
      </c>
      <c r="T42" s="7">
        <f t="shared" si="13"/>
        <v>2022764.7829391297</v>
      </c>
      <c r="V42" s="11">
        <f t="shared" si="9"/>
        <v>1083.4705943388394</v>
      </c>
      <c r="W42" s="7">
        <f>V42*Gross!$L$27</f>
        <v>97310.105646218988</v>
      </c>
      <c r="X42" s="7">
        <f t="shared" si="4"/>
        <v>67312.883423996769</v>
      </c>
      <c r="Y42" s="7">
        <f t="shared" si="14"/>
        <v>200670.05099729705</v>
      </c>
    </row>
    <row r="43" spans="1:25" x14ac:dyDescent="0.3">
      <c r="A43">
        <v>27</v>
      </c>
      <c r="B43" s="20">
        <f t="shared" si="5"/>
        <v>568151.28661595285</v>
      </c>
      <c r="C43" s="7">
        <f>B43*Gross!$L$27</f>
        <v>51027560.888600796</v>
      </c>
      <c r="D43" s="7">
        <f t="shared" si="0"/>
        <v>50997563.666378573</v>
      </c>
      <c r="E43" s="7">
        <f t="shared" si="10"/>
        <v>152270063.26580238</v>
      </c>
      <c r="G43" s="20">
        <f t="shared" si="6"/>
        <v>157495.78532046912</v>
      </c>
      <c r="H43" s="21">
        <f>G43*Gross!$L$27</f>
        <v>14145221.465582404</v>
      </c>
      <c r="I43" s="7">
        <f t="shared" si="1"/>
        <v>14115224.243360182</v>
      </c>
      <c r="J43" s="7">
        <f t="shared" si="11"/>
        <v>48692736.796205088</v>
      </c>
      <c r="L43" s="20">
        <f t="shared" si="7"/>
        <v>32106.665567644046</v>
      </c>
      <c r="M43" s="21">
        <f>L43*Gross!$L$27</f>
        <v>2883606.6568486714</v>
      </c>
      <c r="N43" s="7">
        <f t="shared" si="2"/>
        <v>2853609.4346264494</v>
      </c>
      <c r="O43" s="7">
        <f t="shared" si="12"/>
        <v>11675225.624122018</v>
      </c>
      <c r="Q43" s="20">
        <f t="shared" si="8"/>
        <v>6296.1502985085508</v>
      </c>
      <c r="R43" s="7">
        <f>Q43*Gross!$L$27</f>
        <v>565478.2454767148</v>
      </c>
      <c r="S43" s="7">
        <f t="shared" si="3"/>
        <v>535481.02325449255</v>
      </c>
      <c r="T43" s="7">
        <f t="shared" si="13"/>
        <v>2558245.8061936223</v>
      </c>
      <c r="V43" s="11">
        <f t="shared" si="9"/>
        <v>1191.8176537727234</v>
      </c>
      <c r="W43" s="7">
        <f>V43*Gross!$L$27</f>
        <v>107041.11621084089</v>
      </c>
      <c r="X43" s="7">
        <f t="shared" si="4"/>
        <v>77043.893988618671</v>
      </c>
      <c r="Y43" s="7">
        <f t="shared" si="14"/>
        <v>277713.94498591573</v>
      </c>
    </row>
    <row r="44" spans="1:25" x14ac:dyDescent="0.3">
      <c r="A44">
        <v>28</v>
      </c>
      <c r="B44" s="20">
        <f t="shared" si="5"/>
        <v>852226.92992392927</v>
      </c>
      <c r="C44" s="7">
        <f>B44*Gross!$L$27</f>
        <v>76541341.332901195</v>
      </c>
      <c r="D44" s="7">
        <f t="shared" si="0"/>
        <v>76511344.110678971</v>
      </c>
      <c r="E44" s="7">
        <f t="shared" si="10"/>
        <v>228781407.37648135</v>
      </c>
      <c r="G44" s="20">
        <f t="shared" si="6"/>
        <v>220494.09944865675</v>
      </c>
      <c r="H44" s="21">
        <f>G44*Gross!$L$27</f>
        <v>19803310.051815365</v>
      </c>
      <c r="I44" s="7">
        <f t="shared" si="1"/>
        <v>19773312.829593141</v>
      </c>
      <c r="J44" s="7">
        <f t="shared" si="11"/>
        <v>68466049.625798225</v>
      </c>
      <c r="L44" s="20">
        <f t="shared" si="7"/>
        <v>41738.665237937261</v>
      </c>
      <c r="M44" s="21">
        <f>L44*Gross!$L$27</f>
        <v>3748688.6539032729</v>
      </c>
      <c r="N44" s="7">
        <f t="shared" si="2"/>
        <v>3718691.4316810509</v>
      </c>
      <c r="O44" s="7">
        <f t="shared" si="12"/>
        <v>15393917.055803068</v>
      </c>
      <c r="Q44" s="20">
        <f t="shared" si="8"/>
        <v>7555.380358210261</v>
      </c>
      <c r="R44" s="7">
        <f>Q44*Gross!$L$27</f>
        <v>678573.89457205776</v>
      </c>
      <c r="S44" s="7">
        <f t="shared" si="3"/>
        <v>648576.67234983551</v>
      </c>
      <c r="T44" s="7">
        <f t="shared" si="13"/>
        <v>3206822.4785434576</v>
      </c>
      <c r="V44" s="11">
        <f t="shared" si="9"/>
        <v>1310.9994191499959</v>
      </c>
      <c r="W44" s="7">
        <f>V44*Gross!$L$27</f>
        <v>117745.227831925</v>
      </c>
      <c r="X44" s="7">
        <f t="shared" si="4"/>
        <v>87748.005609702785</v>
      </c>
      <c r="Y44" s="7">
        <f t="shared" si="14"/>
        <v>365461.95059561852</v>
      </c>
    </row>
    <row r="45" spans="1:25" x14ac:dyDescent="0.3">
      <c r="A45">
        <v>29</v>
      </c>
      <c r="B45" s="20">
        <f t="shared" si="5"/>
        <v>1278340.3948858939</v>
      </c>
      <c r="C45" s="7">
        <f>B45*Gross!$L$27</f>
        <v>114812011.99935178</v>
      </c>
      <c r="D45" s="7">
        <f t="shared" si="0"/>
        <v>114782014.77712956</v>
      </c>
      <c r="E45" s="7">
        <f t="shared" si="10"/>
        <v>343563422.15361094</v>
      </c>
      <c r="G45" s="20">
        <f t="shared" si="6"/>
        <v>308691.73922811943</v>
      </c>
      <c r="H45" s="21">
        <f>G45*Gross!$L$27</f>
        <v>27724634.072541509</v>
      </c>
      <c r="I45" s="7">
        <f t="shared" si="1"/>
        <v>27694636.850319285</v>
      </c>
      <c r="J45" s="7">
        <f t="shared" si="11"/>
        <v>96160686.476117507</v>
      </c>
      <c r="L45" s="20">
        <f t="shared" si="7"/>
        <v>54260.26480931844</v>
      </c>
      <c r="M45" s="21">
        <f>L45*Gross!$L$27</f>
        <v>4873295.2500742553</v>
      </c>
      <c r="N45" s="7">
        <f t="shared" si="2"/>
        <v>4843298.0278520333</v>
      </c>
      <c r="O45" s="7">
        <f t="shared" si="12"/>
        <v>20237215.0836551</v>
      </c>
      <c r="Q45" s="20">
        <f t="shared" si="8"/>
        <v>9066.4564298523128</v>
      </c>
      <c r="R45" s="7">
        <f>Q45*Gross!$L$27</f>
        <v>814288.67348646931</v>
      </c>
      <c r="S45" s="7">
        <f t="shared" si="3"/>
        <v>784291.45126424707</v>
      </c>
      <c r="T45" s="7">
        <f t="shared" si="13"/>
        <v>3991113.9298077049</v>
      </c>
      <c r="V45" s="11">
        <f t="shared" si="9"/>
        <v>1442.0993610649957</v>
      </c>
      <c r="W45" s="7">
        <f>V45*Gross!$L$27</f>
        <v>129519.75061511752</v>
      </c>
      <c r="X45" s="7">
        <f t="shared" si="4"/>
        <v>99522.528392895299</v>
      </c>
      <c r="Y45" s="7">
        <f t="shared" si="14"/>
        <v>464984.47898851382</v>
      </c>
    </row>
    <row r="46" spans="1:25" s="26" customFormat="1" x14ac:dyDescent="0.3">
      <c r="A46" s="26">
        <v>30</v>
      </c>
      <c r="B46" s="27">
        <f t="shared" si="5"/>
        <v>1917510.5923288409</v>
      </c>
      <c r="C46" s="28">
        <f>B46*Gross!$L$27</f>
        <v>172218017.99902767</v>
      </c>
      <c r="D46" s="28">
        <f t="shared" si="0"/>
        <v>172188020.77680546</v>
      </c>
      <c r="E46" s="28">
        <f t="shared" si="10"/>
        <v>515751442.93041641</v>
      </c>
      <c r="G46" s="27">
        <f t="shared" si="6"/>
        <v>432168.4349193672</v>
      </c>
      <c r="H46" s="28">
        <f>G46*Gross!$L$27</f>
        <v>38814487.701558113</v>
      </c>
      <c r="I46" s="28">
        <f t="shared" si="1"/>
        <v>38784490.479335889</v>
      </c>
      <c r="J46" s="28">
        <f t="shared" si="11"/>
        <v>134945176.9554534</v>
      </c>
      <c r="L46" s="27">
        <f t="shared" si="7"/>
        <v>70538.34425211398</v>
      </c>
      <c r="M46" s="28">
        <f>L46*Gross!$L$27</f>
        <v>6335283.8250965327</v>
      </c>
      <c r="N46" s="28">
        <f t="shared" si="2"/>
        <v>6305286.6028743107</v>
      </c>
      <c r="O46" s="28">
        <f t="shared" si="12"/>
        <v>26542501.686529413</v>
      </c>
      <c r="Q46" s="27">
        <f t="shared" si="8"/>
        <v>10879.747715822776</v>
      </c>
      <c r="R46" s="28">
        <f>Q46*Gross!$L$27</f>
        <v>977146.40818376315</v>
      </c>
      <c r="S46" s="28">
        <f t="shared" si="3"/>
        <v>947149.1859615409</v>
      </c>
      <c r="T46" s="28">
        <f t="shared" si="13"/>
        <v>4938263.1157692457</v>
      </c>
      <c r="V46" s="29">
        <f t="shared" si="9"/>
        <v>1586.3092971714955</v>
      </c>
      <c r="W46" s="28">
        <f>V46*Gross!$L$27</f>
        <v>142471.72567662928</v>
      </c>
      <c r="X46" s="28">
        <f t="shared" si="4"/>
        <v>112474.50345440707</v>
      </c>
      <c r="Y46" s="28">
        <f t="shared" si="14"/>
        <v>577458.98244292091</v>
      </c>
    </row>
    <row r="47" spans="1:25" x14ac:dyDescent="0.3">
      <c r="A47">
        <v>31</v>
      </c>
      <c r="B47" s="20">
        <f t="shared" si="5"/>
        <v>2876265.8884932613</v>
      </c>
      <c r="C47" s="7">
        <f>B47*Gross!$L$27</f>
        <v>258327026.99854153</v>
      </c>
      <c r="D47" s="7">
        <f t="shared" si="0"/>
        <v>258297029.77631932</v>
      </c>
      <c r="E47" s="7">
        <f t="shared" si="10"/>
        <v>774048472.70673573</v>
      </c>
      <c r="G47" s="20">
        <f t="shared" si="6"/>
        <v>605035.80888711405</v>
      </c>
      <c r="H47" s="21">
        <f>G47*Gross!$L$27</f>
        <v>54340282.782181352</v>
      </c>
      <c r="I47" s="7">
        <f t="shared" si="1"/>
        <v>54310285.559959128</v>
      </c>
      <c r="J47" s="7">
        <f t="shared" si="11"/>
        <v>189255462.51541251</v>
      </c>
      <c r="L47" s="20">
        <f t="shared" si="7"/>
        <v>91699.847527748178</v>
      </c>
      <c r="M47" s="21">
        <f>L47*Gross!$L$27</f>
        <v>8235868.9726254921</v>
      </c>
      <c r="N47" s="7">
        <f t="shared" si="2"/>
        <v>8205871.7504032701</v>
      </c>
      <c r="O47" s="7">
        <f t="shared" si="12"/>
        <v>34748373.436932683</v>
      </c>
      <c r="Q47" s="20">
        <f t="shared" si="8"/>
        <v>13055.697258987331</v>
      </c>
      <c r="R47" s="7">
        <f>Q47*Gross!$L$27</f>
        <v>1172575.6898205159</v>
      </c>
      <c r="S47" s="7">
        <f t="shared" si="3"/>
        <v>1142578.4675982937</v>
      </c>
      <c r="T47" s="7">
        <f t="shared" si="13"/>
        <v>6080841.5833675396</v>
      </c>
      <c r="V47" s="11">
        <f t="shared" si="9"/>
        <v>1744.9402268886452</v>
      </c>
      <c r="W47" s="7">
        <f>V47*Gross!$L$27</f>
        <v>156718.89824429224</v>
      </c>
      <c r="X47" s="7">
        <f t="shared" si="4"/>
        <v>126721.67602207002</v>
      </c>
      <c r="Y47" s="7">
        <f t="shared" si="14"/>
        <v>704180.65846499091</v>
      </c>
    </row>
    <row r="48" spans="1:25" x14ac:dyDescent="0.3">
      <c r="A48">
        <v>32</v>
      </c>
      <c r="B48" s="20">
        <f t="shared" si="5"/>
        <v>4314398.8327398915</v>
      </c>
      <c r="C48" s="7">
        <f>B48*Gross!$L$27</f>
        <v>387490540.49781221</v>
      </c>
      <c r="D48" s="7">
        <f t="shared" si="0"/>
        <v>387460543.27559</v>
      </c>
      <c r="E48" s="7">
        <f t="shared" si="10"/>
        <v>1161509015.9823258</v>
      </c>
      <c r="G48" s="20">
        <f t="shared" si="6"/>
        <v>847050.13244195958</v>
      </c>
      <c r="H48" s="21">
        <f>G48*Gross!$L$27</f>
        <v>76076395.895053893</v>
      </c>
      <c r="I48" s="7">
        <f t="shared" si="1"/>
        <v>76046398.672831669</v>
      </c>
      <c r="J48" s="7">
        <f t="shared" si="11"/>
        <v>265301861.18824416</v>
      </c>
      <c r="L48" s="20">
        <f t="shared" si="7"/>
        <v>119209.80178607264</v>
      </c>
      <c r="M48" s="21">
        <f>L48*Gross!$L$27</f>
        <v>10706629.664413141</v>
      </c>
      <c r="N48" s="7">
        <f t="shared" si="2"/>
        <v>10676632.442190919</v>
      </c>
      <c r="O48" s="7">
        <f t="shared" si="12"/>
        <v>45425005.879123598</v>
      </c>
      <c r="Q48" s="20">
        <f t="shared" si="8"/>
        <v>15666.836710784797</v>
      </c>
      <c r="R48" s="7">
        <f>Q48*Gross!$L$27</f>
        <v>1407090.8277846191</v>
      </c>
      <c r="S48" s="7">
        <f t="shared" si="3"/>
        <v>1377093.6055623968</v>
      </c>
      <c r="T48" s="7">
        <f t="shared" si="13"/>
        <v>7457935.1889299359</v>
      </c>
      <c r="V48" s="11">
        <f t="shared" si="9"/>
        <v>1919.4342495775097</v>
      </c>
      <c r="W48" s="7">
        <f>V48*Gross!$L$27</f>
        <v>172390.78806872145</v>
      </c>
      <c r="X48" s="7">
        <f t="shared" si="4"/>
        <v>142393.56584649923</v>
      </c>
      <c r="Y48" s="7">
        <f t="shared" si="14"/>
        <v>846574.22431149008</v>
      </c>
    </row>
    <row r="49" spans="1:25" x14ac:dyDescent="0.3">
      <c r="A49">
        <v>33</v>
      </c>
      <c r="B49" s="20">
        <f t="shared" si="5"/>
        <v>6471598.2491098372</v>
      </c>
      <c r="C49" s="7">
        <f>B49*Gross!$L$27</f>
        <v>581235810.74671841</v>
      </c>
      <c r="D49" s="7">
        <f t="shared" si="0"/>
        <v>581205813.5244962</v>
      </c>
      <c r="E49" s="7">
        <f t="shared" si="10"/>
        <v>1742714829.5068221</v>
      </c>
      <c r="G49" s="20">
        <f t="shared" si="6"/>
        <v>1185870.1854187434</v>
      </c>
      <c r="H49" s="21">
        <f>G49*Gross!$L$27</f>
        <v>106506954.25307544</v>
      </c>
      <c r="I49" s="7">
        <f t="shared" si="1"/>
        <v>106476957.03085321</v>
      </c>
      <c r="J49" s="7">
        <f t="shared" si="11"/>
        <v>371778818.21909738</v>
      </c>
      <c r="L49" s="20">
        <f t="shared" si="7"/>
        <v>154972.74232189445</v>
      </c>
      <c r="M49" s="21">
        <f>L49*Gross!$L$27</f>
        <v>13918618.563737083</v>
      </c>
      <c r="N49" s="7">
        <f t="shared" si="2"/>
        <v>13888621.341514861</v>
      </c>
      <c r="O49" s="7">
        <f t="shared" si="12"/>
        <v>59313627.220638461</v>
      </c>
      <c r="Q49" s="20">
        <f t="shared" si="8"/>
        <v>18800.204052941757</v>
      </c>
      <c r="R49" s="7">
        <f>Q49*Gross!$L$27</f>
        <v>1688508.9933415428</v>
      </c>
      <c r="S49" s="7">
        <f t="shared" si="3"/>
        <v>1658511.7711193205</v>
      </c>
      <c r="T49" s="7">
        <f t="shared" si="13"/>
        <v>9116446.9600492567</v>
      </c>
      <c r="V49" s="11">
        <f t="shared" si="9"/>
        <v>2111.3776745352607</v>
      </c>
      <c r="W49" s="7">
        <f>V49*Gross!$L$27</f>
        <v>189629.86687559361</v>
      </c>
      <c r="X49" s="7">
        <f t="shared" si="4"/>
        <v>159632.64465337139</v>
      </c>
      <c r="Y49" s="7">
        <f t="shared" si="14"/>
        <v>1006206.8689648615</v>
      </c>
    </row>
    <row r="50" spans="1:25" x14ac:dyDescent="0.3">
      <c r="A50">
        <v>34</v>
      </c>
      <c r="B50" s="20">
        <f t="shared" si="5"/>
        <v>9707397.3736647554</v>
      </c>
      <c r="C50" s="7">
        <f>B50*Gross!$L$27</f>
        <v>871853716.12007749</v>
      </c>
      <c r="D50" s="7">
        <f t="shared" si="0"/>
        <v>871823718.89785528</v>
      </c>
      <c r="E50" s="7">
        <f t="shared" si="10"/>
        <v>2614538548.4046774</v>
      </c>
      <c r="G50" s="20">
        <f t="shared" si="6"/>
        <v>1660218.2595862406</v>
      </c>
      <c r="H50" s="21">
        <f>G50*Gross!$L$27</f>
        <v>149109735.95430562</v>
      </c>
      <c r="I50" s="7">
        <f t="shared" si="1"/>
        <v>149079738.73208341</v>
      </c>
      <c r="J50" s="7">
        <f t="shared" si="11"/>
        <v>520858556.95118082</v>
      </c>
      <c r="L50" s="20">
        <f t="shared" si="7"/>
        <v>201464.56501846277</v>
      </c>
      <c r="M50" s="21">
        <f>L50*Gross!$L$27</f>
        <v>18094204.132858209</v>
      </c>
      <c r="N50" s="7">
        <f t="shared" si="2"/>
        <v>18064206.910635985</v>
      </c>
      <c r="O50" s="7">
        <f t="shared" si="12"/>
        <v>77377834.131274447</v>
      </c>
      <c r="Q50" s="20">
        <f t="shared" si="8"/>
        <v>22560.244863530108</v>
      </c>
      <c r="R50" s="7">
        <f>Q50*Gross!$L$27</f>
        <v>2026210.7920098514</v>
      </c>
      <c r="S50" s="7">
        <f t="shared" si="3"/>
        <v>1996213.5697876292</v>
      </c>
      <c r="T50" s="7">
        <f t="shared" si="13"/>
        <v>11112660.529836886</v>
      </c>
      <c r="V50" s="11">
        <f t="shared" si="9"/>
        <v>2322.5154419887867</v>
      </c>
      <c r="W50" s="7">
        <f>V50*Gross!$L$27</f>
        <v>208592.85356315295</v>
      </c>
      <c r="X50" s="7">
        <f t="shared" si="4"/>
        <v>178595.63134093073</v>
      </c>
      <c r="Y50" s="7">
        <f t="shared" si="14"/>
        <v>1184802.5003057923</v>
      </c>
    </row>
    <row r="51" spans="1:25" x14ac:dyDescent="0.3">
      <c r="A51">
        <v>35</v>
      </c>
      <c r="B51" s="20">
        <f t="shared" si="5"/>
        <v>14561096.060497133</v>
      </c>
      <c r="C51" s="7">
        <f>B51*Gross!$L$27</f>
        <v>1307780574.1801162</v>
      </c>
      <c r="D51" s="7">
        <f t="shared" si="0"/>
        <v>1307750576.9578938</v>
      </c>
      <c r="E51" s="7">
        <f t="shared" si="10"/>
        <v>3922289125.3625712</v>
      </c>
      <c r="G51" s="20">
        <f t="shared" si="6"/>
        <v>2324305.5634207367</v>
      </c>
      <c r="H51" s="21">
        <f>G51*Gross!$L$27</f>
        <v>208753630.33602783</v>
      </c>
      <c r="I51" s="7">
        <f t="shared" si="1"/>
        <v>208723633.11380562</v>
      </c>
      <c r="J51" s="7">
        <f t="shared" si="11"/>
        <v>729582190.06498647</v>
      </c>
      <c r="L51" s="20">
        <f t="shared" si="7"/>
        <v>261903.93452400161</v>
      </c>
      <c r="M51" s="21">
        <f>L51*Gross!$L$27</f>
        <v>23522465.372715671</v>
      </c>
      <c r="N51" s="7">
        <f t="shared" si="2"/>
        <v>23492468.150493447</v>
      </c>
      <c r="O51" s="7">
        <f t="shared" si="12"/>
        <v>100870302.28176789</v>
      </c>
      <c r="Q51" s="20">
        <f t="shared" si="8"/>
        <v>27072.293836236127</v>
      </c>
      <c r="R51" s="7">
        <f>Q51*Gross!$L$27</f>
        <v>2431452.9504118212</v>
      </c>
      <c r="S51" s="7">
        <f t="shared" si="3"/>
        <v>2401455.7281895992</v>
      </c>
      <c r="T51" s="7">
        <f t="shared" si="13"/>
        <v>13514116.258026484</v>
      </c>
      <c r="V51" s="11">
        <f t="shared" si="9"/>
        <v>2554.7669861876657</v>
      </c>
      <c r="W51" s="7">
        <f>V51*Gross!$L$27</f>
        <v>229452.13891946827</v>
      </c>
      <c r="X51" s="7">
        <f t="shared" si="4"/>
        <v>199454.91669724605</v>
      </c>
      <c r="Y51" s="7">
        <f t="shared" si="14"/>
        <v>1384257.4170030383</v>
      </c>
    </row>
    <row r="52" spans="1:25" s="26" customFormat="1" x14ac:dyDescent="0.3">
      <c r="A52" s="26">
        <v>36</v>
      </c>
      <c r="B52" s="27">
        <f t="shared" si="5"/>
        <v>21841644.090745699</v>
      </c>
      <c r="C52" s="28">
        <f>B52*Gross!$L$27</f>
        <v>1961670861.2701743</v>
      </c>
      <c r="D52" s="28">
        <f t="shared" si="0"/>
        <v>1961640864.0479519</v>
      </c>
      <c r="E52" s="28">
        <f t="shared" si="10"/>
        <v>5883929989.4105234</v>
      </c>
      <c r="G52" s="27">
        <f t="shared" si="6"/>
        <v>3254027.7887890311</v>
      </c>
      <c r="H52" s="28">
        <f>G52*Gross!$L$27</f>
        <v>292255082.47043896</v>
      </c>
      <c r="I52" s="28">
        <f t="shared" si="1"/>
        <v>292225085.24821675</v>
      </c>
      <c r="J52" s="28">
        <f t="shared" si="11"/>
        <v>1021807275.3132032</v>
      </c>
      <c r="L52" s="27">
        <f t="shared" si="7"/>
        <v>340475.11488120211</v>
      </c>
      <c r="M52" s="28">
        <f>L52*Gross!$L$27</f>
        <v>30579204.984530374</v>
      </c>
      <c r="N52" s="28">
        <f t="shared" si="2"/>
        <v>30549207.762308151</v>
      </c>
      <c r="O52" s="28">
        <f t="shared" si="12"/>
        <v>131419510.04407604</v>
      </c>
      <c r="Q52" s="27">
        <f t="shared" si="8"/>
        <v>32486.75260348335</v>
      </c>
      <c r="R52" s="28">
        <f>Q52*Gross!$L$27</f>
        <v>2917743.5404941854</v>
      </c>
      <c r="S52" s="28">
        <f t="shared" si="3"/>
        <v>2887746.3182719634</v>
      </c>
      <c r="T52" s="28">
        <f t="shared" si="13"/>
        <v>16401862.576298447</v>
      </c>
      <c r="V52" s="29">
        <f t="shared" si="9"/>
        <v>2810.2436848064326</v>
      </c>
      <c r="W52" s="28">
        <f>V52*Gross!$L$27</f>
        <v>252397.35281141516</v>
      </c>
      <c r="X52" s="28">
        <f t="shared" si="4"/>
        <v>222400.13058919294</v>
      </c>
      <c r="Y52" s="28">
        <f t="shared" si="14"/>
        <v>1606657.5475922313</v>
      </c>
    </row>
    <row r="53" spans="1:25" x14ac:dyDescent="0.3">
      <c r="A53">
        <v>37</v>
      </c>
      <c r="B53" s="20">
        <f t="shared" si="5"/>
        <v>32762466.136118546</v>
      </c>
      <c r="C53" s="7">
        <f>B53*Gross!$L$27</f>
        <v>2942506291.905261</v>
      </c>
      <c r="D53" s="7">
        <f t="shared" si="0"/>
        <v>2942476294.6830387</v>
      </c>
      <c r="E53" s="7">
        <f t="shared" si="10"/>
        <v>8826406284.0935631</v>
      </c>
      <c r="G53" s="20">
        <f t="shared" si="6"/>
        <v>4555638.9043046432</v>
      </c>
      <c r="H53" s="21">
        <f>G53*Gross!$L$27</f>
        <v>409157115.45861447</v>
      </c>
      <c r="I53" s="7">
        <f t="shared" si="1"/>
        <v>409127118.23639226</v>
      </c>
      <c r="J53" s="7">
        <f t="shared" si="11"/>
        <v>1430934393.5495954</v>
      </c>
      <c r="L53" s="20">
        <f t="shared" si="7"/>
        <v>442617.64934556274</v>
      </c>
      <c r="M53" s="21">
        <f>L53*Gross!$L$27</f>
        <v>39752966.47988949</v>
      </c>
      <c r="N53" s="7">
        <f t="shared" si="2"/>
        <v>39722969.257667266</v>
      </c>
      <c r="O53" s="7">
        <f t="shared" si="12"/>
        <v>171142479.3017433</v>
      </c>
      <c r="Q53" s="20">
        <f t="shared" si="8"/>
        <v>38984.103124180016</v>
      </c>
      <c r="R53" s="7">
        <f>Q53*Gross!$L$27</f>
        <v>3501292.2485930221</v>
      </c>
      <c r="S53" s="7">
        <f t="shared" si="3"/>
        <v>3471295.0263708001</v>
      </c>
      <c r="T53" s="7">
        <f t="shared" si="13"/>
        <v>19873157.602669246</v>
      </c>
      <c r="V53" s="11">
        <f t="shared" si="9"/>
        <v>3091.2680532870763</v>
      </c>
      <c r="W53" s="7">
        <f>V53*Gross!$L$27</f>
        <v>277637.08809255669</v>
      </c>
      <c r="X53" s="7">
        <f t="shared" si="4"/>
        <v>247639.86587033447</v>
      </c>
      <c r="Y53" s="7">
        <f t="shared" si="14"/>
        <v>1854297.4134625657</v>
      </c>
    </row>
  </sheetData>
  <conditionalFormatting sqref="I17">
    <cfRule type="colorScale" priority="1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O1:O2 T1:T2 Y1:Y2 G1 D1 E13 E15:E1048576 J13 J15:J1048576 O13 O15:O1048576 T13 T15:T1048576 Y13 Y15:Y1048576">
    <cfRule type="colorScale" priority="10">
      <colorScale>
        <cfvo type="formula" val="-$B$4"/>
        <cfvo type="num" val="0"/>
        <cfvo type="num" val="600000"/>
        <color rgb="FFFF0000"/>
        <color rgb="FF00B050"/>
        <color theme="2" tint="-0.89999084444715716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lorScale" priority="8" id="{1D0DE53D-006C-4FF4-A595-50E53DB0ECDD}">
            <x14:colorScale>
              <x14:cfvo type="num">
                <xm:f>0</xm:f>
              </x14:cfvo>
              <x14:cfvo type="num">
                <xm:f>Gross!$J$30</xm:f>
              </x14:cfvo>
              <x14:cfvo type="num">
                <xm:f>Gross!$N$30</xm:f>
              </x14:cfvo>
              <x14:color rgb="FFF8696B"/>
              <x14:color rgb="FFFFEB84"/>
              <x14:color theme="2" tint="-0.89999084444715716"/>
            </x14:colorScale>
          </x14:cfRule>
          <xm:sqref>L1:L2 Q1:Q2 V1:V2 B1 B16:B1048576 G16:G1048576 L16:L1048576 Q16:Q1048576 V16:V1048576</xm:sqref>
        </x14:conditionalFormatting>
        <x14:conditionalFormatting xmlns:xm="http://schemas.microsoft.com/office/excel/2006/main">
          <x14:cfRule type="colorScale" priority="2" id="{57868A93-2D24-4866-9227-DA4C4A2EC133}">
            <x14:colorScale>
              <x14:cfvo type="min"/>
              <x14:cfvo type="num">
                <xm:f>0</xm:f>
              </x14:cfvo>
              <x14:cfvo type="num">
                <xm:f>Net_And_Analysis!$M$10</xm:f>
              </x14:cfvo>
              <x14:color rgb="FFFF0000"/>
              <x14:color rgb="FF92D050"/>
              <x14:color theme="2" tint="-0.89999084444715716"/>
            </x14:colorScale>
          </x14:cfRule>
          <xm:sqref>S17:S53 X17:X53 N17:N53 I17:I53 D17:D53</xm:sqref>
        </x14:conditionalFormatting>
      </x14:conditionalFormatting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0A4BF-7444-461A-A7D9-DCB85EAD9C4B}">
  <dimension ref="A2:C38"/>
  <sheetViews>
    <sheetView workbookViewId="0">
      <selection activeCell="B29" sqref="B29"/>
    </sheetView>
  </sheetViews>
  <sheetFormatPr defaultRowHeight="14.4" x14ac:dyDescent="0.3"/>
  <cols>
    <col min="1" max="1" width="38.88671875" bestFit="1" customWidth="1"/>
    <col min="2" max="2" width="12.5546875" style="1" bestFit="1" customWidth="1"/>
  </cols>
  <sheetData>
    <row r="2" spans="1:3" x14ac:dyDescent="0.3">
      <c r="A2" t="s">
        <v>0</v>
      </c>
      <c r="B2" s="1">
        <v>60000</v>
      </c>
    </row>
    <row r="3" spans="1:3" x14ac:dyDescent="0.3">
      <c r="A3" t="s">
        <v>27</v>
      </c>
      <c r="B3" s="2">
        <v>3</v>
      </c>
      <c r="C3" t="s">
        <v>32</v>
      </c>
    </row>
    <row r="4" spans="1:3" x14ac:dyDescent="0.3">
      <c r="A4" t="s">
        <v>28</v>
      </c>
      <c r="B4" s="1">
        <v>700</v>
      </c>
      <c r="C4" t="s">
        <v>33</v>
      </c>
    </row>
    <row r="5" spans="1:3" x14ac:dyDescent="0.3">
      <c r="A5" t="s">
        <v>23</v>
      </c>
      <c r="B5" s="1">
        <f>B4*B3</f>
        <v>2100</v>
      </c>
    </row>
    <row r="6" spans="1:3" x14ac:dyDescent="0.3">
      <c r="A6" t="s">
        <v>24</v>
      </c>
      <c r="B6" s="1">
        <f>B5*4</f>
        <v>8400</v>
      </c>
    </row>
    <row r="7" spans="1:3" x14ac:dyDescent="0.3">
      <c r="A7" t="s">
        <v>25</v>
      </c>
      <c r="B7" s="1">
        <f>B5*51</f>
        <v>107100</v>
      </c>
    </row>
    <row r="8" spans="1:3" x14ac:dyDescent="0.3">
      <c r="A8" t="s">
        <v>22</v>
      </c>
      <c r="B8" s="1">
        <v>5000</v>
      </c>
    </row>
    <row r="9" spans="1:3" x14ac:dyDescent="0.3">
      <c r="A9" t="s">
        <v>21</v>
      </c>
      <c r="B9" s="1">
        <v>0</v>
      </c>
      <c r="C9" t="s">
        <v>31</v>
      </c>
    </row>
    <row r="10" spans="1:3" x14ac:dyDescent="0.3">
      <c r="A10" t="s">
        <v>20</v>
      </c>
      <c r="B10" s="1">
        <v>200</v>
      </c>
    </row>
    <row r="11" spans="1:3" x14ac:dyDescent="0.3">
      <c r="A11" t="s">
        <v>19</v>
      </c>
      <c r="B11" s="1">
        <v>100</v>
      </c>
    </row>
    <row r="12" spans="1:3" x14ac:dyDescent="0.3">
      <c r="A12" t="s">
        <v>18</v>
      </c>
      <c r="B12" s="1">
        <v>400</v>
      </c>
    </row>
    <row r="13" spans="1:3" x14ac:dyDescent="0.3">
      <c r="A13" t="s">
        <v>26</v>
      </c>
      <c r="B13" s="1">
        <f>SUM(B8:B12)</f>
        <v>5700</v>
      </c>
    </row>
    <row r="14" spans="1:3" x14ac:dyDescent="0.3">
      <c r="A14" t="s">
        <v>11</v>
      </c>
      <c r="B14" s="1">
        <f>B13*12+B7</f>
        <v>175500</v>
      </c>
    </row>
    <row r="17" spans="1:2" x14ac:dyDescent="0.3">
      <c r="A17" t="s">
        <v>29</v>
      </c>
    </row>
    <row r="18" spans="1:2" x14ac:dyDescent="0.3">
      <c r="A18" t="s">
        <v>13</v>
      </c>
      <c r="B18" s="1">
        <v>20</v>
      </c>
    </row>
    <row r="19" spans="1:2" x14ac:dyDescent="0.3">
      <c r="A19" t="s">
        <v>14</v>
      </c>
      <c r="B19" s="1">
        <v>15</v>
      </c>
    </row>
    <row r="21" spans="1:2" x14ac:dyDescent="0.3">
      <c r="A21" t="s">
        <v>30</v>
      </c>
    </row>
    <row r="22" spans="1:2" x14ac:dyDescent="0.3">
      <c r="A22" t="s">
        <v>4</v>
      </c>
      <c r="B22" s="2">
        <v>500</v>
      </c>
    </row>
    <row r="24" spans="1:2" x14ac:dyDescent="0.3">
      <c r="A24" t="s">
        <v>5</v>
      </c>
    </row>
    <row r="25" spans="1:2" x14ac:dyDescent="0.3">
      <c r="A25" s="3" t="s">
        <v>1</v>
      </c>
      <c r="B25" s="2">
        <v>2.5</v>
      </c>
    </row>
    <row r="26" spans="1:2" x14ac:dyDescent="0.3">
      <c r="A26" s="3" t="s">
        <v>2</v>
      </c>
      <c r="B26" s="4">
        <v>0.2</v>
      </c>
    </row>
    <row r="27" spans="1:2" x14ac:dyDescent="0.3">
      <c r="A27" s="3" t="s">
        <v>16</v>
      </c>
      <c r="B27" s="1">
        <f>B19*B25*B26*B22</f>
        <v>3750</v>
      </c>
    </row>
    <row r="29" spans="1:2" x14ac:dyDescent="0.3">
      <c r="A29" s="3" t="s">
        <v>15</v>
      </c>
      <c r="B29" s="2">
        <v>1.5</v>
      </c>
    </row>
    <row r="30" spans="1:2" x14ac:dyDescent="0.3">
      <c r="A30" s="3" t="s">
        <v>3</v>
      </c>
      <c r="B30" s="5">
        <v>0.8</v>
      </c>
    </row>
    <row r="31" spans="1:2" x14ac:dyDescent="0.3">
      <c r="A31" s="3" t="s">
        <v>17</v>
      </c>
      <c r="B31" s="1">
        <f>B22*B18*B29*B30</f>
        <v>12000</v>
      </c>
    </row>
    <row r="33" spans="1:2" x14ac:dyDescent="0.3">
      <c r="A33" t="s">
        <v>6</v>
      </c>
      <c r="B33" s="1">
        <f>B27+B31</f>
        <v>15750</v>
      </c>
    </row>
    <row r="34" spans="1:2" x14ac:dyDescent="0.3">
      <c r="A34" s="3" t="s">
        <v>7</v>
      </c>
      <c r="B34" s="1">
        <f>B33*4</f>
        <v>63000</v>
      </c>
    </row>
    <row r="35" spans="1:2" x14ac:dyDescent="0.3">
      <c r="A35" s="3" t="s">
        <v>8</v>
      </c>
      <c r="B35" s="1">
        <f>B33*51</f>
        <v>803250</v>
      </c>
    </row>
    <row r="36" spans="1:2" x14ac:dyDescent="0.3">
      <c r="A36" s="3" t="s">
        <v>9</v>
      </c>
      <c r="B36" s="1">
        <f>B35*0.25</f>
        <v>200812.5</v>
      </c>
    </row>
    <row r="37" spans="1:2" x14ac:dyDescent="0.3">
      <c r="A37" s="3" t="s">
        <v>10</v>
      </c>
      <c r="B37" s="1">
        <f>B35-B36</f>
        <v>602437.5</v>
      </c>
    </row>
    <row r="38" spans="1:2" x14ac:dyDescent="0.3">
      <c r="A38" s="3" t="s">
        <v>12</v>
      </c>
      <c r="B38" s="1">
        <f>B37-B14</f>
        <v>426937.5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ED5F7-7D0A-4613-B246-76BB506BCE91}">
  <dimension ref="A1:M18"/>
  <sheetViews>
    <sheetView workbookViewId="0">
      <selection activeCell="A22" sqref="A22"/>
    </sheetView>
  </sheetViews>
  <sheetFormatPr defaultRowHeight="14.4" x14ac:dyDescent="0.3"/>
  <cols>
    <col min="1" max="1" width="19.44140625" bestFit="1" customWidth="1"/>
    <col min="2" max="2" width="14.33203125" style="7" bestFit="1" customWidth="1"/>
    <col min="3" max="4" width="12.88671875" bestFit="1" customWidth="1"/>
    <col min="5" max="5" width="9.88671875" bestFit="1" customWidth="1"/>
    <col min="6" max="6" width="23" bestFit="1" customWidth="1"/>
    <col min="8" max="8" width="13.5546875" bestFit="1" customWidth="1"/>
    <col min="9" max="9" width="13.21875" bestFit="1" customWidth="1"/>
    <col min="10" max="10" width="20" bestFit="1" customWidth="1"/>
    <col min="11" max="11" width="22" bestFit="1" customWidth="1"/>
    <col min="12" max="12" width="13.21875" bestFit="1" customWidth="1"/>
    <col min="13" max="13" width="24.33203125" bestFit="1" customWidth="1"/>
  </cols>
  <sheetData>
    <row r="1" spans="1:13" x14ac:dyDescent="0.3">
      <c r="A1" t="s">
        <v>302</v>
      </c>
      <c r="H1" t="s">
        <v>303</v>
      </c>
      <c r="I1" s="7"/>
    </row>
    <row r="2" spans="1:13" x14ac:dyDescent="0.3">
      <c r="B2" s="7" t="s">
        <v>86</v>
      </c>
      <c r="C2" t="s">
        <v>292</v>
      </c>
      <c r="D2" t="s">
        <v>293</v>
      </c>
      <c r="E2" t="s">
        <v>295</v>
      </c>
      <c r="F2" t="s">
        <v>297</v>
      </c>
      <c r="I2" s="7" t="s">
        <v>305</v>
      </c>
    </row>
    <row r="3" spans="1:13" x14ac:dyDescent="0.3">
      <c r="A3" t="s">
        <v>286</v>
      </c>
      <c r="H3" t="s">
        <v>304</v>
      </c>
      <c r="I3" s="7"/>
    </row>
    <row r="6" spans="1:13" x14ac:dyDescent="0.3">
      <c r="A6" t="s">
        <v>288</v>
      </c>
      <c r="J6" t="s">
        <v>306</v>
      </c>
      <c r="K6" s="7" t="s">
        <v>308</v>
      </c>
      <c r="L6" t="s">
        <v>319</v>
      </c>
      <c r="M6" t="s">
        <v>310</v>
      </c>
    </row>
    <row r="7" spans="1:13" x14ac:dyDescent="0.3">
      <c r="J7" t="s">
        <v>307</v>
      </c>
      <c r="K7" s="7"/>
    </row>
    <row r="8" spans="1:13" x14ac:dyDescent="0.3">
      <c r="J8" t="s">
        <v>309</v>
      </c>
      <c r="K8" s="10" t="s">
        <v>312</v>
      </c>
      <c r="L8" t="s">
        <v>320</v>
      </c>
      <c r="M8" t="s">
        <v>311</v>
      </c>
    </row>
    <row r="9" spans="1:13" x14ac:dyDescent="0.3">
      <c r="A9" t="s">
        <v>289</v>
      </c>
      <c r="J9" t="s">
        <v>314</v>
      </c>
      <c r="K9" s="10" t="s">
        <v>315</v>
      </c>
      <c r="L9" t="s">
        <v>320</v>
      </c>
      <c r="M9" t="s">
        <v>313</v>
      </c>
    </row>
    <row r="10" spans="1:13" x14ac:dyDescent="0.3">
      <c r="J10" t="s">
        <v>317</v>
      </c>
      <c r="K10" t="s">
        <v>316</v>
      </c>
      <c r="L10" t="s">
        <v>320</v>
      </c>
      <c r="M10" t="s">
        <v>318</v>
      </c>
    </row>
    <row r="11" spans="1:13" x14ac:dyDescent="0.3">
      <c r="J11" t="s">
        <v>324</v>
      </c>
      <c r="K11" t="s">
        <v>321</v>
      </c>
      <c r="L11" t="s">
        <v>322</v>
      </c>
      <c r="M11" t="s">
        <v>323</v>
      </c>
    </row>
    <row r="12" spans="1:13" x14ac:dyDescent="0.3">
      <c r="A12" t="s">
        <v>287</v>
      </c>
    </row>
    <row r="15" spans="1:13" x14ac:dyDescent="0.3">
      <c r="A15" t="s">
        <v>290</v>
      </c>
    </row>
    <row r="18" spans="1:1" x14ac:dyDescent="0.3">
      <c r="A18" t="s">
        <v>291</v>
      </c>
    </row>
  </sheetData>
  <hyperlinks>
    <hyperlink ref="K8" r:id="rId1" xr:uid="{07E53557-BDF7-4F7E-9ECE-28FFB50A67B4}"/>
    <hyperlink ref="K9" r:id="rId2" xr:uid="{5581E50E-8D2A-4C99-848C-B9855F0143A5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328D9-1DCE-4B51-AE60-9CCAF40EB9F8}">
  <dimension ref="A3:C35"/>
  <sheetViews>
    <sheetView topLeftCell="A13" workbookViewId="0">
      <selection activeCell="B14" sqref="B14"/>
    </sheetView>
  </sheetViews>
  <sheetFormatPr defaultRowHeight="14.4" x14ac:dyDescent="0.3"/>
  <cols>
    <col min="1" max="1" width="43.33203125" bestFit="1" customWidth="1"/>
    <col min="2" max="2" width="17.6640625" bestFit="1" customWidth="1"/>
  </cols>
  <sheetData>
    <row r="3" spans="1:3" x14ac:dyDescent="0.3">
      <c r="B3" t="s">
        <v>187</v>
      </c>
    </row>
    <row r="4" spans="1:3" x14ac:dyDescent="0.3">
      <c r="A4" t="s">
        <v>186</v>
      </c>
      <c r="B4">
        <f>Net_And_Analysis!I5</f>
        <v>355</v>
      </c>
    </row>
    <row r="6" spans="1:3" x14ac:dyDescent="0.3">
      <c r="A6" t="s">
        <v>188</v>
      </c>
      <c r="B6">
        <f>Net_And_Analysis!H5</f>
        <v>250</v>
      </c>
    </row>
    <row r="7" spans="1:3" x14ac:dyDescent="0.3">
      <c r="A7" t="s">
        <v>189</v>
      </c>
      <c r="B7">
        <f>Net_And_Analysis!I5</f>
        <v>355</v>
      </c>
    </row>
    <row r="8" spans="1:3" x14ac:dyDescent="0.3">
      <c r="A8" t="s">
        <v>190</v>
      </c>
      <c r="B8">
        <f>Net_And_Analysis!J5</f>
        <v>450</v>
      </c>
    </row>
    <row r="9" spans="1:3" x14ac:dyDescent="0.3">
      <c r="A9" t="s">
        <v>191</v>
      </c>
      <c r="B9">
        <f>Net_And_Analysis!K5</f>
        <v>500</v>
      </c>
    </row>
    <row r="10" spans="1:3" x14ac:dyDescent="0.3">
      <c r="A10" t="s">
        <v>200</v>
      </c>
      <c r="B10">
        <f>Net_And_Analysis!L5</f>
        <v>550</v>
      </c>
    </row>
    <row r="11" spans="1:3" x14ac:dyDescent="0.3">
      <c r="A11" t="s">
        <v>199</v>
      </c>
      <c r="B11">
        <f>Net_And_Analysis!M5</f>
        <v>600</v>
      </c>
    </row>
    <row r="13" spans="1:3" x14ac:dyDescent="0.3">
      <c r="A13" t="s">
        <v>192</v>
      </c>
      <c r="B13" t="s">
        <v>235</v>
      </c>
      <c r="C13" s="10" t="s">
        <v>222</v>
      </c>
    </row>
    <row r="14" spans="1:3" x14ac:dyDescent="0.3">
      <c r="A14" t="s">
        <v>193</v>
      </c>
      <c r="C14">
        <v>2018</v>
      </c>
    </row>
    <row r="15" spans="1:3" x14ac:dyDescent="0.3">
      <c r="A15" t="s">
        <v>227</v>
      </c>
      <c r="B15" s="11">
        <v>58809</v>
      </c>
    </row>
    <row r="16" spans="1:3" x14ac:dyDescent="0.3">
      <c r="A16" t="s">
        <v>226</v>
      </c>
      <c r="B16" s="11">
        <v>56453</v>
      </c>
    </row>
    <row r="17" spans="1:2" x14ac:dyDescent="0.3">
      <c r="A17" t="s">
        <v>225</v>
      </c>
      <c r="B17" s="11">
        <v>58645</v>
      </c>
    </row>
    <row r="18" spans="1:2" x14ac:dyDescent="0.3">
      <c r="A18" t="s">
        <v>224</v>
      </c>
      <c r="B18" s="11">
        <v>49754</v>
      </c>
    </row>
    <row r="19" spans="1:2" x14ac:dyDescent="0.3">
      <c r="A19" t="s">
        <v>223</v>
      </c>
      <c r="B19" s="11">
        <v>50741</v>
      </c>
    </row>
    <row r="20" spans="1:2" x14ac:dyDescent="0.3">
      <c r="A20" t="s">
        <v>228</v>
      </c>
      <c r="B20" s="11">
        <v>54969</v>
      </c>
    </row>
    <row r="21" spans="1:2" x14ac:dyDescent="0.3">
      <c r="A21" t="s">
        <v>229</v>
      </c>
      <c r="B21" s="11">
        <v>59755</v>
      </c>
    </row>
    <row r="22" spans="1:2" x14ac:dyDescent="0.3">
      <c r="A22" t="s">
        <v>230</v>
      </c>
      <c r="B22" s="11">
        <v>59073</v>
      </c>
    </row>
    <row r="23" spans="1:2" x14ac:dyDescent="0.3">
      <c r="A23" t="s">
        <v>231</v>
      </c>
      <c r="B23" s="11">
        <v>60768</v>
      </c>
    </row>
    <row r="24" spans="1:2" x14ac:dyDescent="0.3">
      <c r="A24" t="s">
        <v>232</v>
      </c>
      <c r="B24" s="11">
        <v>45951</v>
      </c>
    </row>
    <row r="25" spans="1:2" x14ac:dyDescent="0.3">
      <c r="A25" t="s">
        <v>233</v>
      </c>
      <c r="B25" s="11">
        <v>37199</v>
      </c>
    </row>
    <row r="28" spans="1:2" x14ac:dyDescent="0.3">
      <c r="A28" t="s">
        <v>43</v>
      </c>
      <c r="B28" s="11">
        <f>SUM(B15:B25)</f>
        <v>592117</v>
      </c>
    </row>
    <row r="29" spans="1:2" x14ac:dyDescent="0.3">
      <c r="A29" t="s">
        <v>195</v>
      </c>
      <c r="B29" s="11">
        <v>25000</v>
      </c>
    </row>
    <row r="30" spans="1:2" x14ac:dyDescent="0.3">
      <c r="A30" t="s">
        <v>194</v>
      </c>
    </row>
    <row r="31" spans="1:2" x14ac:dyDescent="0.3">
      <c r="A31" t="s">
        <v>196</v>
      </c>
      <c r="B31" s="12">
        <f>B28+B29</f>
        <v>617117</v>
      </c>
    </row>
    <row r="32" spans="1:2" x14ac:dyDescent="0.3">
      <c r="A32" t="s">
        <v>237</v>
      </c>
      <c r="B32" s="11">
        <v>620000</v>
      </c>
    </row>
    <row r="34" spans="1:2" x14ac:dyDescent="0.3">
      <c r="A34" t="s">
        <v>197</v>
      </c>
      <c r="B34" s="13">
        <f>$B$4/$B$31</f>
        <v>5.7525558362514723E-4</v>
      </c>
    </row>
    <row r="35" spans="1:2" x14ac:dyDescent="0.3">
      <c r="A35" t="s">
        <v>198</v>
      </c>
      <c r="B35" s="13">
        <f>$B$11/$B$28</f>
        <v>1.0133132472129663E-3</v>
      </c>
    </row>
  </sheetData>
  <phoneticPr fontId="3" type="noConversion"/>
  <hyperlinks>
    <hyperlink ref="C13" r:id="rId1" xr:uid="{9F460612-A357-4BC2-96AB-6169A788747C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AC8DE-41B9-46A0-BE44-EAAB92E58FB4}">
  <dimension ref="A3:H28"/>
  <sheetViews>
    <sheetView workbookViewId="0">
      <selection activeCell="B18" sqref="B18"/>
    </sheetView>
  </sheetViews>
  <sheetFormatPr defaultRowHeight="14.4" x14ac:dyDescent="0.3"/>
  <cols>
    <col min="1" max="1" width="31" bestFit="1" customWidth="1"/>
    <col min="2" max="2" width="21.88671875" customWidth="1"/>
    <col min="3" max="7" width="12.5546875" bestFit="1" customWidth="1"/>
    <col min="8" max="8" width="11.109375" bestFit="1" customWidth="1"/>
  </cols>
  <sheetData>
    <row r="3" spans="1:7" x14ac:dyDescent="0.3">
      <c r="A3" t="s">
        <v>221</v>
      </c>
      <c r="B3" s="7">
        <f>PCs!D12</f>
        <v>19680</v>
      </c>
    </row>
    <row r="4" spans="1:7" x14ac:dyDescent="0.3">
      <c r="A4" t="s">
        <v>278</v>
      </c>
      <c r="B4" s="7">
        <f>Dance_Studio!D8</f>
        <v>16500</v>
      </c>
    </row>
    <row r="5" spans="1:7" x14ac:dyDescent="0.3">
      <c r="A5" t="s">
        <v>76</v>
      </c>
      <c r="B5" s="7">
        <f>Kitchen!G18</f>
        <v>33315</v>
      </c>
    </row>
    <row r="6" spans="1:7" x14ac:dyDescent="0.3">
      <c r="A6" t="s">
        <v>77</v>
      </c>
      <c r="B6" s="7">
        <f>Liabilities!B7</f>
        <v>150</v>
      </c>
    </row>
    <row r="7" spans="1:7" x14ac:dyDescent="0.3">
      <c r="A7" t="s">
        <v>81</v>
      </c>
      <c r="B7" s="7">
        <f>decor!K7</f>
        <v>800</v>
      </c>
    </row>
    <row r="8" spans="1:7" x14ac:dyDescent="0.3">
      <c r="A8" t="s">
        <v>88</v>
      </c>
      <c r="B8" s="7">
        <f>'Eating Area'!F10</f>
        <v>3200</v>
      </c>
    </row>
    <row r="10" spans="1:7" x14ac:dyDescent="0.3">
      <c r="A10" t="s">
        <v>80</v>
      </c>
      <c r="B10" s="7">
        <f>SUM(B3:B8)</f>
        <v>73645</v>
      </c>
    </row>
    <row r="11" spans="1:7" x14ac:dyDescent="0.3">
      <c r="A11" t="s">
        <v>238</v>
      </c>
      <c r="B11" s="6">
        <v>2000</v>
      </c>
    </row>
    <row r="12" spans="1:7" x14ac:dyDescent="0.3">
      <c r="A12" t="s">
        <v>220</v>
      </c>
      <c r="B12" s="1">
        <v>10000</v>
      </c>
    </row>
    <row r="13" spans="1:7" x14ac:dyDescent="0.3">
      <c r="A13" t="s">
        <v>239</v>
      </c>
      <c r="B13" s="7">
        <f>SUM(B10:B12)</f>
        <v>85645</v>
      </c>
    </row>
    <row r="15" spans="1:7" x14ac:dyDescent="0.3">
      <c r="A15" t="s">
        <v>124</v>
      </c>
      <c r="B15" s="7">
        <f>Operating_Costs!G12</f>
        <v>359966.66666666669</v>
      </c>
    </row>
    <row r="16" spans="1:7" x14ac:dyDescent="0.3">
      <c r="A16" t="s">
        <v>125</v>
      </c>
      <c r="B16">
        <v>6</v>
      </c>
      <c r="C16">
        <v>5</v>
      </c>
      <c r="D16">
        <v>4</v>
      </c>
      <c r="E16">
        <v>3</v>
      </c>
      <c r="F16">
        <v>2</v>
      </c>
      <c r="G16">
        <v>1</v>
      </c>
    </row>
    <row r="17" spans="1:8" x14ac:dyDescent="0.3">
      <c r="A17" t="s">
        <v>126</v>
      </c>
      <c r="B17">
        <f>B16/12</f>
        <v>0.5</v>
      </c>
      <c r="C17">
        <f t="shared" ref="C17:G17" si="0">C16/12</f>
        <v>0.41666666666666669</v>
      </c>
      <c r="D17">
        <f t="shared" si="0"/>
        <v>0.33333333333333331</v>
      </c>
      <c r="E17">
        <f t="shared" si="0"/>
        <v>0.25</v>
      </c>
      <c r="F17">
        <f t="shared" si="0"/>
        <v>0.16666666666666666</v>
      </c>
      <c r="G17">
        <f t="shared" si="0"/>
        <v>8.3333333333333329E-2</v>
      </c>
    </row>
    <row r="18" spans="1:8" x14ac:dyDescent="0.3">
      <c r="A18" t="s">
        <v>217</v>
      </c>
      <c r="B18" s="7">
        <f t="shared" ref="B18:G18" si="1">$B$15*B$17</f>
        <v>179983.33333333334</v>
      </c>
      <c r="C18" s="7">
        <f t="shared" si="1"/>
        <v>149986.11111111112</v>
      </c>
      <c r="D18" s="7">
        <f t="shared" si="1"/>
        <v>119988.88888888889</v>
      </c>
      <c r="E18" s="7">
        <f t="shared" si="1"/>
        <v>89991.666666666672</v>
      </c>
      <c r="F18" s="7">
        <f t="shared" si="1"/>
        <v>59994.444444444445</v>
      </c>
      <c r="G18" s="7">
        <f t="shared" si="1"/>
        <v>29997.222222222223</v>
      </c>
      <c r="H18" s="7"/>
    </row>
    <row r="19" spans="1:8" x14ac:dyDescent="0.3">
      <c r="A19" t="s">
        <v>127</v>
      </c>
      <c r="B19" s="7">
        <f>$B$10+($B$15*B$17)+$B$12+$B$11</f>
        <v>265628.33333333337</v>
      </c>
      <c r="C19" s="7">
        <f t="shared" ref="C19:G19" si="2">$B$10+($B$15*C$17)+$B$12+$B$11</f>
        <v>235631.11111111112</v>
      </c>
      <c r="D19" s="7">
        <f t="shared" si="2"/>
        <v>205633.88888888888</v>
      </c>
      <c r="E19" s="7">
        <f t="shared" si="2"/>
        <v>175636.66666666669</v>
      </c>
      <c r="F19" s="7">
        <f t="shared" si="2"/>
        <v>145639.44444444444</v>
      </c>
      <c r="G19" s="7">
        <f t="shared" si="2"/>
        <v>115642.22222222222</v>
      </c>
      <c r="H19" s="7"/>
    </row>
    <row r="22" spans="1:8" x14ac:dyDescent="0.3">
      <c r="A22" t="s">
        <v>206</v>
      </c>
      <c r="B22" t="s">
        <v>205</v>
      </c>
    </row>
    <row r="23" spans="1:8" x14ac:dyDescent="0.3">
      <c r="A23" t="s">
        <v>202</v>
      </c>
      <c r="B23" t="s">
        <v>205</v>
      </c>
    </row>
    <row r="24" spans="1:8" x14ac:dyDescent="0.3">
      <c r="A24" t="s">
        <v>201</v>
      </c>
      <c r="B24" t="s">
        <v>205</v>
      </c>
    </row>
    <row r="25" spans="1:8" x14ac:dyDescent="0.3">
      <c r="A25" t="s">
        <v>128</v>
      </c>
      <c r="B25" t="s">
        <v>203</v>
      </c>
    </row>
    <row r="26" spans="1:8" x14ac:dyDescent="0.3">
      <c r="A26" t="s">
        <v>129</v>
      </c>
      <c r="B26" t="s">
        <v>207</v>
      </c>
    </row>
    <row r="27" spans="1:8" x14ac:dyDescent="0.3">
      <c r="A27" t="s">
        <v>204</v>
      </c>
      <c r="B27" t="s">
        <v>248</v>
      </c>
    </row>
    <row r="28" spans="1:8" x14ac:dyDescent="0.3">
      <c r="A28" t="s">
        <v>208</v>
      </c>
      <c r="B28" t="s">
        <v>212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2772E-1427-43D2-80C2-98741A931E56}">
  <dimension ref="A4:M29"/>
  <sheetViews>
    <sheetView zoomScaleNormal="100" workbookViewId="0">
      <selection activeCell="H21" sqref="H21"/>
    </sheetView>
  </sheetViews>
  <sheetFormatPr defaultRowHeight="14.4" x14ac:dyDescent="0.3"/>
  <cols>
    <col min="1" max="1" width="32.6640625" bestFit="1" customWidth="1"/>
    <col min="2" max="2" width="13.44140625" bestFit="1" customWidth="1"/>
    <col min="3" max="3" width="16.33203125" customWidth="1"/>
    <col min="4" max="7" width="13.44140625" bestFit="1" customWidth="1"/>
    <col min="8" max="8" width="15" bestFit="1" customWidth="1"/>
    <col min="9" max="9" width="16.44140625" style="15" bestFit="1" customWidth="1"/>
    <col min="10" max="10" width="13" bestFit="1" customWidth="1"/>
    <col min="11" max="12" width="13.6640625" bestFit="1" customWidth="1"/>
    <col min="13" max="13" width="13" style="17" bestFit="1" customWidth="1"/>
  </cols>
  <sheetData>
    <row r="4" spans="1:13" x14ac:dyDescent="0.3">
      <c r="I4" s="15" t="s">
        <v>236</v>
      </c>
      <c r="M4" s="17" t="s">
        <v>174</v>
      </c>
    </row>
    <row r="5" spans="1:13" x14ac:dyDescent="0.3">
      <c r="A5" t="s">
        <v>4</v>
      </c>
      <c r="B5">
        <f>Gross!C30</f>
        <v>5</v>
      </c>
      <c r="C5">
        <f>Gross!D30</f>
        <v>10</v>
      </c>
      <c r="D5">
        <f>Gross!E30</f>
        <v>20</v>
      </c>
      <c r="E5">
        <f>Gross!F30</f>
        <v>40</v>
      </c>
      <c r="F5">
        <f>Gross!G30</f>
        <v>80</v>
      </c>
      <c r="G5">
        <f>Gross!H30</f>
        <v>160</v>
      </c>
      <c r="H5">
        <f>Gross!I30</f>
        <v>250</v>
      </c>
      <c r="I5" s="15">
        <f>Gross!J30</f>
        <v>355</v>
      </c>
      <c r="J5">
        <f>Gross!K30</f>
        <v>450</v>
      </c>
      <c r="K5">
        <f>Gross!L30</f>
        <v>500</v>
      </c>
      <c r="L5">
        <f>Gross!M30</f>
        <v>550</v>
      </c>
      <c r="M5" s="17">
        <f>Gross!N30</f>
        <v>600</v>
      </c>
    </row>
    <row r="6" spans="1:13" x14ac:dyDescent="0.3">
      <c r="A6" t="s">
        <v>170</v>
      </c>
      <c r="B6" s="7">
        <f>Gross!C45</f>
        <v>5200.0000000000009</v>
      </c>
      <c r="C6" s="7">
        <f>Gross!D45</f>
        <v>10400.000000000002</v>
      </c>
      <c r="D6" s="7">
        <f>Gross!E45</f>
        <v>20800.000000000004</v>
      </c>
      <c r="E6" s="7">
        <f>Gross!F45</f>
        <v>41600.000000000007</v>
      </c>
      <c r="F6" s="7">
        <f>Gross!G45</f>
        <v>83200.000000000015</v>
      </c>
      <c r="G6" s="7">
        <f>Gross!H45</f>
        <v>166400.00000000003</v>
      </c>
      <c r="H6" s="7">
        <f>Gross!I45</f>
        <v>260000.00000000006</v>
      </c>
      <c r="I6" s="16">
        <f>Gross!J45</f>
        <v>369200.00000000006</v>
      </c>
      <c r="J6" s="7">
        <f>Gross!K45</f>
        <v>468000.00000000012</v>
      </c>
      <c r="K6" s="7">
        <f>Gross!L45</f>
        <v>520000.00000000012</v>
      </c>
      <c r="L6" s="7">
        <f>Gross!M45</f>
        <v>572000.00000000012</v>
      </c>
      <c r="M6" s="18">
        <f>Gross!N45</f>
        <v>624000.00000000012</v>
      </c>
    </row>
    <row r="7" spans="1:13" x14ac:dyDescent="0.3">
      <c r="H7" s="7"/>
      <c r="I7" s="16"/>
      <c r="J7" s="7"/>
      <c r="K7" s="7"/>
      <c r="L7" s="7"/>
    </row>
    <row r="8" spans="1:13" x14ac:dyDescent="0.3">
      <c r="A8" t="s">
        <v>169</v>
      </c>
      <c r="B8" s="7">
        <f>Operating_Costs!G12</f>
        <v>359966.66666666669</v>
      </c>
      <c r="H8" s="7"/>
      <c r="I8" s="16"/>
      <c r="J8" s="7"/>
      <c r="K8" s="7"/>
      <c r="L8" s="7"/>
    </row>
    <row r="9" spans="1:13" x14ac:dyDescent="0.3">
      <c r="H9" s="7"/>
      <c r="I9" s="16"/>
      <c r="J9" s="7"/>
      <c r="K9" s="7"/>
      <c r="L9" s="7"/>
    </row>
    <row r="10" spans="1:13" x14ac:dyDescent="0.3">
      <c r="A10" t="s">
        <v>171</v>
      </c>
      <c r="B10" s="7">
        <f>B6-$B$8</f>
        <v>-354766.66666666669</v>
      </c>
      <c r="C10" s="7">
        <f t="shared" ref="C10:L10" si="0">C6-$B$8</f>
        <v>-349566.66666666669</v>
      </c>
      <c r="D10" s="7">
        <f t="shared" si="0"/>
        <v>-339166.66666666669</v>
      </c>
      <c r="E10" s="7">
        <f t="shared" si="0"/>
        <v>-318366.66666666669</v>
      </c>
      <c r="F10" s="7">
        <f t="shared" si="0"/>
        <v>-276766.66666666669</v>
      </c>
      <c r="G10" s="7">
        <f t="shared" si="0"/>
        <v>-193566.66666666666</v>
      </c>
      <c r="H10" s="7">
        <f t="shared" si="0"/>
        <v>-99966.666666666628</v>
      </c>
      <c r="I10" s="16">
        <f t="shared" si="0"/>
        <v>9233.3333333333721</v>
      </c>
      <c r="J10" s="7">
        <f t="shared" si="0"/>
        <v>108033.33333333343</v>
      </c>
      <c r="K10" s="7">
        <f t="shared" si="0"/>
        <v>160033.33333333343</v>
      </c>
      <c r="L10" s="7">
        <f t="shared" si="0"/>
        <v>212033.33333333343</v>
      </c>
      <c r="M10" s="18">
        <f t="shared" ref="M10" si="1">M6-$B$8</f>
        <v>264033.33333333343</v>
      </c>
    </row>
    <row r="11" spans="1:13" x14ac:dyDescent="0.3">
      <c r="B11" t="s">
        <v>108</v>
      </c>
    </row>
    <row r="12" spans="1:13" x14ac:dyDescent="0.3">
      <c r="A12" t="s">
        <v>172</v>
      </c>
      <c r="B12">
        <f>H5</f>
        <v>250</v>
      </c>
    </row>
    <row r="13" spans="1:13" x14ac:dyDescent="0.3">
      <c r="A13" t="s">
        <v>173</v>
      </c>
      <c r="B13">
        <f>Gross!I37</f>
        <v>40.000000000000007</v>
      </c>
    </row>
    <row r="15" spans="1:13" x14ac:dyDescent="0.3">
      <c r="B15" t="s">
        <v>108</v>
      </c>
    </row>
    <row r="16" spans="1:13" x14ac:dyDescent="0.3">
      <c r="A16" t="s">
        <v>176</v>
      </c>
      <c r="B16">
        <f>M5</f>
        <v>600</v>
      </c>
      <c r="C16" t="s">
        <v>184</v>
      </c>
    </row>
    <row r="17" spans="1:3" x14ac:dyDescent="0.3">
      <c r="A17" t="s">
        <v>137</v>
      </c>
      <c r="B17">
        <f>B16*0.2</f>
        <v>120</v>
      </c>
      <c r="C17">
        <f>B17/2</f>
        <v>60</v>
      </c>
    </row>
    <row r="18" spans="1:3" x14ac:dyDescent="0.3">
      <c r="A18" t="s">
        <v>182</v>
      </c>
      <c r="B18">
        <f>B16-(0.2*710)</f>
        <v>458</v>
      </c>
    </row>
    <row r="20" spans="1:3" x14ac:dyDescent="0.3">
      <c r="A20" t="s">
        <v>177</v>
      </c>
      <c r="B20">
        <f>Gross!L37</f>
        <v>80.000000000000014</v>
      </c>
    </row>
    <row r="21" spans="1:3" x14ac:dyDescent="0.3">
      <c r="A21" t="s">
        <v>178</v>
      </c>
      <c r="B21" s="9">
        <v>0.75</v>
      </c>
    </row>
    <row r="22" spans="1:3" x14ac:dyDescent="0.3">
      <c r="A22" t="s">
        <v>181</v>
      </c>
      <c r="B22">
        <f>B20*(1+B21)</f>
        <v>140.00000000000003</v>
      </c>
      <c r="C22" t="s">
        <v>183</v>
      </c>
    </row>
    <row r="24" spans="1:3" x14ac:dyDescent="0.3">
      <c r="A24" t="s">
        <v>175</v>
      </c>
      <c r="B24">
        <f>Gross!B7</f>
        <v>85</v>
      </c>
    </row>
    <row r="25" spans="1:3" x14ac:dyDescent="0.3">
      <c r="A25" t="s">
        <v>180</v>
      </c>
      <c r="B25">
        <v>2</v>
      </c>
    </row>
    <row r="26" spans="1:3" x14ac:dyDescent="0.3">
      <c r="A26" t="s">
        <v>179</v>
      </c>
      <c r="B26">
        <f>B24*B25</f>
        <v>170</v>
      </c>
    </row>
    <row r="28" spans="1:3" x14ac:dyDescent="0.3">
      <c r="A28" t="s">
        <v>185</v>
      </c>
      <c r="B28">
        <f>B26-B22</f>
        <v>29.999999999999972</v>
      </c>
    </row>
    <row r="29" spans="1:3" x14ac:dyDescent="0.3">
      <c r="A29" t="s">
        <v>280</v>
      </c>
      <c r="B29">
        <f>C17-B28</f>
        <v>30.000000000000028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959888-B526-4FAC-9FC1-7A03020906F6}">
  <dimension ref="A1:N45"/>
  <sheetViews>
    <sheetView tabSelected="1" topLeftCell="C13" workbookViewId="0">
      <selection activeCell="L27" sqref="L27"/>
    </sheetView>
  </sheetViews>
  <sheetFormatPr defaultRowHeight="14.4" x14ac:dyDescent="0.3"/>
  <cols>
    <col min="1" max="1" width="24.33203125" bestFit="1" customWidth="1"/>
    <col min="2" max="2" width="22.5546875" bestFit="1" customWidth="1"/>
    <col min="3" max="3" width="22.33203125" customWidth="1"/>
    <col min="4" max="4" width="18.6640625" customWidth="1"/>
    <col min="5" max="5" width="19.6640625" bestFit="1" customWidth="1"/>
    <col min="6" max="6" width="15" customWidth="1"/>
    <col min="7" max="7" width="14.6640625" bestFit="1" customWidth="1"/>
    <col min="8" max="10" width="12.5546875" bestFit="1" customWidth="1"/>
    <col min="11" max="11" width="24.109375" bestFit="1" customWidth="1"/>
    <col min="12" max="12" width="20.21875" bestFit="1" customWidth="1"/>
    <col min="13" max="13" width="13.6640625" bestFit="1" customWidth="1"/>
    <col min="14" max="14" width="12.33203125" bestFit="1" customWidth="1"/>
  </cols>
  <sheetData>
    <row r="1" spans="1:7" x14ac:dyDescent="0.3">
      <c r="B1" t="s">
        <v>135</v>
      </c>
      <c r="F1" t="s">
        <v>136</v>
      </c>
    </row>
    <row r="2" spans="1:7" x14ac:dyDescent="0.3">
      <c r="A2" t="s">
        <v>130</v>
      </c>
      <c r="B2">
        <v>20</v>
      </c>
      <c r="F2" t="s">
        <v>139</v>
      </c>
      <c r="G2" t="s">
        <v>140</v>
      </c>
    </row>
    <row r="3" spans="1:7" x14ac:dyDescent="0.3">
      <c r="A3" t="s">
        <v>131</v>
      </c>
      <c r="B3">
        <f>10</f>
        <v>10</v>
      </c>
      <c r="D3" t="s">
        <v>137</v>
      </c>
      <c r="F3" s="9">
        <v>0.2</v>
      </c>
      <c r="G3" s="6"/>
    </row>
    <row r="4" spans="1:7" x14ac:dyDescent="0.3">
      <c r="A4" t="s">
        <v>132</v>
      </c>
      <c r="B4">
        <v>40</v>
      </c>
      <c r="D4" t="s">
        <v>138</v>
      </c>
      <c r="F4" s="9">
        <v>0.8</v>
      </c>
    </row>
    <row r="5" spans="1:7" x14ac:dyDescent="0.3">
      <c r="A5" t="s">
        <v>133</v>
      </c>
      <c r="B5">
        <v>15</v>
      </c>
    </row>
    <row r="7" spans="1:7" x14ac:dyDescent="0.3">
      <c r="A7" t="s">
        <v>43</v>
      </c>
      <c r="B7">
        <f>SUM(B2:B5)</f>
        <v>85</v>
      </c>
    </row>
    <row r="9" spans="1:7" x14ac:dyDescent="0.3">
      <c r="C9" t="s">
        <v>147</v>
      </c>
    </row>
    <row r="10" spans="1:7" x14ac:dyDescent="0.3">
      <c r="C10" t="s">
        <v>146</v>
      </c>
    </row>
    <row r="11" spans="1:7" x14ac:dyDescent="0.3">
      <c r="C11" t="s">
        <v>145</v>
      </c>
    </row>
    <row r="12" spans="1:7" x14ac:dyDescent="0.3">
      <c r="B12" t="s">
        <v>141</v>
      </c>
      <c r="C12" s="9">
        <v>0.2</v>
      </c>
      <c r="D12" s="9">
        <v>0.8</v>
      </c>
    </row>
    <row r="13" spans="1:7" x14ac:dyDescent="0.3">
      <c r="A13" t="s">
        <v>142</v>
      </c>
      <c r="B13" s="1">
        <v>40</v>
      </c>
      <c r="C13">
        <v>5</v>
      </c>
      <c r="D13">
        <v>3</v>
      </c>
    </row>
    <row r="14" spans="1:7" x14ac:dyDescent="0.3">
      <c r="A14" t="s">
        <v>143</v>
      </c>
      <c r="B14" s="1">
        <v>10</v>
      </c>
      <c r="C14">
        <v>3</v>
      </c>
      <c r="D14">
        <v>2</v>
      </c>
    </row>
    <row r="15" spans="1:7" x14ac:dyDescent="0.3">
      <c r="A15" t="s">
        <v>144</v>
      </c>
      <c r="B15" s="1">
        <v>20</v>
      </c>
      <c r="C15">
        <v>2</v>
      </c>
      <c r="D15">
        <v>1</v>
      </c>
    </row>
    <row r="17" spans="1:14" x14ac:dyDescent="0.3">
      <c r="D17" s="9">
        <v>0.2</v>
      </c>
      <c r="E17">
        <f>D17*100</f>
        <v>20</v>
      </c>
    </row>
    <row r="18" spans="1:14" s="3" customFormat="1" x14ac:dyDescent="0.3"/>
    <row r="19" spans="1:14" x14ac:dyDescent="0.3">
      <c r="A19" t="s">
        <v>157</v>
      </c>
      <c r="B19" t="s">
        <v>159</v>
      </c>
      <c r="C19" t="s">
        <v>153</v>
      </c>
      <c r="D19" t="s">
        <v>209</v>
      </c>
      <c r="E19" t="s">
        <v>158</v>
      </c>
      <c r="F19" t="s">
        <v>156</v>
      </c>
      <c r="G19" t="s">
        <v>167</v>
      </c>
    </row>
    <row r="20" spans="1:14" x14ac:dyDescent="0.3">
      <c r="A20" s="35">
        <v>0.8</v>
      </c>
      <c r="B20">
        <v>0.2</v>
      </c>
      <c r="C20" s="3" t="s">
        <v>149</v>
      </c>
      <c r="D20" s="8">
        <v>0.8</v>
      </c>
      <c r="E20" s="3">
        <f>$A$20*D20*B20</f>
        <v>0.12800000000000003</v>
      </c>
      <c r="F20" s="2">
        <v>2</v>
      </c>
      <c r="G20">
        <f>E20*F20</f>
        <v>0.25600000000000006</v>
      </c>
    </row>
    <row r="21" spans="1:14" x14ac:dyDescent="0.3">
      <c r="A21" s="35"/>
      <c r="B21">
        <v>0.2</v>
      </c>
      <c r="C21" s="3" t="s">
        <v>150</v>
      </c>
      <c r="D21" s="8">
        <v>0.2</v>
      </c>
      <c r="E21" s="3">
        <f t="shared" ref="E21:E23" si="0">$A$20*D21*B21</f>
        <v>3.2000000000000008E-2</v>
      </c>
      <c r="F21" s="2">
        <v>3</v>
      </c>
      <c r="G21">
        <f>E21*F21</f>
        <v>9.600000000000003E-2</v>
      </c>
    </row>
    <row r="22" spans="1:14" x14ac:dyDescent="0.3">
      <c r="A22" s="35"/>
      <c r="B22">
        <v>0.8</v>
      </c>
      <c r="C22" s="3" t="s">
        <v>151</v>
      </c>
      <c r="D22" s="8">
        <v>0.8</v>
      </c>
      <c r="E22" s="3">
        <f t="shared" si="0"/>
        <v>0.51200000000000012</v>
      </c>
      <c r="F22" s="2">
        <v>1</v>
      </c>
      <c r="G22">
        <f>E22*F22</f>
        <v>0.51200000000000012</v>
      </c>
    </row>
    <row r="23" spans="1:14" x14ac:dyDescent="0.3">
      <c r="A23" s="35"/>
      <c r="B23">
        <v>0.8</v>
      </c>
      <c r="C23" s="3" t="s">
        <v>152</v>
      </c>
      <c r="D23" s="8">
        <v>0.2</v>
      </c>
      <c r="E23" s="3">
        <f t="shared" si="0"/>
        <v>0.12800000000000003</v>
      </c>
      <c r="F23" s="2">
        <v>2</v>
      </c>
      <c r="G23">
        <f>E23*F23</f>
        <v>0.25600000000000006</v>
      </c>
      <c r="L23" t="s">
        <v>262</v>
      </c>
    </row>
    <row r="24" spans="1:14" x14ac:dyDescent="0.3">
      <c r="D24" s="3"/>
      <c r="E24" s="3">
        <f>SUM(E20:E23)</f>
        <v>0.80000000000000016</v>
      </c>
      <c r="F24" t="s">
        <v>43</v>
      </c>
      <c r="G24">
        <f>SUM(G20:G23)</f>
        <v>1.1200000000000003</v>
      </c>
      <c r="K24" t="s">
        <v>264</v>
      </c>
      <c r="L24" s="19">
        <f>$B$31*($G$20+$G$21)+$B$33*($G$22+$G$23)</f>
        <v>18.880000000000006</v>
      </c>
    </row>
    <row r="25" spans="1:14" x14ac:dyDescent="0.3">
      <c r="A25" s="35">
        <v>0.2</v>
      </c>
      <c r="B25" s="8">
        <v>0.8</v>
      </c>
      <c r="C25" s="3" t="s">
        <v>154</v>
      </c>
      <c r="D25" t="s">
        <v>161</v>
      </c>
      <c r="E25" s="3">
        <f>$A$25*$B25</f>
        <v>0.16000000000000003</v>
      </c>
      <c r="F25" s="2">
        <v>3</v>
      </c>
      <c r="K25" t="s">
        <v>263</v>
      </c>
      <c r="L25" s="3">
        <f>A25*B42</f>
        <v>8</v>
      </c>
    </row>
    <row r="26" spans="1:14" x14ac:dyDescent="0.3">
      <c r="A26" s="35"/>
      <c r="B26" s="8">
        <v>0.2</v>
      </c>
      <c r="C26" s="3" t="s">
        <v>155</v>
      </c>
      <c r="D26" t="s">
        <v>161</v>
      </c>
      <c r="E26" s="3">
        <f>$A$25*$B26</f>
        <v>4.0000000000000008E-2</v>
      </c>
      <c r="F26" s="2">
        <v>5</v>
      </c>
      <c r="K26" t="s">
        <v>265</v>
      </c>
      <c r="L26">
        <f>52/12</f>
        <v>4.333333333333333</v>
      </c>
    </row>
    <row r="27" spans="1:14" x14ac:dyDescent="0.3">
      <c r="E27">
        <f>SUM(E25:E26)</f>
        <v>0.20000000000000004</v>
      </c>
      <c r="K27" t="s">
        <v>266</v>
      </c>
      <c r="L27">
        <f>L24*L26+L25</f>
        <v>89.813333333333361</v>
      </c>
    </row>
    <row r="28" spans="1:14" x14ac:dyDescent="0.3">
      <c r="E28">
        <f>E24+E27</f>
        <v>1.0000000000000002</v>
      </c>
    </row>
    <row r="29" spans="1:14" x14ac:dyDescent="0.3">
      <c r="B29" t="s">
        <v>148</v>
      </c>
      <c r="K29" s="3"/>
    </row>
    <row r="30" spans="1:14" x14ac:dyDescent="0.3">
      <c r="A30" t="s">
        <v>153</v>
      </c>
      <c r="B30" t="s">
        <v>140</v>
      </c>
      <c r="C30">
        <v>5</v>
      </c>
      <c r="D30">
        <v>10</v>
      </c>
      <c r="E30">
        <v>20</v>
      </c>
      <c r="F30">
        <v>40</v>
      </c>
      <c r="G30">
        <v>80</v>
      </c>
      <c r="H30">
        <v>160</v>
      </c>
      <c r="I30">
        <v>250</v>
      </c>
      <c r="J30">
        <v>355</v>
      </c>
      <c r="K30">
        <v>450</v>
      </c>
      <c r="L30">
        <v>500</v>
      </c>
      <c r="M30">
        <v>550</v>
      </c>
      <c r="N30">
        <v>600</v>
      </c>
    </row>
    <row r="31" spans="1:14" x14ac:dyDescent="0.3">
      <c r="A31" s="3" t="s">
        <v>149</v>
      </c>
      <c r="B31" s="1">
        <v>10</v>
      </c>
      <c r="C31" s="1">
        <f>$E20*$F20*$B31*C$30</f>
        <v>12.800000000000002</v>
      </c>
      <c r="D31" s="1">
        <f t="shared" ref="D31:H31" si="1">$E20*$F20*$B31*D$30</f>
        <v>25.600000000000005</v>
      </c>
      <c r="E31" s="1">
        <f t="shared" si="1"/>
        <v>51.20000000000001</v>
      </c>
      <c r="F31" s="1">
        <f t="shared" si="1"/>
        <v>102.40000000000002</v>
      </c>
      <c r="G31" s="1">
        <f t="shared" si="1"/>
        <v>204.80000000000004</v>
      </c>
      <c r="H31" s="1">
        <f t="shared" si="1"/>
        <v>409.60000000000008</v>
      </c>
      <c r="I31" s="1">
        <f t="shared" ref="I31" si="2">$E20*$F20*$B31*I$30</f>
        <v>640.00000000000011</v>
      </c>
      <c r="J31" s="1">
        <f t="shared" ref="J31:M34" si="3">$E20*$F20*$B31*J$30</f>
        <v>908.80000000000018</v>
      </c>
      <c r="K31" s="1">
        <f t="shared" si="3"/>
        <v>1152.0000000000002</v>
      </c>
      <c r="L31" s="1">
        <f t="shared" si="3"/>
        <v>1280.0000000000002</v>
      </c>
      <c r="M31" s="1">
        <f t="shared" si="3"/>
        <v>1408.0000000000002</v>
      </c>
      <c r="N31" s="1">
        <f>$E20*$F20*$B31*N$30</f>
        <v>1536.0000000000002</v>
      </c>
    </row>
    <row r="32" spans="1:14" x14ac:dyDescent="0.3">
      <c r="A32" s="3" t="s">
        <v>150</v>
      </c>
      <c r="B32" s="1">
        <v>10</v>
      </c>
      <c r="C32" s="1">
        <f t="shared" ref="C32:H34" si="4">$E21*$F21*$B32*C$30</f>
        <v>4.8000000000000016</v>
      </c>
      <c r="D32" s="1">
        <f t="shared" si="4"/>
        <v>9.6000000000000032</v>
      </c>
      <c r="E32" s="1">
        <f t="shared" si="4"/>
        <v>19.200000000000006</v>
      </c>
      <c r="F32" s="1">
        <f t="shared" si="4"/>
        <v>38.400000000000013</v>
      </c>
      <c r="G32" s="1">
        <f t="shared" si="4"/>
        <v>76.800000000000026</v>
      </c>
      <c r="H32" s="1">
        <f t="shared" si="4"/>
        <v>153.60000000000005</v>
      </c>
      <c r="I32" s="1">
        <f t="shared" ref="I32" si="5">$E21*$F21*$B32*I$30</f>
        <v>240.00000000000009</v>
      </c>
      <c r="J32" s="1">
        <f t="shared" si="3"/>
        <v>340.80000000000013</v>
      </c>
      <c r="K32" s="1">
        <f t="shared" si="3"/>
        <v>432.00000000000011</v>
      </c>
      <c r="L32" s="1">
        <f t="shared" si="3"/>
        <v>480.00000000000017</v>
      </c>
      <c r="M32" s="1">
        <f t="shared" si="3"/>
        <v>528.00000000000011</v>
      </c>
      <c r="N32" s="1">
        <f t="shared" ref="N32" si="6">$E21*$F21*$B32*N$30</f>
        <v>576.00000000000023</v>
      </c>
    </row>
    <row r="33" spans="1:14" x14ac:dyDescent="0.3">
      <c r="A33" s="3" t="s">
        <v>151</v>
      </c>
      <c r="B33" s="1">
        <v>20</v>
      </c>
      <c r="C33" s="1">
        <f t="shared" si="4"/>
        <v>51.20000000000001</v>
      </c>
      <c r="D33" s="1">
        <f t="shared" si="4"/>
        <v>102.40000000000002</v>
      </c>
      <c r="E33" s="1">
        <f t="shared" si="4"/>
        <v>204.80000000000004</v>
      </c>
      <c r="F33" s="1">
        <f t="shared" si="4"/>
        <v>409.60000000000008</v>
      </c>
      <c r="G33" s="1">
        <f t="shared" si="4"/>
        <v>819.20000000000016</v>
      </c>
      <c r="H33" s="1">
        <f t="shared" si="4"/>
        <v>1638.4000000000003</v>
      </c>
      <c r="I33" s="1">
        <f t="shared" ref="I33" si="7">$E22*$F22*$B33*I$30</f>
        <v>2560.0000000000005</v>
      </c>
      <c r="J33" s="1">
        <f t="shared" si="3"/>
        <v>3635.2000000000007</v>
      </c>
      <c r="K33" s="1">
        <f t="shared" si="3"/>
        <v>4608.0000000000009</v>
      </c>
      <c r="L33" s="1">
        <f t="shared" si="3"/>
        <v>5120.0000000000009</v>
      </c>
      <c r="M33" s="1">
        <f t="shared" si="3"/>
        <v>5632.0000000000009</v>
      </c>
      <c r="N33" s="1">
        <f t="shared" ref="N33" si="8">$E22*$F22*$B33*N$30</f>
        <v>6144.0000000000009</v>
      </c>
    </row>
    <row r="34" spans="1:14" x14ac:dyDescent="0.3">
      <c r="A34" s="3" t="s">
        <v>152</v>
      </c>
      <c r="B34" s="1">
        <v>20</v>
      </c>
      <c r="C34" s="1">
        <f t="shared" si="4"/>
        <v>25.600000000000005</v>
      </c>
      <c r="D34" s="1">
        <f t="shared" si="4"/>
        <v>51.20000000000001</v>
      </c>
      <c r="E34" s="1">
        <f t="shared" si="4"/>
        <v>102.40000000000002</v>
      </c>
      <c r="F34" s="1">
        <f t="shared" si="4"/>
        <v>204.80000000000004</v>
      </c>
      <c r="G34" s="1">
        <f t="shared" si="4"/>
        <v>409.60000000000008</v>
      </c>
      <c r="H34" s="1">
        <f t="shared" si="4"/>
        <v>819.20000000000016</v>
      </c>
      <c r="I34" s="1">
        <f t="shared" ref="I34" si="9">$E23*$F23*$B34*I$30</f>
        <v>1280.0000000000002</v>
      </c>
      <c r="J34" s="1">
        <f t="shared" si="3"/>
        <v>1817.6000000000004</v>
      </c>
      <c r="K34" s="1">
        <f t="shared" si="3"/>
        <v>2304.0000000000005</v>
      </c>
      <c r="L34" s="1">
        <f t="shared" si="3"/>
        <v>2560.0000000000005</v>
      </c>
      <c r="M34" s="1">
        <f t="shared" si="3"/>
        <v>2816.0000000000005</v>
      </c>
      <c r="N34" s="1">
        <f t="shared" ref="N34" si="10">$E23*$F23*$B34*N$30</f>
        <v>3072.0000000000005</v>
      </c>
    </row>
    <row r="35" spans="1:14" x14ac:dyDescent="0.3">
      <c r="A35" s="3" t="s">
        <v>160</v>
      </c>
      <c r="C35" s="7">
        <f>SUM(C31:C34)</f>
        <v>94.40000000000002</v>
      </c>
      <c r="D35" s="7">
        <f>SUM(D31:D34)</f>
        <v>188.80000000000004</v>
      </c>
      <c r="E35" s="7">
        <f t="shared" ref="E35:I35" si="11">SUM(E31:E34)</f>
        <v>377.60000000000008</v>
      </c>
      <c r="F35" s="7">
        <f t="shared" si="11"/>
        <v>755.20000000000016</v>
      </c>
      <c r="G35" s="7">
        <f t="shared" si="11"/>
        <v>1510.4000000000003</v>
      </c>
      <c r="H35" s="7">
        <f t="shared" si="11"/>
        <v>3020.8000000000006</v>
      </c>
      <c r="I35" s="7">
        <f t="shared" si="11"/>
        <v>4720.0000000000009</v>
      </c>
      <c r="J35" s="7">
        <f>SUM(J31:J34)</f>
        <v>6702.4000000000015</v>
      </c>
      <c r="K35" s="7">
        <f>SUM(K31:K34)</f>
        <v>8496.0000000000018</v>
      </c>
      <c r="L35" s="7">
        <f>SUM(L31:L34)</f>
        <v>9440.0000000000018</v>
      </c>
      <c r="M35" s="7">
        <f>SUM(M31:M34)</f>
        <v>10384.000000000002</v>
      </c>
      <c r="N35" s="7">
        <f>SUM(N31:N34)</f>
        <v>11328.000000000002</v>
      </c>
    </row>
    <row r="36" spans="1:14" x14ac:dyDescent="0.3">
      <c r="A36" s="3" t="s">
        <v>166</v>
      </c>
      <c r="C36" s="3">
        <f>C$30*($G$24)</f>
        <v>5.6000000000000014</v>
      </c>
      <c r="D36" s="3">
        <f t="shared" ref="D36:I36" si="12">D$30*($G$24)</f>
        <v>11.200000000000003</v>
      </c>
      <c r="E36" s="3">
        <f t="shared" si="12"/>
        <v>22.400000000000006</v>
      </c>
      <c r="F36" s="3">
        <f t="shared" si="12"/>
        <v>44.800000000000011</v>
      </c>
      <c r="G36" s="3">
        <f t="shared" si="12"/>
        <v>89.600000000000023</v>
      </c>
      <c r="H36" s="3">
        <f t="shared" si="12"/>
        <v>179.20000000000005</v>
      </c>
      <c r="I36" s="3">
        <f t="shared" si="12"/>
        <v>280.00000000000006</v>
      </c>
      <c r="J36" s="3">
        <f>J$30*($G$24)</f>
        <v>397.60000000000014</v>
      </c>
      <c r="K36" s="3">
        <f>K$30*($G$24)</f>
        <v>504.00000000000017</v>
      </c>
      <c r="L36" s="3">
        <f>L$30*($G$24)</f>
        <v>560.00000000000011</v>
      </c>
      <c r="M36" s="3">
        <f>M$30*($G$24)</f>
        <v>616.00000000000023</v>
      </c>
      <c r="N36" s="3">
        <f>N$30*($G$24)</f>
        <v>672.00000000000023</v>
      </c>
    </row>
    <row r="37" spans="1:14" x14ac:dyDescent="0.3">
      <c r="A37" s="3" t="s">
        <v>168</v>
      </c>
      <c r="C37">
        <f>C36/7</f>
        <v>0.80000000000000016</v>
      </c>
      <c r="D37">
        <f t="shared" ref="D37:I37" si="13">D36/7</f>
        <v>1.6000000000000003</v>
      </c>
      <c r="E37">
        <f t="shared" si="13"/>
        <v>3.2000000000000006</v>
      </c>
      <c r="F37">
        <f t="shared" si="13"/>
        <v>6.4000000000000012</v>
      </c>
      <c r="G37">
        <f t="shared" si="13"/>
        <v>12.800000000000002</v>
      </c>
      <c r="H37">
        <f t="shared" si="13"/>
        <v>25.600000000000005</v>
      </c>
      <c r="I37">
        <f t="shared" si="13"/>
        <v>40.000000000000007</v>
      </c>
      <c r="J37">
        <f>J36/7</f>
        <v>56.800000000000018</v>
      </c>
      <c r="K37">
        <f>K36/7</f>
        <v>72.000000000000028</v>
      </c>
      <c r="L37">
        <f>L36/7</f>
        <v>80.000000000000014</v>
      </c>
      <c r="M37">
        <f>M36/7</f>
        <v>88.000000000000028</v>
      </c>
      <c r="N37">
        <f>N36/7</f>
        <v>96.000000000000028</v>
      </c>
    </row>
    <row r="41" spans="1:14" x14ac:dyDescent="0.3">
      <c r="A41" s="3" t="s">
        <v>164</v>
      </c>
      <c r="C41" s="7">
        <f t="shared" ref="C41:M41" si="14">C35*50</f>
        <v>4720.0000000000009</v>
      </c>
      <c r="D41" s="7">
        <f t="shared" si="14"/>
        <v>9440.0000000000018</v>
      </c>
      <c r="E41" s="7">
        <f t="shared" si="14"/>
        <v>18880.000000000004</v>
      </c>
      <c r="F41" s="7">
        <f t="shared" si="14"/>
        <v>37760.000000000007</v>
      </c>
      <c r="G41" s="7">
        <f t="shared" si="14"/>
        <v>75520.000000000015</v>
      </c>
      <c r="H41" s="7">
        <f t="shared" si="14"/>
        <v>151040.00000000003</v>
      </c>
      <c r="I41" s="7">
        <f t="shared" si="14"/>
        <v>236000.00000000006</v>
      </c>
      <c r="J41" s="7">
        <f t="shared" si="14"/>
        <v>335120.00000000006</v>
      </c>
      <c r="K41" s="7">
        <f t="shared" si="14"/>
        <v>424800.00000000012</v>
      </c>
      <c r="L41" s="7">
        <f t="shared" si="14"/>
        <v>472000.00000000012</v>
      </c>
      <c r="M41" s="7">
        <f t="shared" si="14"/>
        <v>519200.00000000012</v>
      </c>
      <c r="N41" s="7">
        <f t="shared" ref="N41" si="15">N35*50</f>
        <v>566400.00000000012</v>
      </c>
    </row>
    <row r="42" spans="1:14" x14ac:dyDescent="0.3">
      <c r="A42" t="s">
        <v>162</v>
      </c>
      <c r="B42" s="1">
        <v>40</v>
      </c>
      <c r="C42" s="7">
        <f t="shared" ref="C42:N42" si="16">C$30*$B42*$A$25</f>
        <v>40</v>
      </c>
      <c r="D42" s="7">
        <f t="shared" si="16"/>
        <v>80</v>
      </c>
      <c r="E42" s="7">
        <f t="shared" si="16"/>
        <v>160</v>
      </c>
      <c r="F42" s="7">
        <f t="shared" si="16"/>
        <v>320</v>
      </c>
      <c r="G42" s="7">
        <f t="shared" si="16"/>
        <v>640</v>
      </c>
      <c r="H42" s="7">
        <f t="shared" si="16"/>
        <v>1280</v>
      </c>
      <c r="I42" s="7">
        <f t="shared" si="16"/>
        <v>2000</v>
      </c>
      <c r="J42" s="7">
        <f t="shared" si="16"/>
        <v>2840</v>
      </c>
      <c r="K42" s="7">
        <f t="shared" si="16"/>
        <v>3600</v>
      </c>
      <c r="L42" s="7">
        <f t="shared" si="16"/>
        <v>4000</v>
      </c>
      <c r="M42" s="7">
        <f t="shared" si="16"/>
        <v>4400</v>
      </c>
      <c r="N42" s="7">
        <f t="shared" si="16"/>
        <v>4800</v>
      </c>
    </row>
    <row r="43" spans="1:14" x14ac:dyDescent="0.3">
      <c r="A43" t="s">
        <v>163</v>
      </c>
      <c r="C43" s="7">
        <f>C42*12</f>
        <v>480</v>
      </c>
      <c r="D43" s="7">
        <f t="shared" ref="D43:I43" si="17">D42*12</f>
        <v>960</v>
      </c>
      <c r="E43" s="7">
        <f t="shared" si="17"/>
        <v>1920</v>
      </c>
      <c r="F43" s="7">
        <f t="shared" si="17"/>
        <v>3840</v>
      </c>
      <c r="G43" s="7">
        <f t="shared" si="17"/>
        <v>7680</v>
      </c>
      <c r="H43" s="7">
        <f t="shared" si="17"/>
        <v>15360</v>
      </c>
      <c r="I43" s="7">
        <f t="shared" si="17"/>
        <v>24000</v>
      </c>
      <c r="J43" s="7">
        <f>J42*12</f>
        <v>34080</v>
      </c>
      <c r="K43" s="7">
        <f>K42*12</f>
        <v>43200</v>
      </c>
      <c r="L43" s="7">
        <f>L42*12</f>
        <v>48000</v>
      </c>
      <c r="M43" s="7">
        <f>M42*12</f>
        <v>52800</v>
      </c>
      <c r="N43" s="7">
        <f>N42*12</f>
        <v>57600</v>
      </c>
    </row>
    <row r="45" spans="1:14" x14ac:dyDescent="0.3">
      <c r="A45" t="s">
        <v>165</v>
      </c>
      <c r="C45" s="7">
        <f t="shared" ref="C45:M45" si="18">C43+C41</f>
        <v>5200.0000000000009</v>
      </c>
      <c r="D45" s="7">
        <f t="shared" si="18"/>
        <v>10400.000000000002</v>
      </c>
      <c r="E45" s="7">
        <f t="shared" si="18"/>
        <v>20800.000000000004</v>
      </c>
      <c r="F45" s="7">
        <f t="shared" si="18"/>
        <v>41600.000000000007</v>
      </c>
      <c r="G45" s="7">
        <f t="shared" si="18"/>
        <v>83200.000000000015</v>
      </c>
      <c r="H45" s="7">
        <f t="shared" si="18"/>
        <v>166400.00000000003</v>
      </c>
      <c r="I45" s="7">
        <f t="shared" si="18"/>
        <v>260000.00000000006</v>
      </c>
      <c r="J45" s="7">
        <f t="shared" si="18"/>
        <v>369200.00000000006</v>
      </c>
      <c r="K45" s="7">
        <f t="shared" si="18"/>
        <v>468000.00000000012</v>
      </c>
      <c r="L45" s="7">
        <f t="shared" si="18"/>
        <v>520000.00000000012</v>
      </c>
      <c r="M45" s="7">
        <f t="shared" si="18"/>
        <v>572000.00000000012</v>
      </c>
      <c r="N45" s="7">
        <f t="shared" ref="N45" si="19">N43+N41</f>
        <v>624000.00000000012</v>
      </c>
    </row>
  </sheetData>
  <mergeCells count="2">
    <mergeCell ref="A20:A23"/>
    <mergeCell ref="A25:A2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F2472-3193-4419-B39A-ACA2F19F890D}">
  <dimension ref="A3:G19"/>
  <sheetViews>
    <sheetView workbookViewId="0">
      <selection activeCell="F10" sqref="F10"/>
    </sheetView>
  </sheetViews>
  <sheetFormatPr defaultRowHeight="14.4" x14ac:dyDescent="0.3"/>
  <cols>
    <col min="1" max="1" width="47.5546875" bestFit="1" customWidth="1"/>
    <col min="2" max="2" width="15.109375" style="1" customWidth="1"/>
    <col min="3" max="3" width="14.6640625" style="1" bestFit="1" customWidth="1"/>
    <col min="4" max="4" width="15.33203125" style="1" bestFit="1" customWidth="1"/>
    <col min="5" max="5" width="18.6640625" style="1" bestFit="1" customWidth="1"/>
    <col min="6" max="6" width="14.44140625" style="1" bestFit="1" customWidth="1"/>
    <col min="7" max="7" width="15.5546875" bestFit="1" customWidth="1"/>
    <col min="8" max="8" width="14.44140625" customWidth="1"/>
  </cols>
  <sheetData>
    <row r="3" spans="1:7" x14ac:dyDescent="0.3">
      <c r="B3" s="1" t="s">
        <v>95</v>
      </c>
      <c r="C3" s="1" t="s">
        <v>93</v>
      </c>
      <c r="D3" s="1" t="s">
        <v>96</v>
      </c>
      <c r="E3" s="1" t="s">
        <v>122</v>
      </c>
      <c r="F3" s="1" t="s">
        <v>298</v>
      </c>
      <c r="G3" s="1" t="s">
        <v>97</v>
      </c>
    </row>
    <row r="4" spans="1:7" x14ac:dyDescent="0.3">
      <c r="A4" t="s">
        <v>90</v>
      </c>
      <c r="B4" s="1">
        <f>C4/7</f>
        <v>10.989010989010989</v>
      </c>
      <c r="C4" s="1">
        <f>G4/52</f>
        <v>76.92307692307692</v>
      </c>
      <c r="D4" s="1">
        <f>employees!B11</f>
        <v>2207.6923076923076</v>
      </c>
      <c r="E4" s="1">
        <f>D4*2</f>
        <v>4415.3846153846152</v>
      </c>
      <c r="F4" s="1">
        <f>C4*(52/12)</f>
        <v>333.33333333333331</v>
      </c>
      <c r="G4" s="1">
        <v>4000</v>
      </c>
    </row>
    <row r="5" spans="1:7" x14ac:dyDescent="0.3">
      <c r="A5" t="s">
        <v>123</v>
      </c>
      <c r="B5" s="1">
        <f>C5/7</f>
        <v>315.38461538461536</v>
      </c>
      <c r="C5" s="1">
        <f>employees!B11</f>
        <v>2207.6923076923076</v>
      </c>
      <c r="D5" s="1">
        <f>employees!B12</f>
        <v>4415.3846153846152</v>
      </c>
      <c r="E5" s="1">
        <f>D5*2</f>
        <v>8830.7692307692305</v>
      </c>
      <c r="F5" s="1">
        <f t="shared" ref="F5:F12" si="0">C5*(52/12)</f>
        <v>9566.6666666666661</v>
      </c>
      <c r="G5" s="1">
        <f>employees!B8</f>
        <v>114800</v>
      </c>
    </row>
    <row r="6" spans="1:7" x14ac:dyDescent="0.3">
      <c r="A6" t="s">
        <v>91</v>
      </c>
      <c r="B6" s="1">
        <f>200/30</f>
        <v>6.666666666666667</v>
      </c>
      <c r="C6" s="1">
        <f>B6*7</f>
        <v>46.666666666666671</v>
      </c>
      <c r="D6" s="1">
        <f>C6*2</f>
        <v>93.333333333333343</v>
      </c>
      <c r="E6" s="1">
        <f>D6*2</f>
        <v>186.66666666666669</v>
      </c>
      <c r="F6" s="1">
        <f t="shared" si="0"/>
        <v>202.22222222222223</v>
      </c>
      <c r="G6" s="1">
        <f>C6*50</f>
        <v>2333.3333333333335</v>
      </c>
    </row>
    <row r="7" spans="1:7" x14ac:dyDescent="0.3">
      <c r="A7" t="s">
        <v>92</v>
      </c>
      <c r="B7" s="1">
        <f>400/30</f>
        <v>13.333333333333334</v>
      </c>
      <c r="C7" s="1">
        <f>B7*7</f>
        <v>93.333333333333343</v>
      </c>
      <c r="D7" s="1">
        <f>C7*2</f>
        <v>186.66666666666669</v>
      </c>
      <c r="E7" s="1">
        <f>D7*2</f>
        <v>373.33333333333337</v>
      </c>
      <c r="F7" s="1">
        <f t="shared" si="0"/>
        <v>404.44444444444446</v>
      </c>
      <c r="G7" s="1">
        <f>C7*50</f>
        <v>4666.666666666667</v>
      </c>
    </row>
    <row r="8" spans="1:7" x14ac:dyDescent="0.3">
      <c r="A8" t="s">
        <v>118</v>
      </c>
      <c r="B8" s="1">
        <f>100/30</f>
        <v>3.3333333333333335</v>
      </c>
      <c r="C8" s="1">
        <f>7*B8</f>
        <v>23.333333333333336</v>
      </c>
      <c r="D8" s="1">
        <f>C8*2</f>
        <v>46.666666666666671</v>
      </c>
      <c r="E8" s="1">
        <f>D8*2</f>
        <v>93.333333333333343</v>
      </c>
      <c r="F8" s="1">
        <f t="shared" si="0"/>
        <v>101.11111111111111</v>
      </c>
      <c r="G8" s="1">
        <f>C8*50</f>
        <v>1166.6666666666667</v>
      </c>
    </row>
    <row r="9" spans="1:7" x14ac:dyDescent="0.3">
      <c r="A9" t="s">
        <v>121</v>
      </c>
      <c r="B9" s="1">
        <f>C9/7</f>
        <v>2.8571428571428572</v>
      </c>
      <c r="C9" s="1">
        <v>20</v>
      </c>
      <c r="D9" s="1">
        <f t="shared" ref="D9:E11" si="1">C9*2</f>
        <v>40</v>
      </c>
      <c r="E9" s="1">
        <f t="shared" si="1"/>
        <v>80</v>
      </c>
      <c r="F9" s="1">
        <f t="shared" si="0"/>
        <v>86.666666666666657</v>
      </c>
      <c r="G9" s="1">
        <f>C9*50</f>
        <v>1000</v>
      </c>
    </row>
    <row r="10" spans="1:7" x14ac:dyDescent="0.3">
      <c r="A10" t="s">
        <v>119</v>
      </c>
      <c r="B10" s="1">
        <f>C10/7</f>
        <v>5.4945054945054945</v>
      </c>
      <c r="C10" s="1">
        <f>G10/52</f>
        <v>38.46153846153846</v>
      </c>
      <c r="D10" s="1">
        <f t="shared" si="1"/>
        <v>76.92307692307692</v>
      </c>
      <c r="E10" s="1">
        <f t="shared" si="1"/>
        <v>153.84615384615384</v>
      </c>
      <c r="F10" s="1">
        <f t="shared" si="0"/>
        <v>166.66666666666666</v>
      </c>
      <c r="G10" s="1">
        <v>2000</v>
      </c>
    </row>
    <row r="11" spans="1:7" x14ac:dyDescent="0.3">
      <c r="A11" t="s">
        <v>210</v>
      </c>
      <c r="B11" s="1">
        <f>C11/7</f>
        <v>631.86813186813185</v>
      </c>
      <c r="C11" s="1">
        <f>G11/52</f>
        <v>4423.0769230769229</v>
      </c>
      <c r="D11" s="1">
        <f t="shared" si="1"/>
        <v>8846.1538461538457</v>
      </c>
      <c r="E11" s="1">
        <f t="shared" si="1"/>
        <v>17692.307692307691</v>
      </c>
      <c r="F11" s="1">
        <f t="shared" si="0"/>
        <v>19166.666666666664</v>
      </c>
      <c r="G11" s="1">
        <f>D15</f>
        <v>230000</v>
      </c>
    </row>
    <row r="12" spans="1:7" x14ac:dyDescent="0.3">
      <c r="A12" t="s">
        <v>43</v>
      </c>
      <c r="B12" s="1">
        <f>SUM(B4:B11)</f>
        <v>989.92673992673986</v>
      </c>
      <c r="C12" s="1">
        <f t="shared" ref="C12:E12" si="2">SUM(C4:C11)</f>
        <v>6929.4871794871797</v>
      </c>
      <c r="D12" s="1">
        <f t="shared" si="2"/>
        <v>15912.820512820512</v>
      </c>
      <c r="E12" s="1">
        <f t="shared" si="2"/>
        <v>31825.641025641024</v>
      </c>
      <c r="F12" s="1">
        <f t="shared" si="0"/>
        <v>30027.777777777777</v>
      </c>
      <c r="G12" s="1">
        <f>SUM(G4:G11)</f>
        <v>359966.66666666669</v>
      </c>
    </row>
    <row r="14" spans="1:7" x14ac:dyDescent="0.3">
      <c r="B14" s="1" t="s">
        <v>243</v>
      </c>
      <c r="C14" s="1" t="s">
        <v>244</v>
      </c>
      <c r="D14" s="1" t="s">
        <v>246</v>
      </c>
    </row>
    <row r="15" spans="1:7" x14ac:dyDescent="0.3">
      <c r="A15" t="s">
        <v>247</v>
      </c>
      <c r="B15" s="14">
        <v>17</v>
      </c>
      <c r="C15" s="14">
        <v>23</v>
      </c>
      <c r="D15" s="1">
        <f>B16*C15</f>
        <v>230000</v>
      </c>
    </row>
    <row r="16" spans="1:7" x14ac:dyDescent="0.3">
      <c r="A16" t="s">
        <v>245</v>
      </c>
      <c r="B16" s="11">
        <v>10000</v>
      </c>
    </row>
    <row r="17" spans="1:2" x14ac:dyDescent="0.3">
      <c r="A17" t="s">
        <v>211</v>
      </c>
      <c r="B17" s="6">
        <f>G11/12</f>
        <v>19166.666666666668</v>
      </c>
    </row>
    <row r="18" spans="1:2" x14ac:dyDescent="0.3">
      <c r="A18" t="s">
        <v>120</v>
      </c>
    </row>
    <row r="19" spans="1:2" x14ac:dyDescent="0.3">
      <c r="A19" t="s">
        <v>279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B0531-F9EA-4BB7-8657-7C884FA8D7D5}">
  <dimension ref="A1:F22"/>
  <sheetViews>
    <sheetView workbookViewId="0">
      <selection activeCell="A19" sqref="A19"/>
    </sheetView>
  </sheetViews>
  <sheetFormatPr defaultRowHeight="14.4" x14ac:dyDescent="0.3"/>
  <cols>
    <col min="1" max="1" width="56.33203125" customWidth="1"/>
    <col min="2" max="2" width="11.109375" bestFit="1" customWidth="1"/>
    <col min="3" max="3" width="12.5546875" bestFit="1" customWidth="1"/>
    <col min="4" max="4" width="10.5546875" bestFit="1" customWidth="1"/>
    <col min="5" max="5" width="10.88671875" bestFit="1" customWidth="1"/>
    <col min="6" max="6" width="11.5546875" bestFit="1" customWidth="1"/>
  </cols>
  <sheetData>
    <row r="1" spans="1:6" x14ac:dyDescent="0.3">
      <c r="B1" t="s">
        <v>34</v>
      </c>
      <c r="C1" t="s">
        <v>103</v>
      </c>
      <c r="D1" t="s">
        <v>104</v>
      </c>
      <c r="E1" t="s">
        <v>105</v>
      </c>
      <c r="F1" t="s">
        <v>106</v>
      </c>
    </row>
    <row r="2" spans="1:6" x14ac:dyDescent="0.3">
      <c r="A2" t="s">
        <v>102</v>
      </c>
      <c r="B2" s="9">
        <v>1</v>
      </c>
      <c r="C2" s="1">
        <f>B19</f>
        <v>540</v>
      </c>
      <c r="D2" s="7">
        <f>C2*2</f>
        <v>1080</v>
      </c>
      <c r="E2" s="7">
        <f>D2*2</f>
        <v>2160</v>
      </c>
      <c r="F2" s="7">
        <f>C2*50</f>
        <v>27000</v>
      </c>
    </row>
    <row r="3" spans="1:6" x14ac:dyDescent="0.3">
      <c r="A3" t="s">
        <v>98</v>
      </c>
      <c r="B3" s="4">
        <v>0.5</v>
      </c>
      <c r="C3" s="7">
        <f>C2*$B$3</f>
        <v>270</v>
      </c>
      <c r="D3" s="7">
        <f>C3*2</f>
        <v>540</v>
      </c>
      <c r="E3" s="7">
        <f t="shared" ref="E3:E7" si="0">D3*2</f>
        <v>1080</v>
      </c>
      <c r="F3" s="7">
        <f t="shared" ref="F3:F6" si="1">C3*50</f>
        <v>13500</v>
      </c>
    </row>
    <row r="4" spans="1:6" x14ac:dyDescent="0.3">
      <c r="A4" t="s">
        <v>99</v>
      </c>
      <c r="B4" s="4">
        <v>0.2</v>
      </c>
      <c r="C4" s="7">
        <f t="shared" ref="C4:C6" si="2">C3*$B$3</f>
        <v>135</v>
      </c>
      <c r="D4" s="7">
        <f t="shared" ref="D4" si="3">C4*2</f>
        <v>270</v>
      </c>
      <c r="E4" s="7">
        <f t="shared" si="0"/>
        <v>540</v>
      </c>
      <c r="F4" s="7">
        <f t="shared" si="1"/>
        <v>6750</v>
      </c>
    </row>
    <row r="5" spans="1:6" x14ac:dyDescent="0.3">
      <c r="A5" t="s">
        <v>100</v>
      </c>
      <c r="B5" s="4">
        <v>0.15</v>
      </c>
      <c r="C5" s="7">
        <f t="shared" si="2"/>
        <v>67.5</v>
      </c>
      <c r="D5" s="7">
        <f t="shared" ref="D5" si="4">C5*2</f>
        <v>135</v>
      </c>
      <c r="E5" s="7">
        <f t="shared" si="0"/>
        <v>270</v>
      </c>
      <c r="F5" s="7">
        <f t="shared" si="1"/>
        <v>3375</v>
      </c>
    </row>
    <row r="6" spans="1:6" x14ac:dyDescent="0.3">
      <c r="A6" t="s">
        <v>101</v>
      </c>
      <c r="B6" s="4">
        <v>0.1</v>
      </c>
      <c r="C6" s="7">
        <f t="shared" si="2"/>
        <v>33.75</v>
      </c>
      <c r="D6" s="7">
        <f t="shared" ref="D6:D7" si="5">C6*2</f>
        <v>67.5</v>
      </c>
      <c r="E6" s="7">
        <f t="shared" si="0"/>
        <v>135</v>
      </c>
      <c r="F6" s="7">
        <f t="shared" si="1"/>
        <v>1687.5</v>
      </c>
    </row>
    <row r="7" spans="1:6" x14ac:dyDescent="0.3">
      <c r="A7" t="s">
        <v>117</v>
      </c>
      <c r="B7" s="4">
        <v>0.05</v>
      </c>
      <c r="C7" s="7">
        <f t="shared" ref="C7" si="6">C6*$B$3</f>
        <v>16.875</v>
      </c>
      <c r="D7" s="7">
        <f t="shared" si="5"/>
        <v>33.75</v>
      </c>
      <c r="E7" s="7">
        <f t="shared" si="0"/>
        <v>67.5</v>
      </c>
      <c r="F7" s="7">
        <f t="shared" ref="F7" si="7">C7*50</f>
        <v>843.75</v>
      </c>
    </row>
    <row r="8" spans="1:6" x14ac:dyDescent="0.3">
      <c r="A8" t="s">
        <v>43</v>
      </c>
      <c r="B8" s="9">
        <f>SUM(B3:B7)</f>
        <v>1</v>
      </c>
    </row>
    <row r="11" spans="1:6" x14ac:dyDescent="0.3">
      <c r="A11" t="s">
        <v>110</v>
      </c>
      <c r="B11" s="8">
        <v>1</v>
      </c>
      <c r="C11" s="8">
        <v>2</v>
      </c>
      <c r="D11">
        <v>4</v>
      </c>
      <c r="E11">
        <v>8</v>
      </c>
      <c r="F11">
        <v>15</v>
      </c>
    </row>
    <row r="12" spans="1:6" x14ac:dyDescent="0.3">
      <c r="A12" t="s">
        <v>107</v>
      </c>
      <c r="B12" s="1">
        <v>7.5</v>
      </c>
      <c r="C12" s="1">
        <f>C11*$B$12</f>
        <v>15</v>
      </c>
      <c r="D12" s="1">
        <f>D11*$B$12</f>
        <v>30</v>
      </c>
      <c r="E12" s="1">
        <f>E11*$B$12</f>
        <v>60</v>
      </c>
      <c r="F12" s="1">
        <f>F11*$B$12</f>
        <v>112.5</v>
      </c>
    </row>
    <row r="14" spans="1:6" x14ac:dyDescent="0.3">
      <c r="A14" t="s">
        <v>109</v>
      </c>
      <c r="B14">
        <v>4</v>
      </c>
    </row>
    <row r="15" spans="1:6" x14ac:dyDescent="0.3">
      <c r="A15" t="s">
        <v>112</v>
      </c>
      <c r="B15">
        <v>15</v>
      </c>
    </row>
    <row r="16" spans="1:6" x14ac:dyDescent="0.3">
      <c r="A16" t="s">
        <v>111</v>
      </c>
      <c r="B16" s="7">
        <f>B12*B15</f>
        <v>112.5</v>
      </c>
    </row>
    <row r="17" spans="1:2" x14ac:dyDescent="0.3">
      <c r="A17" t="s">
        <v>115</v>
      </c>
      <c r="B17" s="7">
        <f>B14*B16</f>
        <v>450</v>
      </c>
    </row>
    <row r="18" spans="1:2" x14ac:dyDescent="0.3">
      <c r="A18" t="s">
        <v>113</v>
      </c>
      <c r="B18" s="9">
        <v>0.2</v>
      </c>
    </row>
    <row r="19" spans="1:2" x14ac:dyDescent="0.3">
      <c r="A19" t="s">
        <v>116</v>
      </c>
      <c r="B19" s="7">
        <f>B17*(B18+1)</f>
        <v>540</v>
      </c>
    </row>
    <row r="20" spans="1:2" x14ac:dyDescent="0.3">
      <c r="B20" s="7"/>
    </row>
    <row r="21" spans="1:2" x14ac:dyDescent="0.3">
      <c r="B21" s="7"/>
    </row>
    <row r="22" spans="1:2" x14ac:dyDescent="0.3">
      <c r="A22" t="s">
        <v>114</v>
      </c>
      <c r="B22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Charts</vt:lpstr>
      </vt:variant>
      <vt:variant>
        <vt:i4>1</vt:i4>
      </vt:variant>
    </vt:vector>
  </HeadingPairs>
  <TitlesOfParts>
    <vt:vector size="21" baseType="lpstr">
      <vt:lpstr>Key_Assumptions_draft</vt:lpstr>
      <vt:lpstr>Revenue_Profit_Balance</vt:lpstr>
      <vt:lpstr>Funding_And_Connections</vt:lpstr>
      <vt:lpstr>Comprehensive</vt:lpstr>
      <vt:lpstr>Overhead</vt:lpstr>
      <vt:lpstr>Net_And_Analysis</vt:lpstr>
      <vt:lpstr>Gross</vt:lpstr>
      <vt:lpstr>Operating_Costs</vt:lpstr>
      <vt:lpstr>food</vt:lpstr>
      <vt:lpstr>employees</vt:lpstr>
      <vt:lpstr>Leasehold_Improvements</vt:lpstr>
      <vt:lpstr>PCs</vt:lpstr>
      <vt:lpstr>Equipment</vt:lpstr>
      <vt:lpstr>Furniture_and_Fixtures</vt:lpstr>
      <vt:lpstr>Dance_Studio</vt:lpstr>
      <vt:lpstr>Kitchen</vt:lpstr>
      <vt:lpstr>Liabilities</vt:lpstr>
      <vt:lpstr>Eating Area</vt:lpstr>
      <vt:lpstr>decor</vt:lpstr>
      <vt:lpstr>Initial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Francis</dc:creator>
  <cp:lastModifiedBy>Francis, Thomas</cp:lastModifiedBy>
  <dcterms:created xsi:type="dcterms:W3CDTF">2020-06-03T22:48:35Z</dcterms:created>
  <dcterms:modified xsi:type="dcterms:W3CDTF">2020-07-16T16:00:23Z</dcterms:modified>
</cp:coreProperties>
</file>