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2274" documentId="8_{6C3C763F-D9E1-4E6D-8C86-4D28C6C6C4A6}" xr6:coauthVersionLast="44" xr6:coauthVersionMax="45" xr10:uidLastSave="{BE40986B-D39C-4D68-B4EB-9AA92220F959}"/>
  <bookViews>
    <workbookView xWindow="28680" yWindow="-120" windowWidth="29040" windowHeight="15840" xr2:uid="{7EC05EA9-5315-43E9-8396-FB9501FE745C}"/>
  </bookViews>
  <sheets>
    <sheet name="Key_Assumptions" sheetId="27" r:id="rId1"/>
    <sheet name="Revenue_by_Month" sheetId="19" r:id="rId2"/>
    <sheet name="Expenses_by_Month" sheetId="20" r:id="rId3"/>
    <sheet name="Net Profit_Loss_by_Year" sheetId="21" r:id="rId4"/>
    <sheet name="Use_of_funds" sheetId="22" r:id="rId5"/>
    <sheet name="Sources_of_Funds" sheetId="23" r:id="rId6"/>
    <sheet name="Projected_Profit_Loss" sheetId="24" r:id="rId7"/>
    <sheet name="Projected_Balance_Sheet" sheetId="25" r:id="rId8"/>
    <sheet name="Projected_Cash_Flow_Statement" sheetId="26" r:id="rId9"/>
    <sheet name="Comprehensive" sheetId="3" r:id="rId10"/>
    <sheet name="Overhead" sheetId="2" r:id="rId11"/>
    <sheet name="Net_And_Analysis" sheetId="18" r:id="rId12"/>
    <sheet name="Gross" sheetId="16" r:id="rId13"/>
    <sheet name="Operating_Costs" sheetId="4" r:id="rId14"/>
    <sheet name="food" sheetId="15" r:id="rId15"/>
    <sheet name="employees" sheetId="10" r:id="rId16"/>
    <sheet name="Gaming" sheetId="7" r:id="rId17"/>
    <sheet name="Dance_Studio" sheetId="8" r:id="rId18"/>
    <sheet name="Kitchen" sheetId="9" r:id="rId19"/>
    <sheet name="Liabilities" sheetId="12" r:id="rId20"/>
    <sheet name="Eating Area" sheetId="13" r:id="rId21"/>
    <sheet name="decor" sheetId="11" r:id="rId22"/>
    <sheet name="Initial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19" l="1"/>
  <c r="C43" i="19"/>
  <c r="E43" i="19"/>
  <c r="F43" i="19" s="1"/>
  <c r="H43" i="19"/>
  <c r="I43" i="19"/>
  <c r="K43" i="19"/>
  <c r="L43" i="19" s="1"/>
  <c r="N43" i="19"/>
  <c r="O43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7" i="19"/>
  <c r="N9" i="19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8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7" i="19"/>
  <c r="K9" i="19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8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7" i="19"/>
  <c r="H9" i="19"/>
  <c r="H10" i="19"/>
  <c r="H11" i="19"/>
  <c r="H12" i="19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8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B21" i="19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E8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7" i="19"/>
  <c r="B9" i="19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8" i="19"/>
  <c r="L27" i="16"/>
  <c r="L26" i="16"/>
  <c r="L25" i="16"/>
  <c r="L24" i="16"/>
  <c r="G23" i="16"/>
  <c r="G22" i="16"/>
  <c r="G21" i="16"/>
  <c r="G20" i="16"/>
  <c r="N4" i="19"/>
  <c r="K4" i="19"/>
  <c r="H4" i="19"/>
  <c r="E4" i="19"/>
  <c r="B4" i="19"/>
  <c r="G10" i="27"/>
  <c r="B11" i="27"/>
  <c r="G11" i="27" s="1"/>
  <c r="G7" i="27"/>
  <c r="B7" i="27"/>
  <c r="B42" i="19" l="1"/>
  <c r="B12" i="27"/>
  <c r="B6" i="10"/>
  <c r="B8" i="10"/>
  <c r="G12" i="27" l="1"/>
  <c r="B13" i="27"/>
  <c r="H5" i="18"/>
  <c r="H13" i="4"/>
  <c r="F12" i="4"/>
  <c r="D16" i="4"/>
  <c r="G16" i="9"/>
  <c r="G13" i="27" l="1"/>
  <c r="B14" i="27"/>
  <c r="F5" i="4"/>
  <c r="F13" i="4" s="1"/>
  <c r="B6" i="3"/>
  <c r="B28" i="3"/>
  <c r="B31" i="3" s="1"/>
  <c r="G3" i="9"/>
  <c r="D8" i="7"/>
  <c r="M5" i="18"/>
  <c r="B16" i="18" s="1"/>
  <c r="N42" i="16"/>
  <c r="N43" i="16" s="1"/>
  <c r="C12" i="4"/>
  <c r="C9" i="9"/>
  <c r="G7" i="9"/>
  <c r="G8" i="9"/>
  <c r="G14" i="27" l="1"/>
  <c r="B15" i="27"/>
  <c r="B11" i="3"/>
  <c r="B35" i="3" s="1"/>
  <c r="B12" i="4"/>
  <c r="D12" i="4"/>
  <c r="E12" i="4" s="1"/>
  <c r="B16" i="27" l="1"/>
  <c r="G15" i="27"/>
  <c r="B12" i="18"/>
  <c r="I5" i="18"/>
  <c r="J5" i="18"/>
  <c r="B8" i="3" s="1"/>
  <c r="K5" i="18"/>
  <c r="B9" i="3" s="1"/>
  <c r="L5" i="18"/>
  <c r="B10" i="3" s="1"/>
  <c r="I42" i="16"/>
  <c r="I43" i="16" s="1"/>
  <c r="C5" i="18"/>
  <c r="D5" i="18"/>
  <c r="E5" i="18"/>
  <c r="F5" i="18"/>
  <c r="G5" i="18"/>
  <c r="B5" i="18"/>
  <c r="K42" i="16"/>
  <c r="K43" i="16" s="1"/>
  <c r="M42" i="16"/>
  <c r="M43" i="16" s="1"/>
  <c r="B7" i="3" l="1"/>
  <c r="B4" i="3"/>
  <c r="B34" i="3" s="1"/>
  <c r="B17" i="27"/>
  <c r="G16" i="27"/>
  <c r="B17" i="18"/>
  <c r="C17" i="18" s="1"/>
  <c r="B18" i="18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B24" i="18" s="1"/>
  <c r="B26" i="18" s="1"/>
  <c r="D5" i="13"/>
  <c r="D3" i="13" s="1"/>
  <c r="B3" i="13" s="1"/>
  <c r="F3" i="13" s="1"/>
  <c r="D6" i="13"/>
  <c r="D4" i="13"/>
  <c r="C17" i="2"/>
  <c r="D17" i="2"/>
  <c r="E17" i="2"/>
  <c r="F17" i="2"/>
  <c r="G17" i="2"/>
  <c r="B17" i="2"/>
  <c r="C11" i="4"/>
  <c r="B11" i="4" s="1"/>
  <c r="C4" i="4"/>
  <c r="B6" i="4"/>
  <c r="C6" i="4" s="1"/>
  <c r="B7" i="4"/>
  <c r="C7" i="4" s="1"/>
  <c r="F7" i="4" s="1"/>
  <c r="B8" i="4"/>
  <c r="C8" i="4" s="1"/>
  <c r="B10" i="4"/>
  <c r="F10" i="4"/>
  <c r="D10" i="4"/>
  <c r="E10" i="4" s="1"/>
  <c r="B8" i="15"/>
  <c r="B17" i="15"/>
  <c r="B19" i="15" s="1"/>
  <c r="C2" i="15" s="1"/>
  <c r="C9" i="4" s="1"/>
  <c r="B9" i="4" s="1"/>
  <c r="B16" i="15"/>
  <c r="D12" i="15"/>
  <c r="E12" i="15"/>
  <c r="F12" i="15"/>
  <c r="C12" i="15"/>
  <c r="B12" i="10"/>
  <c r="B18" i="27" l="1"/>
  <c r="G17" i="27"/>
  <c r="B4" i="4"/>
  <c r="N31" i="16"/>
  <c r="I31" i="16"/>
  <c r="N34" i="16"/>
  <c r="I34" i="16"/>
  <c r="N33" i="16"/>
  <c r="I33" i="16"/>
  <c r="N32" i="16"/>
  <c r="I32" i="16"/>
  <c r="E27" i="16"/>
  <c r="D5" i="4"/>
  <c r="E5" i="4" s="1"/>
  <c r="B13" i="10"/>
  <c r="B11" i="10"/>
  <c r="F6" i="4"/>
  <c r="D6" i="4"/>
  <c r="E6" i="4" s="1"/>
  <c r="F8" i="4"/>
  <c r="D8" i="4"/>
  <c r="E8" i="4" s="1"/>
  <c r="D11" i="4"/>
  <c r="E11" i="4" s="1"/>
  <c r="D7" i="4"/>
  <c r="E7" i="4" s="1"/>
  <c r="M31" i="16"/>
  <c r="K31" i="16"/>
  <c r="M34" i="16"/>
  <c r="K34" i="16"/>
  <c r="M32" i="16"/>
  <c r="K32" i="16"/>
  <c r="M33" i="16"/>
  <c r="K33" i="16"/>
  <c r="D33" i="16"/>
  <c r="G32" i="16"/>
  <c r="F31" i="16"/>
  <c r="E34" i="16"/>
  <c r="L32" i="16"/>
  <c r="C33" i="16"/>
  <c r="J31" i="16"/>
  <c r="F32" i="16"/>
  <c r="G33" i="16"/>
  <c r="E31" i="16"/>
  <c r="D34" i="16"/>
  <c r="E24" i="16"/>
  <c r="E28" i="16" s="1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C3" i="15"/>
  <c r="F3" i="15" s="1"/>
  <c r="F2" i="15"/>
  <c r="F9" i="4" s="1"/>
  <c r="D2" i="15"/>
  <c r="F4" i="13"/>
  <c r="F5" i="13"/>
  <c r="F6" i="13"/>
  <c r="B7" i="12"/>
  <c r="B6" i="2" s="1"/>
  <c r="D2" i="11"/>
  <c r="C2" i="11" s="1"/>
  <c r="J2" i="11" s="1"/>
  <c r="K2" i="11" s="1"/>
  <c r="K7" i="11" s="1"/>
  <c r="B7" i="2" s="1"/>
  <c r="B19" i="27" l="1"/>
  <c r="G18" i="27"/>
  <c r="K35" i="16"/>
  <c r="K41" i="16" s="1"/>
  <c r="K45" i="16" s="1"/>
  <c r="E2" i="15"/>
  <c r="E9" i="4" s="1"/>
  <c r="D9" i="4"/>
  <c r="B15" i="2"/>
  <c r="M35" i="16"/>
  <c r="M41" i="16" s="1"/>
  <c r="M45" i="16" s="1"/>
  <c r="L6" i="18" s="1"/>
  <c r="D3" i="15"/>
  <c r="E3" i="15" s="1"/>
  <c r="I35" i="16"/>
  <c r="I41" i="16" s="1"/>
  <c r="I45" i="16" s="1"/>
  <c r="H6" i="18" s="1"/>
  <c r="C4" i="15"/>
  <c r="N35" i="16"/>
  <c r="N41" i="16" s="1"/>
  <c r="N45" i="16" s="1"/>
  <c r="M6" i="18" s="1"/>
  <c r="D4" i="4"/>
  <c r="C5" i="4"/>
  <c r="C13" i="4" s="1"/>
  <c r="B8" i="18"/>
  <c r="J6" i="18"/>
  <c r="G24" i="16"/>
  <c r="D35" i="16"/>
  <c r="D41" i="16" s="1"/>
  <c r="D45" i="16" s="1"/>
  <c r="C6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G36" i="16"/>
  <c r="G37" i="16" s="1"/>
  <c r="C36" i="16"/>
  <c r="C37" i="16" s="1"/>
  <c r="C35" i="16"/>
  <c r="C41" i="16" s="1"/>
  <c r="C45" i="16" s="1"/>
  <c r="B6" i="18" s="1"/>
  <c r="J35" i="16"/>
  <c r="J41" i="16" s="1"/>
  <c r="J45" i="16" s="1"/>
  <c r="I6" i="18" s="1"/>
  <c r="H35" i="16"/>
  <c r="H41" i="16" s="1"/>
  <c r="H45" i="16" s="1"/>
  <c r="G6" i="18" s="1"/>
  <c r="L35" i="16"/>
  <c r="L41" i="16" s="1"/>
  <c r="L45" i="16" s="1"/>
  <c r="E35" i="16"/>
  <c r="E41" i="16" s="1"/>
  <c r="E45" i="16" s="1"/>
  <c r="D6" i="18" s="1"/>
  <c r="G35" i="16"/>
  <c r="G41" i="16" s="1"/>
  <c r="G45" i="16" s="1"/>
  <c r="F6" i="18" s="1"/>
  <c r="F35" i="16"/>
  <c r="F41" i="16" s="1"/>
  <c r="F45" i="16" s="1"/>
  <c r="E6" i="18" s="1"/>
  <c r="F10" i="13"/>
  <c r="B8" i="2" s="1"/>
  <c r="C5" i="15"/>
  <c r="F5" i="15" s="1"/>
  <c r="D5" i="15"/>
  <c r="E5" i="15" s="1"/>
  <c r="F2" i="11"/>
  <c r="G15" i="9"/>
  <c r="G14" i="9"/>
  <c r="G13" i="9"/>
  <c r="G12" i="9"/>
  <c r="G11" i="9"/>
  <c r="G9" i="9"/>
  <c r="D2" i="9"/>
  <c r="G2" i="9" s="1"/>
  <c r="G10" i="9"/>
  <c r="G5" i="9"/>
  <c r="G6" i="9"/>
  <c r="G4" i="9"/>
  <c r="D7" i="7"/>
  <c r="D4" i="8"/>
  <c r="D3" i="8"/>
  <c r="D8" i="8" s="1"/>
  <c r="B4" i="2" s="1"/>
  <c r="D5" i="7"/>
  <c r="D6" i="7"/>
  <c r="D3" i="7"/>
  <c r="D2" i="7"/>
  <c r="C4" i="7"/>
  <c r="D4" i="7" s="1"/>
  <c r="B20" i="27" l="1"/>
  <c r="G19" i="27"/>
  <c r="H10" i="18"/>
  <c r="G20" i="9"/>
  <c r="D4" i="15"/>
  <c r="E4" i="15" s="1"/>
  <c r="F4" i="15"/>
  <c r="B18" i="2"/>
  <c r="G18" i="2"/>
  <c r="E18" i="2"/>
  <c r="D18" i="2"/>
  <c r="F18" i="2"/>
  <c r="C18" i="2"/>
  <c r="N36" i="16"/>
  <c r="N37" i="16" s="1"/>
  <c r="I36" i="16"/>
  <c r="I37" i="16" s="1"/>
  <c r="B13" i="18" s="1"/>
  <c r="E10" i="18"/>
  <c r="F10" i="18"/>
  <c r="M10" i="18"/>
  <c r="G10" i="18"/>
  <c r="D12" i="7"/>
  <c r="B28" i="18"/>
  <c r="B29" i="18" s="1"/>
  <c r="C10" i="18"/>
  <c r="L10" i="18"/>
  <c r="D10" i="18"/>
  <c r="B10" i="18"/>
  <c r="I10" i="18"/>
  <c r="B5" i="4"/>
  <c r="B13" i="4" s="1"/>
  <c r="D13" i="4"/>
  <c r="E4" i="4"/>
  <c r="E13" i="4" s="1"/>
  <c r="J10" i="18"/>
  <c r="K6" i="18"/>
  <c r="K10" i="18" s="1"/>
  <c r="M36" i="16"/>
  <c r="M37" i="16" s="1"/>
  <c r="K36" i="16"/>
  <c r="K37" i="16" s="1"/>
  <c r="C6" i="15"/>
  <c r="F6" i="15"/>
  <c r="B3" i="2"/>
  <c r="B5" i="2"/>
  <c r="B27" i="1"/>
  <c r="B21" i="27" l="1"/>
  <c r="G20" i="27"/>
  <c r="D6" i="15"/>
  <c r="E6" i="15" s="1"/>
  <c r="C7" i="15"/>
  <c r="B10" i="2"/>
  <c r="B5" i="1"/>
  <c r="B7" i="1" s="1"/>
  <c r="B13" i="1"/>
  <c r="B31" i="1"/>
  <c r="B22" i="27" l="1"/>
  <c r="G21" i="27"/>
  <c r="B13" i="2"/>
  <c r="C19" i="2"/>
  <c r="G19" i="2"/>
  <c r="D19" i="2"/>
  <c r="B19" i="2"/>
  <c r="F19" i="2"/>
  <c r="E19" i="2"/>
  <c r="D7" i="15"/>
  <c r="E7" i="15" s="1"/>
  <c r="F7" i="15"/>
  <c r="B6" i="1"/>
  <c r="B14" i="1"/>
  <c r="B33" i="1"/>
  <c r="B35" i="1" s="1"/>
  <c r="B36" i="1" s="1"/>
  <c r="B37" i="1" s="1"/>
  <c r="B23" i="27" l="1"/>
  <c r="G22" i="27"/>
  <c r="B38" i="1"/>
  <c r="B34" i="1"/>
  <c r="B24" i="27" l="1"/>
  <c r="G23" i="27"/>
  <c r="B25" i="27" l="1"/>
  <c r="G24" i="27"/>
  <c r="B26" i="27" l="1"/>
  <c r="G25" i="27"/>
  <c r="B27" i="27" l="1"/>
  <c r="G26" i="27"/>
  <c r="B28" i="27" l="1"/>
  <c r="G27" i="27"/>
  <c r="B29" i="27" l="1"/>
  <c r="G28" i="27"/>
  <c r="B30" i="27" l="1"/>
  <c r="G29" i="27"/>
  <c r="B31" i="27" l="1"/>
  <c r="G30" i="27"/>
  <c r="B32" i="27" l="1"/>
  <c r="G31" i="27"/>
  <c r="B33" i="27" l="1"/>
  <c r="G32" i="27"/>
  <c r="B34" i="27" l="1"/>
  <c r="G33" i="27"/>
  <c r="B35" i="27" l="1"/>
  <c r="G34" i="27"/>
  <c r="B36" i="27" l="1"/>
  <c r="G35" i="27"/>
  <c r="B37" i="27" l="1"/>
  <c r="G36" i="27"/>
  <c r="B38" i="27" l="1"/>
  <c r="G37" i="27"/>
  <c r="B39" i="27" l="1"/>
  <c r="G38" i="27"/>
  <c r="B40" i="27" l="1"/>
  <c r="G39" i="27"/>
  <c r="B41" i="27" l="1"/>
  <c r="G40" i="27"/>
  <c r="B42" i="27" l="1"/>
  <c r="G41" i="27"/>
  <c r="B43" i="27" l="1"/>
  <c r="G42" i="27"/>
  <c r="B44" i="27" l="1"/>
  <c r="G43" i="27"/>
  <c r="B45" i="27" l="1"/>
  <c r="G44" i="27"/>
  <c r="G45" i="27" l="1"/>
  <c r="B46" i="27"/>
</calcChain>
</file>

<file path=xl/sharedStrings.xml><?xml version="1.0" encoding="utf-8"?>
<sst xmlns="http://schemas.openxmlformats.org/spreadsheetml/2006/main" count="321" uniqueCount="278">
  <si>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</si>
  <si>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</si>
  <si>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</si>
  <si>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</si>
  <si>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</si>
  <si>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</si>
  <si>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</si>
  <si>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</si>
  <si>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</si>
  <si>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</si>
  <si>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</si>
  <si>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</si>
  <si>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</si>
  <si>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</si>
  <si>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</si>
  <si>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</si>
  <si>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</si>
  <si>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</si>
  <si>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</si>
  <si>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</si>
  <si>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</si>
  <si>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</si>
  <si>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</si>
  <si>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</si>
  <si>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</si>
  <si>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</si>
  <si>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</si>
  <si>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</si>
  <si>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</si>
  <si>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</si>
  <si>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</si>
  <si>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</si>
  <si>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</si>
  <si>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</si>
  <si>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</si>
  <si>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</si>
  <si>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long table, fits three PCs, 3x8 ft^2 design</t>
  </si>
  <si>
    <t>Number needed</t>
  </si>
  <si>
    <t>Costs</t>
  </si>
  <si>
    <t>Total Costs</t>
  </si>
  <si>
    <t>Costs Estimate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</si>
  <si>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</si>
  <si>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</si>
  <si>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</si>
  <si>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</si>
  <si>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</si>
  <si>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</si>
  <si>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</si>
  <si>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</si>
  <si>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</si>
  <si>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Wifi</t>
  </si>
  <si>
    <t>Electrical outlets</t>
  </si>
  <si>
    <t>sink installation and plumbing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</si>
  <si>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</si>
  <si>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</si>
  <si>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</si>
  <si>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</si>
  <si>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</si>
  <si>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</si>
  <si>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</si>
  <si>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</si>
  <si>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</si>
  <si>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</si>
  <si>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</si>
  <si>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</si>
  <si>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</si>
  <si>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</si>
  <si>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</si>
  <si>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</si>
  <si>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</si>
  <si>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</si>
  <si>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</si>
  <si>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</si>
  <si>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</si>
  <si>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</si>
  <si>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</si>
  <si>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dancing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</si>
  <si>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</si>
  <si>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</si>
  <si>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</si>
  <si>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</si>
  <si>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</si>
  <si>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</si>
  <si>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</si>
  <si>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</si>
  <si>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</si>
  <si>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</si>
  <si>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</si>
  <si>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</si>
  <si>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</si>
  <si>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</si>
  <si>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</si>
  <si>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</si>
  <si>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</si>
  <si>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</si>
  <si>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</si>
  <si>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</si>
  <si>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</si>
  <si>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</si>
  <si>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</si>
  <si>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</si>
  <si>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</si>
  <si>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</si>
  <si>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</si>
  <si>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</si>
  <si>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</si>
  <si>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</si>
  <si>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</si>
  <si>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</si>
  <si>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</si>
  <si>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</si>
  <si>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</si>
  <si>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</si>
  <si>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</si>
  <si>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</si>
  <si>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</si>
  <si>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</si>
  <si>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</si>
  <si>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</si>
  <si>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food**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</si>
  <si>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</si>
  <si>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</si>
  <si>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</si>
  <si>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</si>
  <si>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</si>
  <si>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</si>
  <si>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</si>
  <si>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</si>
  <si>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</si>
  <si>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</si>
  <si>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</si>
  <si>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</si>
  <si>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</si>
  <si>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</si>
  <si>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</si>
  <si>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</si>
  <si>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</si>
  <si>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</si>
  <si>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</si>
  <si>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</si>
  <si>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</si>
  <si>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</si>
  <si>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</si>
  <si>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</si>
  <si>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</si>
  <si>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</si>
  <si>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</si>
  <si>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</si>
  <si>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</si>
  <si>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</si>
  <si>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</si>
  <si>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</si>
  <si>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</si>
  <si>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</si>
  <si>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</si>
  <si>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</si>
  <si>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</si>
  <si>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</si>
  <si>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</si>
  <si>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</si>
  <si>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</si>
  <si>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</si>
  <si>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</si>
  <si>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</si>
  <si>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</si>
  <si>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</si>
  <si>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</si>
  <si>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</si>
  <si>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</si>
  <si>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</si>
  <si>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</si>
  <si>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</si>
  <si>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</si>
  <si>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</si>
  <si>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</si>
  <si>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</si>
  <si>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</si>
  <si>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</si>
  <si>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</si>
  <si>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</si>
  <si>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</si>
  <si>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</si>
  <si>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</si>
  <si>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Estimated possible visits per day</t>
  </si>
  <si>
    <t>subtract members</t>
  </si>
  <si>
    <t>There must be room for regular members to come in</t>
  </si>
  <si>
    <t>Expected Visits per day</t>
  </si>
  <si>
    <t>Overflow Amount of People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</si>
  <si>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</si>
  <si>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</si>
  <si>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</si>
  <si>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</si>
  <si>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</si>
  <si>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</si>
  <si>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</si>
  <si>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</si>
  <si>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Target demographic size in New Haven County</t>
  </si>
  <si>
    <t>not including 18-19 year=olds due to lack of data</t>
  </si>
  <si>
    <t>conservative estimate of 18-19 year-olds*</t>
  </si>
  <si>
    <t>True Total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</si>
  <si>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</si>
  <si>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</si>
  <si>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</si>
  <si>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</si>
  <si>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</si>
  <si>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</si>
  <si>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</si>
  <si>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</si>
  <si>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</si>
  <si>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</si>
  <si>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</si>
  <si>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Month 4 -12</t>
  </si>
  <si>
    <t>sub-sub-communities</t>
  </si>
  <si>
    <t>rent</t>
  </si>
  <si>
    <t>monthly rent estimate</t>
  </si>
  <si>
    <t>Attempt to reach target of break-even community members</t>
  </si>
  <si>
    <t>Business Management/Maintenance</t>
  </si>
  <si>
    <t>gas range</t>
  </si>
  <si>
    <t>range hoods</t>
  </si>
  <si>
    <t>hood installations</t>
  </si>
  <si>
    <t>White board and markers</t>
  </si>
  <si>
    <t>Comfy office chairs</t>
  </si>
  <si>
    <t>counter installation</t>
  </si>
  <si>
    <t>Operating Costs</t>
  </si>
  <si>
    <t>mirror</t>
  </si>
  <si>
    <t>Total for worst case scenario</t>
  </si>
  <si>
    <t>Unforeseen Costs</t>
  </si>
  <si>
    <t>PC area</t>
  </si>
  <si>
    <t>https://data.census.gov/cedsci/table?q=S0101&amp;g=1600000USundefined_0500000US09009_0400000US09&amp;tid=ACSST1Y2018.S0101</t>
  </si>
  <si>
    <t>40-44</t>
  </si>
  <si>
    <t>35-39</t>
  </si>
  <si>
    <t>29-34</t>
  </si>
  <si>
    <t>25-29</t>
  </si>
  <si>
    <t>20-24</t>
  </si>
  <si>
    <t>45-49</t>
  </si>
  <si>
    <t>50-54</t>
  </si>
  <si>
    <t>55-59</t>
  </si>
  <si>
    <t>60-64</t>
  </si>
  <si>
    <t>65-69</t>
  </si>
  <si>
    <t>70-74</t>
  </si>
  <si>
    <t>Part-time greeter/security</t>
  </si>
  <si>
    <t>18-80 year-olds</t>
  </si>
  <si>
    <t>Break-even Point</t>
  </si>
  <si>
    <t>Estimate Number of People</t>
  </si>
  <si>
    <t>Website Setup</t>
  </si>
  <si>
    <t>Total Overhead Costs</t>
  </si>
  <si>
    <t>knife sharpener</t>
  </si>
  <si>
    <t>three-door fridge</t>
  </si>
  <si>
    <t>granite counter tops per sq foot</t>
  </si>
  <si>
    <t>low end</t>
  </si>
  <si>
    <t>high end</t>
  </si>
  <si>
    <t>Sq. feet I need</t>
  </si>
  <si>
    <t>estimated cost</t>
  </si>
  <si>
    <t>Rent in New Haven per sq. foot per year  is typically</t>
  </si>
  <si>
    <t>Recruiting Instructors and businesses</t>
  </si>
  <si>
    <t>Work-man's comp</t>
  </si>
  <si>
    <t>Work-man's Comp multiplier</t>
  </si>
  <si>
    <t>Workman's comp Estimate</t>
  </si>
  <si>
    <t>Revenue</t>
  </si>
  <si>
    <t>Month</t>
  </si>
  <si>
    <t>Percent of new community regulars per month</t>
  </si>
  <si>
    <t>Principle</t>
  </si>
  <si>
    <t>time (months)</t>
  </si>
  <si>
    <t>Community Regulars</t>
  </si>
  <si>
    <t>Dance group seed</t>
  </si>
  <si>
    <t>Percent Growth needed to be profitable</t>
  </si>
  <si>
    <t>Target Amount</t>
  </si>
  <si>
    <t>Break-even point in years</t>
  </si>
  <si>
    <t>Percent Compounded Monthly Community Regular increase</t>
  </si>
  <si>
    <t>Percent</t>
  </si>
  <si>
    <t>percents</t>
  </si>
  <si>
    <t>Community Multiplier</t>
  </si>
  <si>
    <t>monthly membership</t>
  </si>
  <si>
    <t>weekly entry fees</t>
  </si>
  <si>
    <t>weekly multiplier</t>
  </si>
  <si>
    <t>Total multiplier per month</t>
  </si>
  <si>
    <t>Year of Completion</t>
  </si>
  <si>
    <t>I can combine this all in one: expenses by month and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</si>
</sst>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2" fillId="0" borderId="0" xfId="4"/>
    <xf numFmtId="164" fontId="0" fillId="0" borderId="0" xfId="3" applyNumberFormat="1" applyFont="1"/>
    <xf numFmtId="164" fontId="0" fillId="0" borderId="0" xfId="0" applyNumberFormat="1"/>
    <xf numFmtId="165" fontId="0" fillId="0" borderId="0" xfId="2" applyNumberFormat="1" applyFont="1"/>
    <xf numFmtId="6" fontId="0" fillId="0" borderId="0" xfId="1" applyNumberFormat="1" applyFont="1"/>
    <xf numFmtId="0" fontId="5" fillId="3" borderId="0" xfId="6"/>
    <xf numFmtId="44" fontId="5" fillId="3" borderId="0" xfId="6" applyNumberFormat="1"/>
    <xf numFmtId="0" fontId="4" fillId="2" borderId="1" xfId="5" applyBorder="1"/>
    <xf numFmtId="44" fontId="4" fillId="2" borderId="1" xfId="5" applyNumberFormat="1" applyBorder="1"/>
    <xf numFmtId="0" fontId="0" fillId="0" borderId="0" xfId="2" applyNumberFormat="1" applyFont="1" applyAlignment="1">
      <alignment horizontal="center"/>
    </xf>
    <xf numFmtId="168" fontId="0" fillId="0" borderId="0" xfId="0" applyNumberFormat="1"/>
    <xf numFmtId="1" fontId="0" fillId="0" borderId="0" xfId="0" applyNumberFormat="1"/>
    <xf numFmtId="44" fontId="0" fillId="0" borderId="0" xfId="1" applyNumberFormat="1" applyFont="1"/>
  </cellXfs>
  <cellStyles count="7">
    <cellStyle name="Comma" xfId="3" builtinId="3"/>
    <cellStyle name="Currency" xfId="1" builtinId="4"/>
    <cellStyle name="Good" xfId="5" builtinId="26"/>
    <cellStyle name="Hyperlink" xfId="4" builtinId="8"/>
    <cellStyle name="Neutral" xfId="6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S0101&amp;g=1600000USundefined_0500000US09009_0400000US09&amp;tid=ACSST1Y2018.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99F-1EDE-433D-AAEB-0D6FF227F835}">
  <dimension ref="A2:M46"/>
  <sheetViews>
    <sheetView tabSelected="1" workbookViewId="0"/>
  </sheetViews>
  <sheetFormatPr defaultRowHeight="14.4" x14ac:dyDescent="0.3"/>
  <cols>
    <col min="1" max="1" width="42.109375" bestFit="1" customWidth="1"/>
    <col min="2" max="2" width="19" bestFit="1" customWidth="1"/>
    <col min="5" max="5" width="12" bestFit="1" customWidth="1"/>
    <col min="6" max="6" width="19" bestFit="1" customWidth="1"/>
    <col min="12" max="12" width="23.33203125" bestFit="1" customWidth="1"/>
    <col min="13" max="13" width="53.88671875" bestFit="1" customWidth="1"/>
  </cols>
  <sheetData>
    <row r="2" spans="1:13" x14ac:dyDescent="0.3">
      <c r="A2" t="s">
        <v>260</v>
      </c>
      <c r="B2" s="4">
        <v>0.13</v>
      </c>
    </row>
    <row r="3" spans="1:13" x14ac:dyDescent="0.3">
      <c r="A3" t="s">
        <v>261</v>
      </c>
      <c r="B3">
        <v>5</v>
      </c>
      <c r="L3" t="s">
        <v>267</v>
      </c>
      <c r="M3" t="s">
        <v>268</v>
      </c>
    </row>
    <row r="4" spans="1:13" x14ac:dyDescent="0.3">
      <c r="A4" t="s">
        <v>262</v>
      </c>
      <c r="B4">
        <v>36</v>
      </c>
      <c r="L4">
        <v>1</v>
      </c>
      <c r="M4" s="4">
        <v>0.45</v>
      </c>
    </row>
    <row r="5" spans="1:13" x14ac:dyDescent="0.3">
      <c r="L5">
        <v>1.5</v>
      </c>
      <c r="M5" s="4">
        <v>0.3</v>
      </c>
    </row>
    <row r="6" spans="1:13" x14ac:dyDescent="0.3">
      <c r="L6">
        <v>2</v>
      </c>
      <c r="M6" s="4">
        <v>0.21</v>
      </c>
    </row>
    <row r="7" spans="1:13" x14ac:dyDescent="0.3">
      <c r="A7" t="s">
        <v>87</v>
      </c>
      <c r="B7">
        <f>B3*(1+(B2/1))^(B4*1)</f>
        <v>407.18706153581047</v>
      </c>
      <c r="F7" t="s">
        <v>266</v>
      </c>
      <c r="G7">
        <f>Gross!J30</f>
        <v>380</v>
      </c>
      <c r="L7">
        <v>2.5</v>
      </c>
      <c r="M7" s="4">
        <v>0.16</v>
      </c>
    </row>
    <row r="8" spans="1:13" x14ac:dyDescent="0.3">
      <c r="L8">
        <v>3</v>
      </c>
      <c r="M8" s="4">
        <v>0.13</v>
      </c>
    </row>
    <row r="9" spans="1:13" x14ac:dyDescent="0.3">
      <c r="A9" t="s">
        <v>259</v>
      </c>
      <c r="B9" t="s">
        <v>263</v>
      </c>
      <c r="F9" t="s">
        <v>259</v>
      </c>
      <c r="G9" t="s">
        <v>265</v>
      </c>
    </row>
    <row r="10" spans="1:13" x14ac:dyDescent="0.3">
      <c r="A10">
        <v>1</v>
      </c>
      <c r="B10" s="21">
        <v>5</v>
      </c>
      <c r="C10" t="s">
        <v>264</v>
      </c>
      <c r="F10">
        <v>1</v>
      </c>
      <c r="G10" s="4">
        <f>($G$7/$B$3)-1</f>
        <v>75</v>
      </c>
    </row>
    <row r="11" spans="1:13" x14ac:dyDescent="0.3">
      <c r="A11">
        <v>2</v>
      </c>
      <c r="B11" s="21">
        <f>B10*(1+$B$2)</f>
        <v>5.6499999999999995</v>
      </c>
      <c r="F11">
        <v>2</v>
      </c>
      <c r="G11" s="4">
        <f>($G$7/B11)-1</f>
        <v>66.256637168141594</v>
      </c>
    </row>
    <row r="12" spans="1:13" x14ac:dyDescent="0.3">
      <c r="A12">
        <v>3</v>
      </c>
      <c r="B12" s="21">
        <f t="shared" ref="B12:B46" si="0">B11*(1+$B$2)</f>
        <v>6.3844999999999992</v>
      </c>
      <c r="F12">
        <v>3</v>
      </c>
      <c r="G12" s="4">
        <f t="shared" ref="G12:G45" si="1">($G$7/B12)-1</f>
        <v>58.519147936408494</v>
      </c>
    </row>
    <row r="13" spans="1:13" x14ac:dyDescent="0.3">
      <c r="A13">
        <v>4</v>
      </c>
      <c r="B13" s="21">
        <f t="shared" si="0"/>
        <v>7.214484999999998</v>
      </c>
      <c r="F13">
        <v>4</v>
      </c>
      <c r="G13" s="4">
        <f t="shared" si="1"/>
        <v>51.671812333104874</v>
      </c>
    </row>
    <row r="14" spans="1:13" x14ac:dyDescent="0.3">
      <c r="A14">
        <v>5</v>
      </c>
      <c r="B14" s="21">
        <f t="shared" si="0"/>
        <v>8.1523680499999962</v>
      </c>
      <c r="F14">
        <v>5</v>
      </c>
      <c r="G14" s="4">
        <f t="shared" si="1"/>
        <v>45.612223303632639</v>
      </c>
    </row>
    <row r="15" spans="1:13" x14ac:dyDescent="0.3">
      <c r="A15">
        <v>6</v>
      </c>
      <c r="B15" s="21">
        <f t="shared" si="0"/>
        <v>9.2121758964999945</v>
      </c>
      <c r="F15">
        <v>6</v>
      </c>
      <c r="G15" s="4">
        <f t="shared" si="1"/>
        <v>40.249755135958097</v>
      </c>
    </row>
    <row r="16" spans="1:13" x14ac:dyDescent="0.3">
      <c r="A16">
        <v>7</v>
      </c>
      <c r="B16" s="21">
        <f t="shared" si="0"/>
        <v>10.409758763044993</v>
      </c>
      <c r="F16">
        <v>7</v>
      </c>
      <c r="G16" s="4">
        <f t="shared" si="1"/>
        <v>35.504208084918673</v>
      </c>
    </row>
    <row r="17" spans="1:7" x14ac:dyDescent="0.3">
      <c r="A17">
        <v>8</v>
      </c>
      <c r="B17" s="21">
        <f t="shared" si="0"/>
        <v>11.763027402240841</v>
      </c>
      <c r="F17">
        <v>8</v>
      </c>
      <c r="G17" s="4">
        <f t="shared" si="1"/>
        <v>31.304608924706791</v>
      </c>
    </row>
    <row r="18" spans="1:7" x14ac:dyDescent="0.3">
      <c r="A18">
        <v>9</v>
      </c>
      <c r="B18" s="21">
        <f t="shared" si="0"/>
        <v>13.292220964532149</v>
      </c>
      <c r="F18">
        <v>9</v>
      </c>
      <c r="G18" s="4">
        <f t="shared" si="1"/>
        <v>27.588149490890967</v>
      </c>
    </row>
    <row r="19" spans="1:7" x14ac:dyDescent="0.3">
      <c r="A19">
        <v>10</v>
      </c>
      <c r="B19" s="21">
        <f t="shared" si="0"/>
        <v>15.020209689921327</v>
      </c>
      <c r="F19">
        <v>10</v>
      </c>
      <c r="G19" s="4">
        <f t="shared" si="1"/>
        <v>24.299247337071655</v>
      </c>
    </row>
    <row r="20" spans="1:7" x14ac:dyDescent="0.3">
      <c r="A20">
        <v>11</v>
      </c>
      <c r="B20" s="21">
        <f t="shared" si="0"/>
        <v>16.972836949611096</v>
      </c>
      <c r="F20">
        <v>11</v>
      </c>
      <c r="G20" s="4">
        <f t="shared" si="1"/>
        <v>21.388714457585539</v>
      </c>
    </row>
    <row r="21" spans="1:7" x14ac:dyDescent="0.3">
      <c r="A21">
        <v>12</v>
      </c>
      <c r="B21" s="21">
        <f t="shared" si="0"/>
        <v>19.179305753060536</v>
      </c>
      <c r="F21">
        <v>12</v>
      </c>
      <c r="G21" s="4">
        <f t="shared" si="1"/>
        <v>18.813021643881012</v>
      </c>
    </row>
    <row r="22" spans="1:7" x14ac:dyDescent="0.3">
      <c r="A22">
        <v>13</v>
      </c>
      <c r="B22" s="21">
        <f t="shared" si="0"/>
        <v>21.672615500958404</v>
      </c>
      <c r="F22">
        <v>13</v>
      </c>
      <c r="G22" s="4">
        <f t="shared" si="1"/>
        <v>16.533647472461073</v>
      </c>
    </row>
    <row r="23" spans="1:7" x14ac:dyDescent="0.3">
      <c r="A23">
        <v>14</v>
      </c>
      <c r="B23" s="21">
        <f t="shared" si="0"/>
        <v>24.490055516082993</v>
      </c>
      <c r="F23">
        <v>14</v>
      </c>
      <c r="G23" s="4">
        <f t="shared" si="1"/>
        <v>14.51650218801865</v>
      </c>
    </row>
    <row r="24" spans="1:7" x14ac:dyDescent="0.3">
      <c r="A24">
        <v>15</v>
      </c>
      <c r="B24" s="21">
        <f t="shared" si="0"/>
        <v>27.673762733173781</v>
      </c>
      <c r="F24">
        <v>15</v>
      </c>
      <c r="G24" s="4">
        <f t="shared" si="1"/>
        <v>12.731417865503232</v>
      </c>
    </row>
    <row r="25" spans="1:7" x14ac:dyDescent="0.3">
      <c r="A25">
        <v>16</v>
      </c>
      <c r="B25" s="21">
        <f t="shared" si="0"/>
        <v>31.271351888486368</v>
      </c>
      <c r="F25">
        <v>16</v>
      </c>
      <c r="G25" s="4">
        <f t="shared" si="1"/>
        <v>11.151697226109055</v>
      </c>
    </row>
    <row r="26" spans="1:7" x14ac:dyDescent="0.3">
      <c r="A26">
        <v>17</v>
      </c>
      <c r="B26" s="21">
        <f t="shared" si="0"/>
        <v>35.336627633989593</v>
      </c>
      <c r="F26">
        <v>17</v>
      </c>
      <c r="G26" s="4">
        <f t="shared" si="1"/>
        <v>9.753714359388546</v>
      </c>
    </row>
    <row r="27" spans="1:7" x14ac:dyDescent="0.3">
      <c r="A27">
        <v>18</v>
      </c>
      <c r="B27" s="21">
        <f t="shared" si="0"/>
        <v>39.930389226408238</v>
      </c>
      <c r="F27">
        <v>18</v>
      </c>
      <c r="G27" s="4">
        <f t="shared" si="1"/>
        <v>8.5165613799898647</v>
      </c>
    </row>
    <row r="28" spans="1:7" x14ac:dyDescent="0.3">
      <c r="A28">
        <v>19</v>
      </c>
      <c r="B28" s="21">
        <f t="shared" si="0"/>
        <v>45.121339825841304</v>
      </c>
      <c r="F28">
        <v>19</v>
      </c>
      <c r="G28" s="4">
        <f t="shared" si="1"/>
        <v>7.4217357345043062</v>
      </c>
    </row>
    <row r="29" spans="1:7" x14ac:dyDescent="0.3">
      <c r="A29">
        <v>20</v>
      </c>
      <c r="B29" s="21">
        <f t="shared" si="0"/>
        <v>50.987114003200666</v>
      </c>
      <c r="F29">
        <v>20</v>
      </c>
      <c r="G29" s="4">
        <f t="shared" si="1"/>
        <v>6.4528634818622184</v>
      </c>
    </row>
    <row r="30" spans="1:7" x14ac:dyDescent="0.3">
      <c r="A30">
        <v>21</v>
      </c>
      <c r="B30" s="21">
        <f t="shared" si="0"/>
        <v>57.615438823616749</v>
      </c>
      <c r="F30">
        <v>21</v>
      </c>
      <c r="G30" s="4">
        <f t="shared" si="1"/>
        <v>5.5954544087276279</v>
      </c>
    </row>
    <row r="31" spans="1:7" x14ac:dyDescent="0.3">
      <c r="A31">
        <v>22</v>
      </c>
      <c r="B31" s="21">
        <f t="shared" si="0"/>
        <v>65.105445870686921</v>
      </c>
      <c r="F31">
        <v>22</v>
      </c>
      <c r="G31" s="4">
        <f t="shared" si="1"/>
        <v>4.8366853174580777</v>
      </c>
    </row>
    <row r="32" spans="1:7" x14ac:dyDescent="0.3">
      <c r="A32">
        <v>23</v>
      </c>
      <c r="B32" s="21">
        <f t="shared" si="0"/>
        <v>73.569153833876214</v>
      </c>
      <c r="F32">
        <v>23</v>
      </c>
      <c r="G32" s="4">
        <f t="shared" si="1"/>
        <v>4.1652082455381221</v>
      </c>
    </row>
    <row r="33" spans="1:7" x14ac:dyDescent="0.3">
      <c r="A33">
        <v>24</v>
      </c>
      <c r="B33" s="21">
        <f t="shared" si="0"/>
        <v>83.133143832280112</v>
      </c>
      <c r="F33">
        <v>24</v>
      </c>
      <c r="G33" s="4">
        <f t="shared" si="1"/>
        <v>3.5709807482638256</v>
      </c>
    </row>
    <row r="34" spans="1:7" x14ac:dyDescent="0.3">
      <c r="A34">
        <v>25</v>
      </c>
      <c r="B34" s="21">
        <f t="shared" si="0"/>
        <v>93.94045253047652</v>
      </c>
      <c r="F34">
        <v>25</v>
      </c>
      <c r="G34" s="4">
        <f t="shared" si="1"/>
        <v>3.0451157064281649</v>
      </c>
    </row>
    <row r="35" spans="1:7" x14ac:dyDescent="0.3">
      <c r="A35">
        <v>26</v>
      </c>
      <c r="B35" s="21">
        <f t="shared" si="0"/>
        <v>106.15271135943846</v>
      </c>
      <c r="F35">
        <v>26</v>
      </c>
      <c r="G35" s="4">
        <f t="shared" si="1"/>
        <v>2.5797484127682879</v>
      </c>
    </row>
    <row r="36" spans="1:7" x14ac:dyDescent="0.3">
      <c r="A36">
        <v>27</v>
      </c>
      <c r="B36" s="21">
        <f t="shared" si="0"/>
        <v>119.95256383616544</v>
      </c>
      <c r="F36">
        <v>27</v>
      </c>
      <c r="G36" s="4">
        <f t="shared" si="1"/>
        <v>2.1679189493524675</v>
      </c>
    </row>
    <row r="37" spans="1:7" x14ac:dyDescent="0.3">
      <c r="A37">
        <v>28</v>
      </c>
      <c r="B37" s="21">
        <f t="shared" si="0"/>
        <v>135.54639713486694</v>
      </c>
      <c r="F37">
        <v>28</v>
      </c>
      <c r="G37" s="4">
        <f t="shared" si="1"/>
        <v>1.8034680967720953</v>
      </c>
    </row>
    <row r="38" spans="1:7" x14ac:dyDescent="0.3">
      <c r="A38">
        <v>29</v>
      </c>
      <c r="B38" s="21">
        <f t="shared" si="0"/>
        <v>153.16742876239962</v>
      </c>
      <c r="F38">
        <v>29</v>
      </c>
      <c r="G38" s="4">
        <f t="shared" si="1"/>
        <v>1.4809452183823852</v>
      </c>
    </row>
    <row r="39" spans="1:7" x14ac:dyDescent="0.3">
      <c r="A39">
        <v>30</v>
      </c>
      <c r="B39" s="21">
        <f t="shared" si="0"/>
        <v>173.07919450151155</v>
      </c>
      <c r="F39">
        <v>30</v>
      </c>
      <c r="G39" s="4">
        <f t="shared" si="1"/>
        <v>1.1955267419313147</v>
      </c>
    </row>
    <row r="40" spans="1:7" x14ac:dyDescent="0.3">
      <c r="A40">
        <v>31</v>
      </c>
      <c r="B40" s="21">
        <f t="shared" si="0"/>
        <v>195.57948978670802</v>
      </c>
      <c r="F40">
        <v>31</v>
      </c>
      <c r="G40" s="4">
        <f t="shared" si="1"/>
        <v>0.94294401940824346</v>
      </c>
    </row>
    <row r="41" spans="1:7" x14ac:dyDescent="0.3">
      <c r="A41">
        <v>32</v>
      </c>
      <c r="B41" s="21">
        <f t="shared" si="0"/>
        <v>221.00482345898004</v>
      </c>
      <c r="F41">
        <v>32</v>
      </c>
      <c r="G41" s="4">
        <f t="shared" si="1"/>
        <v>0.71941948620198559</v>
      </c>
    </row>
    <row r="42" spans="1:7" x14ac:dyDescent="0.3">
      <c r="A42">
        <v>33</v>
      </c>
      <c r="B42" s="21">
        <f t="shared" si="0"/>
        <v>249.73545050864743</v>
      </c>
      <c r="F42">
        <v>33</v>
      </c>
      <c r="G42" s="4">
        <f t="shared" si="1"/>
        <v>0.52161016478051825</v>
      </c>
    </row>
    <row r="43" spans="1:7" x14ac:dyDescent="0.3">
      <c r="A43">
        <v>34</v>
      </c>
      <c r="B43" s="21">
        <f t="shared" si="0"/>
        <v>282.20105907477159</v>
      </c>
      <c r="F43">
        <v>34</v>
      </c>
      <c r="G43" s="4">
        <f t="shared" si="1"/>
        <v>0.34655766794736143</v>
      </c>
    </row>
    <row r="44" spans="1:7" x14ac:dyDescent="0.3">
      <c r="A44">
        <v>35</v>
      </c>
      <c r="B44" s="21">
        <f t="shared" si="0"/>
        <v>318.88719675449187</v>
      </c>
      <c r="F44">
        <v>35</v>
      </c>
      <c r="G44" s="4">
        <f t="shared" si="1"/>
        <v>0.1916439539357182</v>
      </c>
    </row>
    <row r="45" spans="1:7" x14ac:dyDescent="0.3">
      <c r="A45">
        <v>36</v>
      </c>
      <c r="B45" s="21">
        <f t="shared" si="0"/>
        <v>360.34253233257579</v>
      </c>
      <c r="F45">
        <v>36</v>
      </c>
      <c r="G45" s="4">
        <f t="shared" si="1"/>
        <v>5.4552171624529411E-2</v>
      </c>
    </row>
    <row r="46" spans="1:7" x14ac:dyDescent="0.3">
      <c r="A46">
        <v>37</v>
      </c>
      <c r="B46" s="21">
        <f t="shared" si="0"/>
        <v>407.18706153581059</v>
      </c>
    </row>
  </sheetData>
  <conditionalFormatting sqref="B10:B46">
    <cfRule type="colorScale" priority="1">
      <colorScale>
        <cfvo type="num" val="5"/>
        <cfvo type="num" val="380"/>
        <color rgb="FFF8696B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35"/>
  <sheetViews>
    <sheetView workbookViewId="0">
      <selection activeCell="B36" sqref="B36"/>
    </sheetView>
  </sheetViews>
  <sheetFormatPr defaultRowHeight="14.4" x14ac:dyDescent="0.3"/>
  <cols>
    <col min="1" max="1" width="43.33203125" bestFit="1" customWidth="1"/>
    <col min="2" max="2" width="17.6640625" bestFit="1" customWidth="1"/>
  </cols>
  <sheetData>
    <row r="3" spans="1:3" x14ac:dyDescent="0.3">
      <c r="B3" t="s">
        <v>190</v>
      </c>
    </row>
    <row r="4" spans="1:3" x14ac:dyDescent="0.3">
      <c r="A4" t="s">
        <v>189</v>
      </c>
      <c r="B4">
        <f>Net_And_Analysis!I5</f>
        <v>380</v>
      </c>
    </row>
    <row r="6" spans="1:3" x14ac:dyDescent="0.3">
      <c r="A6" t="s">
        <v>191</v>
      </c>
      <c r="B6">
        <f>Net_And_Analysis!H5</f>
        <v>250</v>
      </c>
    </row>
    <row r="7" spans="1:3" x14ac:dyDescent="0.3">
      <c r="A7" t="s">
        <v>192</v>
      </c>
      <c r="B7">
        <f>Net_And_Analysis!I5</f>
        <v>380</v>
      </c>
    </row>
    <row r="8" spans="1:3" x14ac:dyDescent="0.3">
      <c r="A8" t="s">
        <v>193</v>
      </c>
      <c r="B8">
        <f>Net_And_Analysis!J5</f>
        <v>450</v>
      </c>
    </row>
    <row r="9" spans="1:3" x14ac:dyDescent="0.3">
      <c r="A9" t="s">
        <v>194</v>
      </c>
      <c r="B9">
        <f>Net_And_Analysis!K5</f>
        <v>500</v>
      </c>
    </row>
    <row r="10" spans="1:3" x14ac:dyDescent="0.3">
      <c r="A10" t="s">
        <v>203</v>
      </c>
      <c r="B10">
        <f>Net_And_Analysis!L5</f>
        <v>540</v>
      </c>
    </row>
    <row r="11" spans="1:3" x14ac:dyDescent="0.3">
      <c r="A11" t="s">
        <v>202</v>
      </c>
      <c r="B11">
        <f>Net_And_Analysis!M5</f>
        <v>580</v>
      </c>
    </row>
    <row r="13" spans="1:3" x14ac:dyDescent="0.3">
      <c r="A13" t="s">
        <v>195</v>
      </c>
      <c r="B13" t="s">
        <v>241</v>
      </c>
      <c r="C13" s="10" t="s">
        <v>228</v>
      </c>
    </row>
    <row r="14" spans="1:3" x14ac:dyDescent="0.3">
      <c r="A14" t="s">
        <v>196</v>
      </c>
      <c r="C14">
        <v>2018</v>
      </c>
    </row>
    <row r="15" spans="1:3" x14ac:dyDescent="0.3">
      <c r="A15" t="s">
        <v>233</v>
      </c>
      <c r="B15" s="11">
        <v>58809</v>
      </c>
    </row>
    <row r="16" spans="1:3" x14ac:dyDescent="0.3">
      <c r="A16" t="s">
        <v>232</v>
      </c>
      <c r="B16" s="11">
        <v>56453</v>
      </c>
    </row>
    <row r="17" spans="1:2" x14ac:dyDescent="0.3">
      <c r="A17" t="s">
        <v>231</v>
      </c>
      <c r="B17" s="11">
        <v>58645</v>
      </c>
    </row>
    <row r="18" spans="1:2" x14ac:dyDescent="0.3">
      <c r="A18" t="s">
        <v>230</v>
      </c>
      <c r="B18" s="11">
        <v>49754</v>
      </c>
    </row>
    <row r="19" spans="1:2" x14ac:dyDescent="0.3">
      <c r="A19" t="s">
        <v>229</v>
      </c>
      <c r="B19" s="11">
        <v>50741</v>
      </c>
    </row>
    <row r="20" spans="1:2" x14ac:dyDescent="0.3">
      <c r="A20" t="s">
        <v>234</v>
      </c>
      <c r="B20" s="11">
        <v>54969</v>
      </c>
    </row>
    <row r="21" spans="1:2" x14ac:dyDescent="0.3">
      <c r="A21" t="s">
        <v>235</v>
      </c>
      <c r="B21" s="11">
        <v>59755</v>
      </c>
    </row>
    <row r="22" spans="1:2" x14ac:dyDescent="0.3">
      <c r="A22" t="s">
        <v>236</v>
      </c>
      <c r="B22" s="11">
        <v>59073</v>
      </c>
    </row>
    <row r="23" spans="1:2" x14ac:dyDescent="0.3">
      <c r="A23" t="s">
        <v>237</v>
      </c>
      <c r="B23" s="11">
        <v>60768</v>
      </c>
    </row>
    <row r="24" spans="1:2" x14ac:dyDescent="0.3">
      <c r="A24" t="s">
        <v>238</v>
      </c>
      <c r="B24" s="11">
        <v>45951</v>
      </c>
    </row>
    <row r="25" spans="1:2" x14ac:dyDescent="0.3">
      <c r="A25" t="s">
        <v>239</v>
      </c>
      <c r="B25" s="11">
        <v>37199</v>
      </c>
    </row>
    <row r="28" spans="1:2" x14ac:dyDescent="0.3">
      <c r="A28" t="s">
        <v>43</v>
      </c>
      <c r="B28" s="11">
        <f>SUM(B15:B25)</f>
        <v>592117</v>
      </c>
    </row>
    <row r="29" spans="1:2" x14ac:dyDescent="0.3">
      <c r="A29" t="s">
        <v>198</v>
      </c>
      <c r="B29" s="11">
        <v>25000</v>
      </c>
    </row>
    <row r="30" spans="1:2" x14ac:dyDescent="0.3">
      <c r="A30" t="s">
        <v>197</v>
      </c>
    </row>
    <row r="31" spans="1:2" x14ac:dyDescent="0.3">
      <c r="A31" t="s">
        <v>199</v>
      </c>
      <c r="B31" s="12">
        <f>B28+B29</f>
        <v>617117</v>
      </c>
    </row>
    <row r="32" spans="1:2" x14ac:dyDescent="0.3">
      <c r="A32" t="s">
        <v>243</v>
      </c>
      <c r="B32" s="11">
        <v>620000</v>
      </c>
    </row>
    <row r="34" spans="1:2" x14ac:dyDescent="0.3">
      <c r="A34" t="s">
        <v>200</v>
      </c>
      <c r="B34" s="13">
        <f>$B$4/$B$31</f>
        <v>6.1576654021846752E-4</v>
      </c>
    </row>
    <row r="35" spans="1:2" x14ac:dyDescent="0.3">
      <c r="A35" t="s">
        <v>201</v>
      </c>
      <c r="B35" s="13">
        <f>$B$11/$B$28</f>
        <v>9.7953613897253404E-4</v>
      </c>
    </row>
  </sheetData>
  <phoneticPr fontId="3" type="noConversion"/>
  <hyperlinks>
    <hyperlink ref="C13" r:id="rId1" xr:uid="{9F460612-A357-4BC2-96AB-6169A788747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8"/>
  <sheetViews>
    <sheetView workbookViewId="0">
      <selection activeCell="E33" sqref="E33"/>
    </sheetView>
  </sheetViews>
  <sheetFormatPr defaultRowHeight="14.4" x14ac:dyDescent="0.3"/>
  <cols>
    <col min="1" max="1" width="31" bestFit="1" customWidth="1"/>
    <col min="2" max="2" width="21.88671875" customWidth="1"/>
    <col min="3" max="7" width="12.5546875" bestFit="1" customWidth="1"/>
    <col min="8" max="8" width="11.109375" bestFit="1" customWidth="1"/>
  </cols>
  <sheetData>
    <row r="3" spans="1:7" x14ac:dyDescent="0.3">
      <c r="A3" t="s">
        <v>227</v>
      </c>
      <c r="B3" s="7">
        <f>Gaming!D12</f>
        <v>19680</v>
      </c>
    </row>
    <row r="4" spans="1:7" x14ac:dyDescent="0.3">
      <c r="A4" t="s">
        <v>76</v>
      </c>
      <c r="B4" s="7">
        <f>Dance_Studio!D8</f>
        <v>16500</v>
      </c>
    </row>
    <row r="5" spans="1:7" x14ac:dyDescent="0.3">
      <c r="A5" t="s">
        <v>77</v>
      </c>
      <c r="B5" s="7">
        <f>Kitchen!G20</f>
        <v>47315</v>
      </c>
    </row>
    <row r="6" spans="1:7" x14ac:dyDescent="0.3">
      <c r="A6" t="s">
        <v>78</v>
      </c>
      <c r="B6" s="7">
        <f>Liabilities!B7</f>
        <v>150</v>
      </c>
    </row>
    <row r="7" spans="1:7" x14ac:dyDescent="0.3">
      <c r="A7" t="s">
        <v>82</v>
      </c>
      <c r="B7" s="7">
        <f>decor!K7</f>
        <v>800</v>
      </c>
    </row>
    <row r="8" spans="1:7" x14ac:dyDescent="0.3">
      <c r="A8" t="s">
        <v>89</v>
      </c>
      <c r="B8" s="7">
        <f>'Eating Area'!F10</f>
        <v>3200</v>
      </c>
    </row>
    <row r="10" spans="1:7" x14ac:dyDescent="0.3">
      <c r="A10" t="s">
        <v>81</v>
      </c>
      <c r="B10" s="7">
        <f>SUM(B3:B8)</f>
        <v>87645</v>
      </c>
    </row>
    <row r="11" spans="1:7" x14ac:dyDescent="0.3">
      <c r="A11" t="s">
        <v>244</v>
      </c>
      <c r="B11" s="6">
        <v>2000</v>
      </c>
    </row>
    <row r="12" spans="1:7" x14ac:dyDescent="0.3">
      <c r="A12" t="s">
        <v>226</v>
      </c>
      <c r="B12" s="1">
        <v>10000</v>
      </c>
    </row>
    <row r="13" spans="1:7" x14ac:dyDescent="0.3">
      <c r="A13" t="s">
        <v>245</v>
      </c>
      <c r="B13" s="7">
        <f>SUM(B10:B12)</f>
        <v>99645</v>
      </c>
    </row>
    <row r="15" spans="1:7" x14ac:dyDescent="0.3">
      <c r="A15" t="s">
        <v>126</v>
      </c>
      <c r="B15" s="7">
        <f>Operating_Costs!F13</f>
        <v>393966.66666666663</v>
      </c>
    </row>
    <row r="16" spans="1:7" x14ac:dyDescent="0.3">
      <c r="A16" t="s">
        <v>127</v>
      </c>
      <c r="B16">
        <v>6</v>
      </c>
      <c r="C16">
        <v>5</v>
      </c>
      <c r="D16">
        <v>4</v>
      </c>
      <c r="E16">
        <v>3</v>
      </c>
      <c r="F16">
        <v>2</v>
      </c>
      <c r="G16">
        <v>1</v>
      </c>
    </row>
    <row r="17" spans="1:8" x14ac:dyDescent="0.3">
      <c r="A17" t="s">
        <v>128</v>
      </c>
      <c r="B17">
        <f>B16/12</f>
        <v>0.5</v>
      </c>
      <c r="C17">
        <f t="shared" ref="C17:G17" si="0">C16/12</f>
        <v>0.41666666666666669</v>
      </c>
      <c r="D17">
        <f t="shared" si="0"/>
        <v>0.33333333333333331</v>
      </c>
      <c r="E17">
        <f t="shared" si="0"/>
        <v>0.25</v>
      </c>
      <c r="F17">
        <f t="shared" si="0"/>
        <v>0.16666666666666666</v>
      </c>
      <c r="G17">
        <f t="shared" si="0"/>
        <v>8.3333333333333329E-2</v>
      </c>
    </row>
    <row r="18" spans="1:8" x14ac:dyDescent="0.3">
      <c r="A18" t="s">
        <v>223</v>
      </c>
      <c r="B18" s="7">
        <f t="shared" ref="B18:G18" si="1">$B$15*B$17</f>
        <v>196983.33333333331</v>
      </c>
      <c r="C18" s="7">
        <f t="shared" si="1"/>
        <v>164152.77777777778</v>
      </c>
      <c r="D18" s="7">
        <f t="shared" si="1"/>
        <v>131322.22222222219</v>
      </c>
      <c r="E18" s="7">
        <f t="shared" si="1"/>
        <v>98491.666666666657</v>
      </c>
      <c r="F18" s="7">
        <f t="shared" si="1"/>
        <v>65661.111111111095</v>
      </c>
      <c r="G18" s="7">
        <f t="shared" si="1"/>
        <v>32830.555555555547</v>
      </c>
      <c r="H18" s="7"/>
    </row>
    <row r="19" spans="1:8" x14ac:dyDescent="0.3">
      <c r="A19" t="s">
        <v>129</v>
      </c>
      <c r="B19" s="7">
        <f>$B$10+($B$15*B$17)+$B$12+$B$11</f>
        <v>296628.33333333331</v>
      </c>
      <c r="C19" s="7">
        <f t="shared" ref="C19:G19" si="2">$B$10+($B$15*C$17)+$B$12+$B$11</f>
        <v>263797.77777777775</v>
      </c>
      <c r="D19" s="7">
        <f t="shared" si="2"/>
        <v>230967.22222222219</v>
      </c>
      <c r="E19" s="7">
        <f t="shared" si="2"/>
        <v>198136.66666666666</v>
      </c>
      <c r="F19" s="7">
        <f t="shared" si="2"/>
        <v>165306.11111111109</v>
      </c>
      <c r="G19" s="7">
        <f t="shared" si="2"/>
        <v>132475.55555555556</v>
      </c>
      <c r="H19" s="7"/>
    </row>
    <row r="22" spans="1:8" x14ac:dyDescent="0.3">
      <c r="A22" t="s">
        <v>209</v>
      </c>
      <c r="B22" t="s">
        <v>208</v>
      </c>
    </row>
    <row r="23" spans="1:8" x14ac:dyDescent="0.3">
      <c r="A23" t="s">
        <v>205</v>
      </c>
      <c r="B23" t="s">
        <v>208</v>
      </c>
    </row>
    <row r="24" spans="1:8" x14ac:dyDescent="0.3">
      <c r="A24" t="s">
        <v>204</v>
      </c>
      <c r="B24" t="s">
        <v>208</v>
      </c>
    </row>
    <row r="25" spans="1:8" x14ac:dyDescent="0.3">
      <c r="A25" t="s">
        <v>130</v>
      </c>
      <c r="B25" t="s">
        <v>206</v>
      </c>
    </row>
    <row r="26" spans="1:8" x14ac:dyDescent="0.3">
      <c r="A26" t="s">
        <v>131</v>
      </c>
      <c r="B26" t="s">
        <v>210</v>
      </c>
    </row>
    <row r="27" spans="1:8" x14ac:dyDescent="0.3">
      <c r="A27" t="s">
        <v>207</v>
      </c>
      <c r="B27" t="s">
        <v>254</v>
      </c>
    </row>
    <row r="28" spans="1:8" x14ac:dyDescent="0.3">
      <c r="A28" t="s">
        <v>211</v>
      </c>
      <c r="B28" t="s">
        <v>215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M29"/>
  <sheetViews>
    <sheetView workbookViewId="0">
      <selection activeCell="H15" sqref="H15"/>
    </sheetView>
  </sheetViews>
  <sheetFormatPr defaultRowHeight="14.4" x14ac:dyDescent="0.3"/>
  <cols>
    <col min="1" max="1" width="32.6640625" bestFit="1" customWidth="1"/>
    <col min="2" max="2" width="13.44140625" bestFit="1" customWidth="1"/>
    <col min="3" max="3" width="16.33203125" customWidth="1"/>
    <col min="4" max="7" width="13.44140625" bestFit="1" customWidth="1"/>
    <col min="8" max="8" width="15" bestFit="1" customWidth="1"/>
    <col min="9" max="9" width="16.44140625" style="15" bestFit="1" customWidth="1"/>
    <col min="10" max="10" width="12.5546875" bestFit="1" customWidth="1"/>
    <col min="11" max="12" width="13.6640625" bestFit="1" customWidth="1"/>
    <col min="13" max="13" width="12.5546875" style="17" bestFit="1" customWidth="1"/>
  </cols>
  <sheetData>
    <row r="4" spans="1:13" x14ac:dyDescent="0.3">
      <c r="I4" s="15" t="s">
        <v>242</v>
      </c>
      <c r="M4" s="17" t="s">
        <v>176</v>
      </c>
    </row>
    <row r="5" spans="1:13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>
        <f>Gross!I30</f>
        <v>250</v>
      </c>
      <c r="I5" s="15">
        <f>Gross!J30</f>
        <v>380</v>
      </c>
      <c r="J5">
        <f>Gross!K30</f>
        <v>450</v>
      </c>
      <c r="K5">
        <f>Gross!L30</f>
        <v>500</v>
      </c>
      <c r="L5">
        <f>Gross!M30</f>
        <v>540</v>
      </c>
      <c r="M5" s="17">
        <f>Gross!N30</f>
        <v>580</v>
      </c>
    </row>
    <row r="6" spans="1:13" x14ac:dyDescent="0.3">
      <c r="A6" t="s">
        <v>172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7">
        <f>Gross!I45</f>
        <v>260000.00000000006</v>
      </c>
      <c r="I6" s="16">
        <f>Gross!J45</f>
        <v>395200.00000000006</v>
      </c>
      <c r="J6" s="7">
        <f>Gross!K45</f>
        <v>468000.00000000012</v>
      </c>
      <c r="K6" s="7">
        <f>Gross!L45</f>
        <v>520000.00000000012</v>
      </c>
      <c r="L6" s="7">
        <f>Gross!M45</f>
        <v>561600.00000000012</v>
      </c>
      <c r="M6" s="18">
        <f>Gross!N45</f>
        <v>603200.00000000012</v>
      </c>
    </row>
    <row r="7" spans="1:13" x14ac:dyDescent="0.3">
      <c r="H7" s="7"/>
      <c r="I7" s="16"/>
      <c r="J7" s="7"/>
      <c r="K7" s="7"/>
      <c r="L7" s="7"/>
    </row>
    <row r="8" spans="1:13" x14ac:dyDescent="0.3">
      <c r="A8" t="s">
        <v>171</v>
      </c>
      <c r="B8" s="7">
        <f>Operating_Costs!F13</f>
        <v>393966.66666666663</v>
      </c>
      <c r="H8" s="7"/>
      <c r="I8" s="16"/>
      <c r="J8" s="7"/>
      <c r="K8" s="7"/>
      <c r="L8" s="7"/>
    </row>
    <row r="9" spans="1:13" x14ac:dyDescent="0.3">
      <c r="H9" s="7"/>
      <c r="I9" s="16"/>
      <c r="J9" s="7"/>
      <c r="K9" s="7"/>
      <c r="L9" s="7"/>
    </row>
    <row r="10" spans="1:13" x14ac:dyDescent="0.3">
      <c r="A10" t="s">
        <v>173</v>
      </c>
      <c r="B10" s="7">
        <f>B6-$B$8</f>
        <v>-388766.66666666663</v>
      </c>
      <c r="C10" s="7">
        <f t="shared" ref="C10:L10" si="0">C6-$B$8</f>
        <v>-383566.66666666663</v>
      </c>
      <c r="D10" s="7">
        <f t="shared" si="0"/>
        <v>-373166.66666666663</v>
      </c>
      <c r="E10" s="7">
        <f t="shared" si="0"/>
        <v>-352366.66666666663</v>
      </c>
      <c r="F10" s="7">
        <f t="shared" si="0"/>
        <v>-310766.66666666663</v>
      </c>
      <c r="G10" s="7">
        <f t="shared" si="0"/>
        <v>-227566.6666666666</v>
      </c>
      <c r="H10" s="7">
        <f t="shared" si="0"/>
        <v>-133966.66666666657</v>
      </c>
      <c r="I10" s="16">
        <f t="shared" si="0"/>
        <v>1233.3333333334303</v>
      </c>
      <c r="J10" s="7">
        <f t="shared" si="0"/>
        <v>74033.333333333489</v>
      </c>
      <c r="K10" s="7">
        <f t="shared" si="0"/>
        <v>126033.33333333349</v>
      </c>
      <c r="L10" s="7">
        <f t="shared" si="0"/>
        <v>167633.33333333349</v>
      </c>
      <c r="M10" s="18">
        <f t="shared" ref="M10" si="1">M6-$B$8</f>
        <v>209233.33333333349</v>
      </c>
    </row>
    <row r="11" spans="1:13" x14ac:dyDescent="0.3">
      <c r="B11" t="s">
        <v>109</v>
      </c>
    </row>
    <row r="12" spans="1:13" x14ac:dyDescent="0.3">
      <c r="A12" t="s">
        <v>174</v>
      </c>
      <c r="B12">
        <f>H5</f>
        <v>250</v>
      </c>
    </row>
    <row r="13" spans="1:13" x14ac:dyDescent="0.3">
      <c r="A13" t="s">
        <v>175</v>
      </c>
      <c r="B13">
        <f>Gross!I37</f>
        <v>40.000000000000007</v>
      </c>
    </row>
    <row r="15" spans="1:13" x14ac:dyDescent="0.3">
      <c r="B15" t="s">
        <v>109</v>
      </c>
    </row>
    <row r="16" spans="1:13" x14ac:dyDescent="0.3">
      <c r="A16" t="s">
        <v>178</v>
      </c>
      <c r="B16">
        <f>M5</f>
        <v>580</v>
      </c>
      <c r="C16" t="s">
        <v>186</v>
      </c>
    </row>
    <row r="17" spans="1:3" x14ac:dyDescent="0.3">
      <c r="A17" t="s">
        <v>139</v>
      </c>
      <c r="B17">
        <f>B16*0.2</f>
        <v>116</v>
      </c>
      <c r="C17">
        <f>B17/2</f>
        <v>58</v>
      </c>
    </row>
    <row r="18" spans="1:3" x14ac:dyDescent="0.3">
      <c r="A18" t="s">
        <v>184</v>
      </c>
      <c r="B18">
        <f>B16-(0.2*710)</f>
        <v>438</v>
      </c>
    </row>
    <row r="20" spans="1:3" x14ac:dyDescent="0.3">
      <c r="A20" t="s">
        <v>179</v>
      </c>
      <c r="B20">
        <f>Gross!L37</f>
        <v>80.000000000000014</v>
      </c>
    </row>
    <row r="21" spans="1:3" x14ac:dyDescent="0.3">
      <c r="A21" t="s">
        <v>180</v>
      </c>
      <c r="B21" s="9">
        <v>0.75</v>
      </c>
    </row>
    <row r="22" spans="1:3" x14ac:dyDescent="0.3">
      <c r="A22" t="s">
        <v>183</v>
      </c>
      <c r="B22">
        <f>B20*(1+B21)</f>
        <v>140.00000000000003</v>
      </c>
      <c r="C22" t="s">
        <v>185</v>
      </c>
    </row>
    <row r="24" spans="1:3" x14ac:dyDescent="0.3">
      <c r="A24" t="s">
        <v>177</v>
      </c>
      <c r="B24">
        <f>Gross!B7</f>
        <v>85</v>
      </c>
    </row>
    <row r="25" spans="1:3" x14ac:dyDescent="0.3">
      <c r="A25" t="s">
        <v>182</v>
      </c>
      <c r="B25">
        <v>2</v>
      </c>
    </row>
    <row r="26" spans="1:3" x14ac:dyDescent="0.3">
      <c r="A26" t="s">
        <v>181</v>
      </c>
      <c r="B26">
        <f>B24*B25</f>
        <v>170</v>
      </c>
    </row>
    <row r="28" spans="1:3" x14ac:dyDescent="0.3">
      <c r="A28" t="s">
        <v>188</v>
      </c>
      <c r="B28">
        <f>B26-B22</f>
        <v>29.999999999999972</v>
      </c>
    </row>
    <row r="29" spans="1:3" x14ac:dyDescent="0.3">
      <c r="A29" t="s">
        <v>187</v>
      </c>
      <c r="B29">
        <f>C17-B28</f>
        <v>28.000000000000028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N45"/>
  <sheetViews>
    <sheetView topLeftCell="A16" workbookViewId="0">
      <selection activeCell="L27" sqref="L27"/>
    </sheetView>
  </sheetViews>
  <sheetFormatPr defaultRowHeight="14.4" x14ac:dyDescent="0.3"/>
  <cols>
    <col min="1" max="1" width="24.33203125" bestFit="1" customWidth="1"/>
    <col min="2" max="2" width="22.5546875" bestFit="1" customWidth="1"/>
    <col min="3" max="3" width="22.33203125" customWidth="1"/>
    <col min="4" max="4" width="18.6640625" customWidth="1"/>
    <col min="5" max="5" width="19.6640625" bestFit="1" customWidth="1"/>
    <col min="6" max="6" width="15" customWidth="1"/>
    <col min="7" max="7" width="14.6640625" bestFit="1" customWidth="1"/>
    <col min="8" max="10" width="12.5546875" bestFit="1" customWidth="1"/>
    <col min="11" max="11" width="24.109375" bestFit="1" customWidth="1"/>
    <col min="12" max="12" width="20.21875" bestFit="1" customWidth="1"/>
    <col min="13" max="13" width="13.6640625" bestFit="1" customWidth="1"/>
    <col min="14" max="14" width="12.33203125" bestFit="1" customWidth="1"/>
  </cols>
  <sheetData>
    <row r="1" spans="1:7" x14ac:dyDescent="0.3">
      <c r="B1" t="s">
        <v>137</v>
      </c>
      <c r="F1" t="s">
        <v>138</v>
      </c>
    </row>
    <row r="2" spans="1:7" x14ac:dyDescent="0.3">
      <c r="A2" t="s">
        <v>132</v>
      </c>
      <c r="B2">
        <v>20</v>
      </c>
      <c r="F2" t="s">
        <v>141</v>
      </c>
      <c r="G2" t="s">
        <v>142</v>
      </c>
    </row>
    <row r="3" spans="1:7" x14ac:dyDescent="0.3">
      <c r="A3" t="s">
        <v>133</v>
      </c>
      <c r="B3">
        <f>10</f>
        <v>10</v>
      </c>
      <c r="D3" t="s">
        <v>139</v>
      </c>
      <c r="F3" s="9">
        <v>0.2</v>
      </c>
      <c r="G3" s="6"/>
    </row>
    <row r="4" spans="1:7" x14ac:dyDescent="0.3">
      <c r="A4" t="s">
        <v>134</v>
      </c>
      <c r="B4">
        <v>40</v>
      </c>
      <c r="D4" t="s">
        <v>140</v>
      </c>
      <c r="F4" s="9">
        <v>0.8</v>
      </c>
    </row>
    <row r="5" spans="1:7" x14ac:dyDescent="0.3">
      <c r="A5" t="s">
        <v>135</v>
      </c>
      <c r="B5">
        <v>15</v>
      </c>
    </row>
    <row r="7" spans="1:7" x14ac:dyDescent="0.3">
      <c r="A7" t="s">
        <v>43</v>
      </c>
      <c r="B7">
        <f>SUM(B2:B5)</f>
        <v>85</v>
      </c>
    </row>
    <row r="9" spans="1:7" x14ac:dyDescent="0.3">
      <c r="C9" t="s">
        <v>149</v>
      </c>
    </row>
    <row r="10" spans="1:7" x14ac:dyDescent="0.3">
      <c r="C10" t="s">
        <v>148</v>
      </c>
    </row>
    <row r="11" spans="1:7" x14ac:dyDescent="0.3">
      <c r="C11" t="s">
        <v>147</v>
      </c>
    </row>
    <row r="12" spans="1:7" x14ac:dyDescent="0.3">
      <c r="B12" t="s">
        <v>143</v>
      </c>
      <c r="C12" s="9">
        <v>0.2</v>
      </c>
      <c r="D12" s="9">
        <v>0.8</v>
      </c>
    </row>
    <row r="13" spans="1:7" x14ac:dyDescent="0.3">
      <c r="A13" t="s">
        <v>144</v>
      </c>
      <c r="B13" s="1">
        <v>40</v>
      </c>
      <c r="C13">
        <v>5</v>
      </c>
      <c r="D13">
        <v>3</v>
      </c>
    </row>
    <row r="14" spans="1:7" x14ac:dyDescent="0.3">
      <c r="A14" t="s">
        <v>145</v>
      </c>
      <c r="B14" s="1">
        <v>10</v>
      </c>
      <c r="C14">
        <v>3</v>
      </c>
      <c r="D14">
        <v>2</v>
      </c>
    </row>
    <row r="15" spans="1:7" x14ac:dyDescent="0.3">
      <c r="A15" t="s">
        <v>146</v>
      </c>
      <c r="B15" s="1">
        <v>20</v>
      </c>
      <c r="C15">
        <v>2</v>
      </c>
      <c r="D15">
        <v>1</v>
      </c>
    </row>
    <row r="17" spans="1:14" x14ac:dyDescent="0.3">
      <c r="D17" s="9">
        <v>0.2</v>
      </c>
      <c r="E17">
        <f>D17*100</f>
        <v>20</v>
      </c>
    </row>
    <row r="18" spans="1:14" s="3" customFormat="1" x14ac:dyDescent="0.3"/>
    <row r="19" spans="1:14" x14ac:dyDescent="0.3">
      <c r="A19" t="s">
        <v>159</v>
      </c>
      <c r="B19" t="s">
        <v>161</v>
      </c>
      <c r="C19" t="s">
        <v>155</v>
      </c>
      <c r="D19" t="s">
        <v>212</v>
      </c>
      <c r="E19" t="s">
        <v>160</v>
      </c>
      <c r="F19" t="s">
        <v>158</v>
      </c>
      <c r="G19" t="s">
        <v>169</v>
      </c>
    </row>
    <row r="20" spans="1:14" x14ac:dyDescent="0.3">
      <c r="A20" s="19">
        <v>0.8</v>
      </c>
      <c r="B20">
        <v>0.2</v>
      </c>
      <c r="C20" s="3" t="s">
        <v>151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4" x14ac:dyDescent="0.3">
      <c r="A21" s="19"/>
      <c r="B21">
        <v>0.2</v>
      </c>
      <c r="C21" s="3" t="s">
        <v>152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>E21*F21</f>
        <v>9.600000000000003E-2</v>
      </c>
    </row>
    <row r="22" spans="1:14" x14ac:dyDescent="0.3">
      <c r="A22" s="19"/>
      <c r="B22">
        <v>0.8</v>
      </c>
      <c r="C22" s="3" t="s">
        <v>153</v>
      </c>
      <c r="D22" s="8">
        <v>0.8</v>
      </c>
      <c r="E22" s="3">
        <f t="shared" si="0"/>
        <v>0.51200000000000012</v>
      </c>
      <c r="F22" s="2">
        <v>1</v>
      </c>
      <c r="G22">
        <f>E22*F22</f>
        <v>0.51200000000000012</v>
      </c>
    </row>
    <row r="23" spans="1:14" x14ac:dyDescent="0.3">
      <c r="A23" s="19"/>
      <c r="B23">
        <v>0.8</v>
      </c>
      <c r="C23" s="3" t="s">
        <v>154</v>
      </c>
      <c r="D23" s="8">
        <v>0.2</v>
      </c>
      <c r="E23" s="3">
        <f t="shared" si="0"/>
        <v>0.12800000000000003</v>
      </c>
      <c r="F23" s="2">
        <v>2</v>
      </c>
      <c r="G23">
        <f>E23*F23</f>
        <v>0.25600000000000006</v>
      </c>
      <c r="L23" t="s">
        <v>271</v>
      </c>
    </row>
    <row r="24" spans="1:14" x14ac:dyDescent="0.3">
      <c r="D24" s="3"/>
      <c r="E24" s="3">
        <f>SUM(E20:E23)</f>
        <v>0.80000000000000016</v>
      </c>
      <c r="F24" t="s">
        <v>43</v>
      </c>
      <c r="G24">
        <f>SUM(G20:G23)</f>
        <v>1.1200000000000003</v>
      </c>
      <c r="K24" t="s">
        <v>273</v>
      </c>
      <c r="L24" s="20">
        <f>$B$31*($G$20+$G$21)+$B$33*($G$22+$G$23)</f>
        <v>18.880000000000006</v>
      </c>
    </row>
    <row r="25" spans="1:14" x14ac:dyDescent="0.3">
      <c r="A25" s="19">
        <v>0.2</v>
      </c>
      <c r="B25" s="8">
        <v>0.8</v>
      </c>
      <c r="C25" s="3" t="s">
        <v>156</v>
      </c>
      <c r="D25" t="s">
        <v>163</v>
      </c>
      <c r="E25" s="3">
        <f>$A$25*$B25</f>
        <v>0.16000000000000003</v>
      </c>
      <c r="F25" s="2">
        <v>3</v>
      </c>
      <c r="K25" t="s">
        <v>272</v>
      </c>
      <c r="L25" s="3">
        <f>A25*B42</f>
        <v>8</v>
      </c>
    </row>
    <row r="26" spans="1:14" x14ac:dyDescent="0.3">
      <c r="A26" s="19"/>
      <c r="B26" s="8">
        <v>0.2</v>
      </c>
      <c r="C26" s="3" t="s">
        <v>157</v>
      </c>
      <c r="D26" t="s">
        <v>163</v>
      </c>
      <c r="E26" s="3">
        <f>$A$25*$B26</f>
        <v>4.0000000000000008E-2</v>
      </c>
      <c r="F26" s="2">
        <v>5</v>
      </c>
      <c r="K26" t="s">
        <v>274</v>
      </c>
      <c r="L26">
        <f>52/12</f>
        <v>4.333333333333333</v>
      </c>
    </row>
    <row r="27" spans="1:14" x14ac:dyDescent="0.3">
      <c r="E27">
        <f>SUM(E25:E26)</f>
        <v>0.20000000000000004</v>
      </c>
      <c r="K27" t="s">
        <v>275</v>
      </c>
      <c r="L27">
        <f>L24*L26+L25</f>
        <v>89.813333333333361</v>
      </c>
    </row>
    <row r="28" spans="1:14" x14ac:dyDescent="0.3">
      <c r="E28">
        <f>E24+E27</f>
        <v>1.0000000000000002</v>
      </c>
    </row>
    <row r="29" spans="1:14" x14ac:dyDescent="0.3">
      <c r="B29" t="s">
        <v>150</v>
      </c>
      <c r="K29" s="3"/>
    </row>
    <row r="30" spans="1:14" x14ac:dyDescent="0.3">
      <c r="A30" t="s">
        <v>155</v>
      </c>
      <c r="B30" t="s">
        <v>142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250</v>
      </c>
      <c r="J30">
        <v>380</v>
      </c>
      <c r="K30">
        <v>450</v>
      </c>
      <c r="L30">
        <v>500</v>
      </c>
      <c r="M30">
        <v>540</v>
      </c>
      <c r="N30">
        <v>580</v>
      </c>
    </row>
    <row r="31" spans="1:14" x14ac:dyDescent="0.3">
      <c r="A31" s="3" t="s">
        <v>151</v>
      </c>
      <c r="B31" s="1">
        <v>10</v>
      </c>
      <c r="C31" s="1">
        <f>$E20*$F20*$B31*C$30</f>
        <v>12.800000000000002</v>
      </c>
      <c r="D31" s="1">
        <f t="shared" ref="D31:H31" si="1">$E20*$F20*$B31*D$30</f>
        <v>25.600000000000005</v>
      </c>
      <c r="E31" s="1">
        <f t="shared" si="1"/>
        <v>51.20000000000001</v>
      </c>
      <c r="F31" s="1">
        <f t="shared" si="1"/>
        <v>102.40000000000002</v>
      </c>
      <c r="G31" s="1">
        <f t="shared" si="1"/>
        <v>204.80000000000004</v>
      </c>
      <c r="H31" s="1">
        <f t="shared" si="1"/>
        <v>409.60000000000008</v>
      </c>
      <c r="I31" s="1">
        <f t="shared" ref="I31" si="2">$E20*$F20*$B31*I$30</f>
        <v>640.00000000000011</v>
      </c>
      <c r="J31" s="1">
        <f t="shared" ref="J31:M34" si="3">$E20*$F20*$B31*J$30</f>
        <v>972.80000000000018</v>
      </c>
      <c r="K31" s="1">
        <f t="shared" si="3"/>
        <v>1152.0000000000002</v>
      </c>
      <c r="L31" s="1">
        <f t="shared" si="3"/>
        <v>1280.0000000000002</v>
      </c>
      <c r="M31" s="1">
        <f t="shared" si="3"/>
        <v>1382.4000000000003</v>
      </c>
      <c r="N31" s="1">
        <f>$E20*$F20*$B31*N$30</f>
        <v>1484.8000000000002</v>
      </c>
    </row>
    <row r="32" spans="1:14" x14ac:dyDescent="0.3">
      <c r="A32" s="3" t="s">
        <v>152</v>
      </c>
      <c r="B32" s="1">
        <v>10</v>
      </c>
      <c r="C32" s="1">
        <f t="shared" ref="C32:H34" si="4">$E21*$F21*$B32*C$30</f>
        <v>4.8000000000000016</v>
      </c>
      <c r="D32" s="1">
        <f t="shared" si="4"/>
        <v>9.6000000000000032</v>
      </c>
      <c r="E32" s="1">
        <f t="shared" si="4"/>
        <v>19.200000000000006</v>
      </c>
      <c r="F32" s="1">
        <f t="shared" si="4"/>
        <v>38.400000000000013</v>
      </c>
      <c r="G32" s="1">
        <f t="shared" si="4"/>
        <v>76.800000000000026</v>
      </c>
      <c r="H32" s="1">
        <f t="shared" si="4"/>
        <v>153.60000000000005</v>
      </c>
      <c r="I32" s="1">
        <f t="shared" ref="I32" si="5">$E21*$F21*$B32*I$30</f>
        <v>240.00000000000009</v>
      </c>
      <c r="J32" s="1">
        <f t="shared" si="3"/>
        <v>364.80000000000013</v>
      </c>
      <c r="K32" s="1">
        <f t="shared" si="3"/>
        <v>432.00000000000011</v>
      </c>
      <c r="L32" s="1">
        <f t="shared" si="3"/>
        <v>480.00000000000017</v>
      </c>
      <c r="M32" s="1">
        <f t="shared" si="3"/>
        <v>518.4000000000002</v>
      </c>
      <c r="N32" s="1">
        <f t="shared" ref="N32" si="6">$E21*$F21*$B32*N$30</f>
        <v>556.80000000000018</v>
      </c>
    </row>
    <row r="33" spans="1:14" x14ac:dyDescent="0.3">
      <c r="A33" s="3" t="s">
        <v>153</v>
      </c>
      <c r="B33" s="1">
        <v>20</v>
      </c>
      <c r="C33" s="1">
        <f t="shared" si="4"/>
        <v>51.20000000000001</v>
      </c>
      <c r="D33" s="1">
        <f t="shared" si="4"/>
        <v>102.40000000000002</v>
      </c>
      <c r="E33" s="1">
        <f t="shared" si="4"/>
        <v>204.80000000000004</v>
      </c>
      <c r="F33" s="1">
        <f t="shared" si="4"/>
        <v>409.60000000000008</v>
      </c>
      <c r="G33" s="1">
        <f t="shared" si="4"/>
        <v>819.20000000000016</v>
      </c>
      <c r="H33" s="1">
        <f t="shared" si="4"/>
        <v>1638.4000000000003</v>
      </c>
      <c r="I33" s="1">
        <f t="shared" ref="I33" si="7">$E22*$F22*$B33*I$30</f>
        <v>2560.0000000000005</v>
      </c>
      <c r="J33" s="1">
        <f t="shared" si="3"/>
        <v>3891.2000000000007</v>
      </c>
      <c r="K33" s="1">
        <f t="shared" si="3"/>
        <v>4608.0000000000009</v>
      </c>
      <c r="L33" s="1">
        <f t="shared" si="3"/>
        <v>5120.0000000000009</v>
      </c>
      <c r="M33" s="1">
        <f t="shared" si="3"/>
        <v>5529.6000000000013</v>
      </c>
      <c r="N33" s="1">
        <f t="shared" ref="N33" si="8">$E22*$F22*$B33*N$30</f>
        <v>5939.2000000000007</v>
      </c>
    </row>
    <row r="34" spans="1:14" x14ac:dyDescent="0.3">
      <c r="A34" s="3" t="s">
        <v>154</v>
      </c>
      <c r="B34" s="1">
        <v>20</v>
      </c>
      <c r="C34" s="1">
        <f t="shared" si="4"/>
        <v>25.600000000000005</v>
      </c>
      <c r="D34" s="1">
        <f t="shared" si="4"/>
        <v>51.20000000000001</v>
      </c>
      <c r="E34" s="1">
        <f t="shared" si="4"/>
        <v>102.40000000000002</v>
      </c>
      <c r="F34" s="1">
        <f t="shared" si="4"/>
        <v>204.80000000000004</v>
      </c>
      <c r="G34" s="1">
        <f t="shared" si="4"/>
        <v>409.60000000000008</v>
      </c>
      <c r="H34" s="1">
        <f t="shared" si="4"/>
        <v>819.20000000000016</v>
      </c>
      <c r="I34" s="1">
        <f t="shared" ref="I34" si="9">$E23*$F23*$B34*I$30</f>
        <v>1280.0000000000002</v>
      </c>
      <c r="J34" s="1">
        <f t="shared" si="3"/>
        <v>1945.6000000000004</v>
      </c>
      <c r="K34" s="1">
        <f t="shared" si="3"/>
        <v>2304.0000000000005</v>
      </c>
      <c r="L34" s="1">
        <f t="shared" si="3"/>
        <v>2560.0000000000005</v>
      </c>
      <c r="M34" s="1">
        <f t="shared" si="3"/>
        <v>2764.8000000000006</v>
      </c>
      <c r="N34" s="1">
        <f t="shared" ref="N34" si="10">$E23*$F23*$B34*N$30</f>
        <v>2969.6000000000004</v>
      </c>
    </row>
    <row r="35" spans="1:14" x14ac:dyDescent="0.3">
      <c r="A35" s="3" t="s">
        <v>162</v>
      </c>
      <c r="C35" s="7">
        <f>SUM(C31:C34)</f>
        <v>94.40000000000002</v>
      </c>
      <c r="D35" s="7">
        <f>SUM(D31:D34)</f>
        <v>188.80000000000004</v>
      </c>
      <c r="E35" s="7">
        <f t="shared" ref="E35:I35" si="11">SUM(E31:E34)</f>
        <v>377.60000000000008</v>
      </c>
      <c r="F35" s="7">
        <f t="shared" si="11"/>
        <v>755.20000000000016</v>
      </c>
      <c r="G35" s="7">
        <f t="shared" si="11"/>
        <v>1510.4000000000003</v>
      </c>
      <c r="H35" s="7">
        <f t="shared" si="11"/>
        <v>3020.8000000000006</v>
      </c>
      <c r="I35" s="7">
        <f t="shared" si="11"/>
        <v>4720.0000000000009</v>
      </c>
      <c r="J35" s="7">
        <f>SUM(J31:J34)</f>
        <v>7174.4000000000015</v>
      </c>
      <c r="K35" s="7">
        <f>SUM(K31:K34)</f>
        <v>8496.0000000000018</v>
      </c>
      <c r="L35" s="7">
        <f>SUM(L31:L34)</f>
        <v>9440.0000000000018</v>
      </c>
      <c r="M35" s="7">
        <f>SUM(M31:M34)</f>
        <v>10195.200000000003</v>
      </c>
      <c r="N35" s="7">
        <f>SUM(N31:N34)</f>
        <v>10950.400000000001</v>
      </c>
    </row>
    <row r="36" spans="1:14" x14ac:dyDescent="0.3">
      <c r="A36" s="3" t="s">
        <v>168</v>
      </c>
      <c r="C36" s="3">
        <f>C$30*($G$24)</f>
        <v>5.6000000000000014</v>
      </c>
      <c r="D36" s="3">
        <f t="shared" ref="D36:I36" si="12">D$30*($G$24)</f>
        <v>11.200000000000003</v>
      </c>
      <c r="E36" s="3">
        <f t="shared" si="12"/>
        <v>22.400000000000006</v>
      </c>
      <c r="F36" s="3">
        <f t="shared" si="12"/>
        <v>44.800000000000011</v>
      </c>
      <c r="G36" s="3">
        <f t="shared" si="12"/>
        <v>89.600000000000023</v>
      </c>
      <c r="H36" s="3">
        <f t="shared" si="12"/>
        <v>179.20000000000005</v>
      </c>
      <c r="I36" s="3">
        <f t="shared" si="12"/>
        <v>280.00000000000006</v>
      </c>
      <c r="J36" s="3">
        <f>J$30*($G$24)</f>
        <v>425.60000000000014</v>
      </c>
      <c r="K36" s="3">
        <f>K$30*($G$24)</f>
        <v>504.00000000000017</v>
      </c>
      <c r="L36" s="3">
        <f>L$30*($G$24)</f>
        <v>560.00000000000011</v>
      </c>
      <c r="M36" s="3">
        <f>M$30*($G$24)</f>
        <v>604.80000000000018</v>
      </c>
      <c r="N36" s="3">
        <f>N$30*($G$24)</f>
        <v>649.60000000000014</v>
      </c>
    </row>
    <row r="37" spans="1:14" x14ac:dyDescent="0.3">
      <c r="A37" s="3" t="s">
        <v>170</v>
      </c>
      <c r="C37">
        <f>C36/7</f>
        <v>0.80000000000000016</v>
      </c>
      <c r="D37">
        <f t="shared" ref="D37:I37" si="13">D36/7</f>
        <v>1.6000000000000003</v>
      </c>
      <c r="E37">
        <f t="shared" si="13"/>
        <v>3.2000000000000006</v>
      </c>
      <c r="F37">
        <f t="shared" si="13"/>
        <v>6.4000000000000012</v>
      </c>
      <c r="G37">
        <f t="shared" si="13"/>
        <v>12.800000000000002</v>
      </c>
      <c r="H37">
        <f t="shared" si="13"/>
        <v>25.600000000000005</v>
      </c>
      <c r="I37">
        <f t="shared" si="13"/>
        <v>40.000000000000007</v>
      </c>
      <c r="J37">
        <f>J36/7</f>
        <v>60.800000000000018</v>
      </c>
      <c r="K37">
        <f>K36/7</f>
        <v>72.000000000000028</v>
      </c>
      <c r="L37">
        <f>L36/7</f>
        <v>80.000000000000014</v>
      </c>
      <c r="M37">
        <f>M36/7</f>
        <v>86.40000000000002</v>
      </c>
      <c r="N37">
        <f>N36/7</f>
        <v>92.800000000000026</v>
      </c>
    </row>
    <row r="41" spans="1:14" x14ac:dyDescent="0.3">
      <c r="A41" s="3" t="s">
        <v>166</v>
      </c>
      <c r="C41" s="7">
        <f t="shared" ref="C41:M41" si="14">C35*50</f>
        <v>4720.0000000000009</v>
      </c>
      <c r="D41" s="7">
        <f t="shared" si="14"/>
        <v>9440.0000000000018</v>
      </c>
      <c r="E41" s="7">
        <f t="shared" si="14"/>
        <v>18880.000000000004</v>
      </c>
      <c r="F41" s="7">
        <f t="shared" si="14"/>
        <v>37760.000000000007</v>
      </c>
      <c r="G41" s="7">
        <f t="shared" si="14"/>
        <v>75520.000000000015</v>
      </c>
      <c r="H41" s="7">
        <f t="shared" si="14"/>
        <v>151040.00000000003</v>
      </c>
      <c r="I41" s="7">
        <f t="shared" si="14"/>
        <v>236000.00000000006</v>
      </c>
      <c r="J41" s="7">
        <f t="shared" si="14"/>
        <v>358720.00000000006</v>
      </c>
      <c r="K41" s="7">
        <f t="shared" si="14"/>
        <v>424800.00000000012</v>
      </c>
      <c r="L41" s="7">
        <f t="shared" si="14"/>
        <v>472000.00000000012</v>
      </c>
      <c r="M41" s="7">
        <f t="shared" si="14"/>
        <v>509760.00000000012</v>
      </c>
      <c r="N41" s="7">
        <f t="shared" ref="N41" si="15">N35*50</f>
        <v>547520.00000000012</v>
      </c>
    </row>
    <row r="42" spans="1:14" x14ac:dyDescent="0.3">
      <c r="A42" t="s">
        <v>164</v>
      </c>
      <c r="B42" s="1">
        <v>40</v>
      </c>
      <c r="C42" s="7">
        <f t="shared" ref="C42:N42" si="16">C$30*$B42*$A$25</f>
        <v>40</v>
      </c>
      <c r="D42" s="7">
        <f t="shared" si="16"/>
        <v>80</v>
      </c>
      <c r="E42" s="7">
        <f t="shared" si="16"/>
        <v>160</v>
      </c>
      <c r="F42" s="7">
        <f t="shared" si="16"/>
        <v>320</v>
      </c>
      <c r="G42" s="7">
        <f t="shared" si="16"/>
        <v>640</v>
      </c>
      <c r="H42" s="7">
        <f t="shared" si="16"/>
        <v>1280</v>
      </c>
      <c r="I42" s="7">
        <f t="shared" si="16"/>
        <v>2000</v>
      </c>
      <c r="J42" s="7">
        <f t="shared" si="16"/>
        <v>3040</v>
      </c>
      <c r="K42" s="7">
        <f t="shared" si="16"/>
        <v>3600</v>
      </c>
      <c r="L42" s="7">
        <f t="shared" si="16"/>
        <v>4000</v>
      </c>
      <c r="M42" s="7">
        <f t="shared" si="16"/>
        <v>4320</v>
      </c>
      <c r="N42" s="7">
        <f t="shared" si="16"/>
        <v>4640</v>
      </c>
    </row>
    <row r="43" spans="1:14" x14ac:dyDescent="0.3">
      <c r="A43" t="s">
        <v>165</v>
      </c>
      <c r="C43" s="7">
        <f>C42*12</f>
        <v>480</v>
      </c>
      <c r="D43" s="7">
        <f t="shared" ref="D43:I43" si="17">D42*12</f>
        <v>960</v>
      </c>
      <c r="E43" s="7">
        <f t="shared" si="17"/>
        <v>1920</v>
      </c>
      <c r="F43" s="7">
        <f t="shared" si="17"/>
        <v>3840</v>
      </c>
      <c r="G43" s="7">
        <f t="shared" si="17"/>
        <v>7680</v>
      </c>
      <c r="H43" s="7">
        <f t="shared" si="17"/>
        <v>15360</v>
      </c>
      <c r="I43" s="7">
        <f t="shared" si="17"/>
        <v>24000</v>
      </c>
      <c r="J43" s="7">
        <f>J42*12</f>
        <v>36480</v>
      </c>
      <c r="K43" s="7">
        <f>K42*12</f>
        <v>43200</v>
      </c>
      <c r="L43" s="7">
        <f>L42*12</f>
        <v>48000</v>
      </c>
      <c r="M43" s="7">
        <f>M42*12</f>
        <v>51840</v>
      </c>
      <c r="N43" s="7">
        <f>N42*12</f>
        <v>55680</v>
      </c>
    </row>
    <row r="45" spans="1:14" x14ac:dyDescent="0.3">
      <c r="A45" t="s">
        <v>167</v>
      </c>
      <c r="C45" s="7">
        <f t="shared" ref="C45:M45" si="18">C43+C41</f>
        <v>5200.0000000000009</v>
      </c>
      <c r="D45" s="7">
        <f t="shared" si="18"/>
        <v>10400.000000000002</v>
      </c>
      <c r="E45" s="7">
        <f t="shared" si="18"/>
        <v>20800.000000000004</v>
      </c>
      <c r="F45" s="7">
        <f t="shared" si="18"/>
        <v>41600.000000000007</v>
      </c>
      <c r="G45" s="7">
        <f t="shared" si="18"/>
        <v>83200.000000000015</v>
      </c>
      <c r="H45" s="7">
        <f t="shared" si="18"/>
        <v>166400.00000000003</v>
      </c>
      <c r="I45" s="7">
        <f t="shared" si="18"/>
        <v>260000.00000000006</v>
      </c>
      <c r="J45" s="7">
        <f t="shared" si="18"/>
        <v>395200.00000000006</v>
      </c>
      <c r="K45" s="7">
        <f t="shared" si="18"/>
        <v>468000.00000000012</v>
      </c>
      <c r="L45" s="7">
        <f t="shared" si="18"/>
        <v>520000.00000000012</v>
      </c>
      <c r="M45" s="7">
        <f t="shared" si="18"/>
        <v>561600.00000000012</v>
      </c>
      <c r="N45" s="7">
        <f t="shared" ref="N45" si="19">N43+N41</f>
        <v>603200.00000000012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J17"/>
  <sheetViews>
    <sheetView workbookViewId="0">
      <selection activeCell="A2" sqref="A2"/>
    </sheetView>
  </sheetViews>
  <sheetFormatPr defaultRowHeight="14.4" x14ac:dyDescent="0.3"/>
  <cols>
    <col min="1" max="1" width="47.554687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  <col min="8" max="8" width="14.44140625" customWidth="1"/>
  </cols>
  <sheetData>
    <row r="3" spans="1:10" x14ac:dyDescent="0.3">
      <c r="B3" s="1" t="s">
        <v>96</v>
      </c>
      <c r="C3" s="1" t="s">
        <v>94</v>
      </c>
      <c r="D3" s="1" t="s">
        <v>97</v>
      </c>
      <c r="E3" s="1" t="s">
        <v>124</v>
      </c>
      <c r="F3" s="1" t="s">
        <v>98</v>
      </c>
      <c r="J3" t="s">
        <v>122</v>
      </c>
    </row>
    <row r="4" spans="1:10" x14ac:dyDescent="0.3">
      <c r="A4" t="s">
        <v>91</v>
      </c>
      <c r="B4" s="1">
        <f>C4/7</f>
        <v>10.989010989010989</v>
      </c>
      <c r="C4" s="1">
        <f>F4/52</f>
        <v>76.92307692307692</v>
      </c>
      <c r="D4" s="1">
        <f>employees!B11</f>
        <v>2342.3076923076924</v>
      </c>
      <c r="E4" s="1">
        <f>D4*2</f>
        <v>4684.6153846153848</v>
      </c>
      <c r="F4" s="1">
        <v>4000</v>
      </c>
    </row>
    <row r="5" spans="1:10" x14ac:dyDescent="0.3">
      <c r="A5" t="s">
        <v>125</v>
      </c>
      <c r="B5" s="1">
        <f>C5/7</f>
        <v>334.61538461538464</v>
      </c>
      <c r="C5" s="1">
        <f>employees!B11</f>
        <v>2342.3076923076924</v>
      </c>
      <c r="D5" s="1">
        <f>employees!B12</f>
        <v>4684.6153846153848</v>
      </c>
      <c r="E5" s="1">
        <f>D5*2</f>
        <v>9369.2307692307695</v>
      </c>
      <c r="F5" s="1">
        <f>employees!B8</f>
        <v>121800</v>
      </c>
    </row>
    <row r="6" spans="1:10" x14ac:dyDescent="0.3">
      <c r="A6" t="s">
        <v>92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>C6*50</f>
        <v>2333.3333333333335</v>
      </c>
    </row>
    <row r="7" spans="1:10" x14ac:dyDescent="0.3">
      <c r="A7" t="s">
        <v>93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>C7*50</f>
        <v>4666.666666666667</v>
      </c>
    </row>
    <row r="8" spans="1:10" x14ac:dyDescent="0.3">
      <c r="A8" t="s">
        <v>120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>C8*50</f>
        <v>1166.6666666666667</v>
      </c>
    </row>
    <row r="9" spans="1:10" x14ac:dyDescent="0.3">
      <c r="A9" t="s">
        <v>119</v>
      </c>
      <c r="B9" s="1">
        <f>C9/7</f>
        <v>77.142857142857139</v>
      </c>
      <c r="C9" s="1">
        <f>food!C2</f>
        <v>540</v>
      </c>
      <c r="D9" s="1">
        <f>food!D2</f>
        <v>1080</v>
      </c>
      <c r="E9" s="1">
        <f>food!E2</f>
        <v>2160</v>
      </c>
      <c r="F9" s="1">
        <f>food!F2</f>
        <v>27000</v>
      </c>
    </row>
    <row r="10" spans="1:10" x14ac:dyDescent="0.3">
      <c r="A10" t="s">
        <v>123</v>
      </c>
      <c r="B10" s="1">
        <f>C10/7</f>
        <v>2.8571428571428572</v>
      </c>
      <c r="C10" s="1">
        <v>20</v>
      </c>
      <c r="D10" s="1">
        <f t="shared" ref="D10:E12" si="0">C10*2</f>
        <v>40</v>
      </c>
      <c r="E10" s="1">
        <f t="shared" si="0"/>
        <v>80</v>
      </c>
      <c r="F10" s="1">
        <f>C10*50</f>
        <v>1000</v>
      </c>
    </row>
    <row r="11" spans="1:10" x14ac:dyDescent="0.3">
      <c r="A11" t="s">
        <v>121</v>
      </c>
      <c r="B11" s="1">
        <f>C11/7</f>
        <v>5.4945054945054945</v>
      </c>
      <c r="C11" s="1">
        <f>F11/52</f>
        <v>38.46153846153846</v>
      </c>
      <c r="D11" s="1">
        <f t="shared" si="0"/>
        <v>76.92307692307692</v>
      </c>
      <c r="E11" s="1">
        <f t="shared" si="0"/>
        <v>153.84615384615384</v>
      </c>
      <c r="F11" s="1">
        <v>2000</v>
      </c>
    </row>
    <row r="12" spans="1:10" x14ac:dyDescent="0.3">
      <c r="A12" t="s">
        <v>213</v>
      </c>
      <c r="B12" s="1">
        <f>C12/7</f>
        <v>631.86813186813185</v>
      </c>
      <c r="C12" s="1">
        <f>F12/52</f>
        <v>4423.0769230769229</v>
      </c>
      <c r="D12" s="1">
        <f t="shared" si="0"/>
        <v>8846.1538461538457</v>
      </c>
      <c r="E12" s="1">
        <f t="shared" si="0"/>
        <v>17692.307692307691</v>
      </c>
      <c r="F12" s="1">
        <f>D16</f>
        <v>230000</v>
      </c>
      <c r="H12" t="s">
        <v>214</v>
      </c>
    </row>
    <row r="13" spans="1:10" x14ac:dyDescent="0.3">
      <c r="A13" t="s">
        <v>43</v>
      </c>
      <c r="B13" s="1">
        <f>SUM(B4:B12)</f>
        <v>1086.3003663003662</v>
      </c>
      <c r="C13" s="1">
        <f t="shared" ref="C13:F13" si="1">SUM(C4:C12)</f>
        <v>7604.1025641025644</v>
      </c>
      <c r="D13" s="1">
        <f t="shared" si="1"/>
        <v>17396.666666666664</v>
      </c>
      <c r="E13" s="1">
        <f t="shared" si="1"/>
        <v>34793.333333333328</v>
      </c>
      <c r="F13" s="1">
        <f t="shared" si="1"/>
        <v>393966.66666666663</v>
      </c>
      <c r="H13" s="6">
        <f>F12/12</f>
        <v>19166.666666666668</v>
      </c>
    </row>
    <row r="15" spans="1:10" x14ac:dyDescent="0.3">
      <c r="B15" s="1" t="s">
        <v>249</v>
      </c>
      <c r="C15" s="1" t="s">
        <v>250</v>
      </c>
      <c r="D15" s="1" t="s">
        <v>252</v>
      </c>
    </row>
    <row r="16" spans="1:10" x14ac:dyDescent="0.3">
      <c r="A16" t="s">
        <v>253</v>
      </c>
      <c r="B16" s="14">
        <v>17</v>
      </c>
      <c r="C16" s="14">
        <v>23</v>
      </c>
      <c r="D16" s="1">
        <f>B17*C16</f>
        <v>230000</v>
      </c>
    </row>
    <row r="17" spans="1:2" x14ac:dyDescent="0.3">
      <c r="A17" t="s">
        <v>251</v>
      </c>
      <c r="B17" s="11">
        <v>10000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/>
  </sheetViews>
  <sheetFormatPr defaultRowHeight="14.4" x14ac:dyDescent="0.3"/>
  <cols>
    <col min="1" max="1" width="56.33203125" customWidth="1"/>
    <col min="2" max="2" width="11.109375" bestFit="1" customWidth="1"/>
    <col min="3" max="3" width="12.5546875" bestFit="1" customWidth="1"/>
    <col min="4" max="4" width="10.5546875" bestFit="1" customWidth="1"/>
    <col min="5" max="5" width="10.88671875" bestFit="1" customWidth="1"/>
    <col min="6" max="6" width="11.5546875" bestFit="1" customWidth="1"/>
  </cols>
  <sheetData>
    <row r="1" spans="1:6" x14ac:dyDescent="0.3">
      <c r="B1" t="s">
        <v>34</v>
      </c>
      <c r="C1" t="s">
        <v>104</v>
      </c>
      <c r="D1" t="s">
        <v>105</v>
      </c>
      <c r="E1" t="s">
        <v>106</v>
      </c>
      <c r="F1" t="s">
        <v>107</v>
      </c>
    </row>
    <row r="2" spans="1:6" x14ac:dyDescent="0.3">
      <c r="A2" t="s">
        <v>103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99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100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101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102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118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43</v>
      </c>
      <c r="B8" s="9">
        <f>SUM(B3:B7)</f>
        <v>1</v>
      </c>
    </row>
    <row r="11" spans="1:6" x14ac:dyDescent="0.3">
      <c r="A11" t="s">
        <v>111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108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110</v>
      </c>
      <c r="B14">
        <v>4</v>
      </c>
    </row>
    <row r="15" spans="1:6" x14ac:dyDescent="0.3">
      <c r="A15" t="s">
        <v>113</v>
      </c>
      <c r="B15">
        <v>15</v>
      </c>
    </row>
    <row r="16" spans="1:6" x14ac:dyDescent="0.3">
      <c r="A16" t="s">
        <v>112</v>
      </c>
      <c r="B16" s="7">
        <f>B12*B15</f>
        <v>112.5</v>
      </c>
    </row>
    <row r="17" spans="1:2" x14ac:dyDescent="0.3">
      <c r="A17" t="s">
        <v>116</v>
      </c>
      <c r="B17" s="7">
        <f>B14*B16</f>
        <v>450</v>
      </c>
    </row>
    <row r="18" spans="1:2" x14ac:dyDescent="0.3">
      <c r="A18" t="s">
        <v>114</v>
      </c>
      <c r="B18" s="9">
        <v>0.2</v>
      </c>
    </row>
    <row r="19" spans="1:2" x14ac:dyDescent="0.3">
      <c r="A19" t="s">
        <v>117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115</v>
      </c>
      <c r="B22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D13"/>
  <sheetViews>
    <sheetView workbookViewId="0"/>
  </sheetViews>
  <sheetFormatPr defaultRowHeight="14.4" x14ac:dyDescent="0.3"/>
  <cols>
    <col min="1" max="1" width="33.33203125" bestFit="1" customWidth="1"/>
    <col min="2" max="2" width="12.5546875" style="1" bestFit="1" customWidth="1"/>
    <col min="3" max="3" width="27" bestFit="1" customWidth="1"/>
  </cols>
  <sheetData>
    <row r="1" spans="1:4" x14ac:dyDescent="0.3">
      <c r="B1" s="1" t="s">
        <v>38</v>
      </c>
    </row>
    <row r="2" spans="1:4" x14ac:dyDescent="0.3">
      <c r="C2" t="s">
        <v>256</v>
      </c>
      <c r="D2" t="s">
        <v>257</v>
      </c>
    </row>
    <row r="3" spans="1:4" x14ac:dyDescent="0.3">
      <c r="A3" t="s">
        <v>216</v>
      </c>
      <c r="B3" s="1">
        <v>50000</v>
      </c>
    </row>
    <row r="4" spans="1:4" x14ac:dyDescent="0.3">
      <c r="A4" t="s">
        <v>90</v>
      </c>
      <c r="B4" s="1">
        <v>45000</v>
      </c>
    </row>
    <row r="5" spans="1:4" x14ac:dyDescent="0.3">
      <c r="A5" t="s">
        <v>240</v>
      </c>
      <c r="B5" s="1">
        <v>25000</v>
      </c>
    </row>
    <row r="6" spans="1:4" x14ac:dyDescent="0.3">
      <c r="A6" t="s">
        <v>255</v>
      </c>
      <c r="B6" s="1">
        <f>C6*D6</f>
        <v>1800</v>
      </c>
      <c r="C6">
        <v>3</v>
      </c>
      <c r="D6">
        <v>600</v>
      </c>
    </row>
    <row r="8" spans="1:4" x14ac:dyDescent="0.3">
      <c r="A8" t="s">
        <v>43</v>
      </c>
      <c r="B8" s="1">
        <f>SUM(B2:B6)</f>
        <v>121800</v>
      </c>
    </row>
    <row r="11" spans="1:4" x14ac:dyDescent="0.3">
      <c r="A11" t="s">
        <v>94</v>
      </c>
      <c r="B11" s="1">
        <f>B8/52</f>
        <v>2342.3076923076924</v>
      </c>
    </row>
    <row r="12" spans="1:4" x14ac:dyDescent="0.3">
      <c r="A12" t="s">
        <v>95</v>
      </c>
      <c r="B12" s="1">
        <f>B8/26</f>
        <v>4684.6153846153848</v>
      </c>
    </row>
    <row r="13" spans="1:4" x14ac:dyDescent="0.3">
      <c r="A13" t="s">
        <v>106</v>
      </c>
      <c r="B13" s="1">
        <f>B12*2</f>
        <v>9369.2307692307695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2"/>
  <sheetViews>
    <sheetView workbookViewId="0">
      <selection activeCell="A9" sqref="A9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40</v>
      </c>
      <c r="C1" t="s">
        <v>37</v>
      </c>
      <c r="D1" t="s">
        <v>39</v>
      </c>
    </row>
    <row r="2" spans="1:4" x14ac:dyDescent="0.3">
      <c r="A2" t="s">
        <v>35</v>
      </c>
      <c r="B2" s="1">
        <v>1600</v>
      </c>
      <c r="C2">
        <v>10</v>
      </c>
      <c r="D2" s="7">
        <f>B2*C2</f>
        <v>16000</v>
      </c>
    </row>
    <row r="3" spans="1:4" x14ac:dyDescent="0.3">
      <c r="A3" t="s">
        <v>36</v>
      </c>
      <c r="B3" s="1">
        <v>115</v>
      </c>
      <c r="C3">
        <v>12</v>
      </c>
      <c r="D3" s="7">
        <f t="shared" ref="D3:D8" si="0">B3*C3</f>
        <v>1380</v>
      </c>
    </row>
    <row r="4" spans="1:4" x14ac:dyDescent="0.3">
      <c r="A4" t="s">
        <v>221</v>
      </c>
      <c r="B4" s="1">
        <v>100</v>
      </c>
      <c r="C4">
        <f>C3</f>
        <v>12</v>
      </c>
      <c r="D4" s="7">
        <f>B4*C4</f>
        <v>1200</v>
      </c>
    </row>
    <row r="5" spans="1:4" x14ac:dyDescent="0.3">
      <c r="A5" t="s">
        <v>42</v>
      </c>
      <c r="B5" s="1">
        <v>500</v>
      </c>
      <c r="C5">
        <v>1</v>
      </c>
      <c r="D5" s="7">
        <f t="shared" si="0"/>
        <v>500</v>
      </c>
    </row>
    <row r="6" spans="1:4" x14ac:dyDescent="0.3">
      <c r="A6" t="s">
        <v>41</v>
      </c>
      <c r="B6" s="1">
        <v>100</v>
      </c>
      <c r="C6">
        <v>1</v>
      </c>
      <c r="D6" s="7">
        <f t="shared" si="0"/>
        <v>100</v>
      </c>
    </row>
    <row r="7" spans="1:4" x14ac:dyDescent="0.3">
      <c r="A7" t="s">
        <v>50</v>
      </c>
      <c r="B7" s="1">
        <v>200</v>
      </c>
      <c r="C7">
        <v>1</v>
      </c>
      <c r="D7" s="7">
        <f t="shared" si="0"/>
        <v>200</v>
      </c>
    </row>
    <row r="8" spans="1:4" x14ac:dyDescent="0.3">
      <c r="A8" t="s">
        <v>220</v>
      </c>
      <c r="B8" s="1">
        <v>300</v>
      </c>
      <c r="C8">
        <v>1</v>
      </c>
      <c r="D8" s="7">
        <f t="shared" si="0"/>
        <v>300</v>
      </c>
    </row>
    <row r="12" spans="1:4" x14ac:dyDescent="0.3">
      <c r="A12" t="s">
        <v>43</v>
      </c>
      <c r="D12" s="7">
        <f>SUM(D2:D8)</f>
        <v>19680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8"/>
  <sheetViews>
    <sheetView workbookViewId="0">
      <selection activeCell="A8" sqref="A8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46</v>
      </c>
    </row>
    <row r="2" spans="1:7" x14ac:dyDescent="0.3">
      <c r="B2" s="1" t="s">
        <v>38</v>
      </c>
      <c r="C2" t="s">
        <v>45</v>
      </c>
      <c r="G2" t="s">
        <v>47</v>
      </c>
    </row>
    <row r="3" spans="1:7" x14ac:dyDescent="0.3">
      <c r="A3" t="s">
        <v>44</v>
      </c>
      <c r="B3" s="1">
        <v>15</v>
      </c>
      <c r="C3">
        <v>900</v>
      </c>
      <c r="D3" s="7">
        <f>C3*B3</f>
        <v>13500</v>
      </c>
      <c r="G3" t="s">
        <v>48</v>
      </c>
    </row>
    <row r="4" spans="1:7" x14ac:dyDescent="0.3">
      <c r="A4" t="s">
        <v>49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79</v>
      </c>
      <c r="D5" s="1">
        <v>5000</v>
      </c>
    </row>
    <row r="6" spans="1:7" x14ac:dyDescent="0.3">
      <c r="A6" t="s">
        <v>224</v>
      </c>
      <c r="D6" s="1">
        <v>3000</v>
      </c>
    </row>
    <row r="8" spans="1:7" x14ac:dyDescent="0.3">
      <c r="A8" t="s">
        <v>225</v>
      </c>
      <c r="D8" s="7">
        <f>D3+D6</f>
        <v>16500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20"/>
  <sheetViews>
    <sheetView workbookViewId="0"/>
  </sheetViews>
  <sheetFormatPr defaultRowHeight="14.4" x14ac:dyDescent="0.3"/>
  <cols>
    <col min="1" max="1" width="33.88671875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21.33203125" bestFit="1" customWidth="1"/>
    <col min="7" max="7" width="11.5546875" bestFit="1" customWidth="1"/>
  </cols>
  <sheetData>
    <row r="1" spans="1:7" x14ac:dyDescent="0.3">
      <c r="B1" s="1" t="s">
        <v>38</v>
      </c>
      <c r="C1" t="s">
        <v>56</v>
      </c>
      <c r="D1" t="s">
        <v>57</v>
      </c>
      <c r="E1" t="s">
        <v>59</v>
      </c>
      <c r="F1" t="s">
        <v>55</v>
      </c>
      <c r="G1" t="s">
        <v>58</v>
      </c>
    </row>
    <row r="2" spans="1:7" x14ac:dyDescent="0.3">
      <c r="A2" t="s">
        <v>248</v>
      </c>
      <c r="B2" s="1">
        <v>55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5325</v>
      </c>
    </row>
    <row r="3" spans="1:7" x14ac:dyDescent="0.3">
      <c r="A3" t="s">
        <v>222</v>
      </c>
      <c r="B3" s="1">
        <v>2000</v>
      </c>
      <c r="C3">
        <v>4</v>
      </c>
      <c r="G3" s="7">
        <f>B3*C3</f>
        <v>8000</v>
      </c>
    </row>
    <row r="4" spans="1:7" x14ac:dyDescent="0.3">
      <c r="A4" t="s">
        <v>60</v>
      </c>
      <c r="B4" s="1">
        <v>300</v>
      </c>
      <c r="C4">
        <v>4</v>
      </c>
      <c r="G4" s="7">
        <f>B4*C4</f>
        <v>1200</v>
      </c>
    </row>
    <row r="5" spans="1:7" x14ac:dyDescent="0.3">
      <c r="A5" t="s">
        <v>51</v>
      </c>
      <c r="B5" s="1">
        <v>50</v>
      </c>
      <c r="C5">
        <v>4</v>
      </c>
      <c r="G5" s="7">
        <f t="shared" ref="G5:G16" si="0">B5*C5</f>
        <v>200</v>
      </c>
    </row>
    <row r="6" spans="1:7" x14ac:dyDescent="0.3">
      <c r="A6" t="s">
        <v>52</v>
      </c>
      <c r="B6" s="1">
        <v>1000</v>
      </c>
      <c r="C6">
        <v>4</v>
      </c>
      <c r="G6" s="7">
        <f t="shared" si="0"/>
        <v>4000</v>
      </c>
    </row>
    <row r="7" spans="1:7" x14ac:dyDescent="0.3">
      <c r="A7" t="s">
        <v>217</v>
      </c>
      <c r="B7" s="1">
        <v>1000</v>
      </c>
      <c r="C7">
        <v>4</v>
      </c>
      <c r="G7" s="7">
        <f t="shared" si="0"/>
        <v>4000</v>
      </c>
    </row>
    <row r="8" spans="1:7" x14ac:dyDescent="0.3">
      <c r="A8" t="s">
        <v>219</v>
      </c>
      <c r="B8" s="1">
        <v>8000</v>
      </c>
      <c r="C8">
        <v>1</v>
      </c>
      <c r="G8" s="7">
        <f t="shared" si="0"/>
        <v>8000</v>
      </c>
    </row>
    <row r="9" spans="1:7" x14ac:dyDescent="0.3">
      <c r="A9" t="s">
        <v>218</v>
      </c>
      <c r="B9" s="1">
        <v>2500</v>
      </c>
      <c r="C9">
        <f>C7</f>
        <v>4</v>
      </c>
      <c r="G9" s="7">
        <f t="shared" si="0"/>
        <v>10000</v>
      </c>
    </row>
    <row r="10" spans="1:7" x14ac:dyDescent="0.3">
      <c r="A10" t="s">
        <v>247</v>
      </c>
      <c r="B10" s="1">
        <v>3900</v>
      </c>
      <c r="C10">
        <v>1</v>
      </c>
      <c r="G10" s="7">
        <f t="shared" si="0"/>
        <v>3900</v>
      </c>
    </row>
    <row r="11" spans="1:7" x14ac:dyDescent="0.3">
      <c r="A11" t="s">
        <v>53</v>
      </c>
      <c r="B11" s="1">
        <v>1000</v>
      </c>
      <c r="C11">
        <v>1</v>
      </c>
      <c r="G11" s="7">
        <f t="shared" si="0"/>
        <v>1000</v>
      </c>
    </row>
    <row r="12" spans="1:7" x14ac:dyDescent="0.3">
      <c r="A12" t="s">
        <v>54</v>
      </c>
      <c r="B12" s="1">
        <v>0</v>
      </c>
      <c r="C12">
        <v>1</v>
      </c>
      <c r="G12" s="7">
        <f t="shared" si="0"/>
        <v>0</v>
      </c>
    </row>
    <row r="13" spans="1:7" x14ac:dyDescent="0.3">
      <c r="A13" t="s">
        <v>61</v>
      </c>
      <c r="B13" s="1">
        <v>100</v>
      </c>
      <c r="C13">
        <v>6</v>
      </c>
      <c r="G13" s="7">
        <f t="shared" si="0"/>
        <v>600</v>
      </c>
    </row>
    <row r="14" spans="1:7" x14ac:dyDescent="0.3">
      <c r="A14" t="s">
        <v>63</v>
      </c>
      <c r="B14" s="1">
        <v>250</v>
      </c>
      <c r="C14">
        <v>3</v>
      </c>
      <c r="G14" s="7">
        <f t="shared" si="0"/>
        <v>750</v>
      </c>
    </row>
    <row r="15" spans="1:7" x14ac:dyDescent="0.3">
      <c r="A15" t="s">
        <v>64</v>
      </c>
      <c r="B15" s="1">
        <v>80</v>
      </c>
      <c r="C15">
        <v>3</v>
      </c>
      <c r="G15" s="7">
        <f t="shared" si="0"/>
        <v>240</v>
      </c>
    </row>
    <row r="16" spans="1:7" x14ac:dyDescent="0.3">
      <c r="A16" t="s">
        <v>246</v>
      </c>
      <c r="B16" s="1">
        <v>100</v>
      </c>
      <c r="C16">
        <v>1</v>
      </c>
      <c r="G16" s="7">
        <f t="shared" si="0"/>
        <v>100</v>
      </c>
    </row>
    <row r="20" spans="1:7" x14ac:dyDescent="0.3">
      <c r="A20" t="s">
        <v>43</v>
      </c>
      <c r="G20" s="7">
        <f>SUM(G2:G16)</f>
        <v>47315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38C7-F562-43B8-A4F8-A402353A65B3}">
  <dimension ref="A1:U43"/>
  <sheetViews>
    <sheetView workbookViewId="0">
      <selection activeCell="B3" sqref="B3"/>
    </sheetView>
  </sheetViews>
  <sheetFormatPr defaultRowHeight="14.4" x14ac:dyDescent="0.3"/>
  <cols>
    <col min="1" max="1" width="17.77734375" bestFit="1" customWidth="1"/>
    <col min="2" max="2" width="11" bestFit="1" customWidth="1"/>
    <col min="3" max="3" width="17.44140625" bestFit="1" customWidth="1"/>
    <col min="5" max="5" width="11" bestFit="1" customWidth="1"/>
    <col min="6" max="6" width="14.88671875" style="22" bestFit="1" customWidth="1"/>
    <col min="8" max="8" width="11" bestFit="1" customWidth="1"/>
    <col min="9" max="9" width="13.33203125" style="22" bestFit="1" customWidth="1"/>
    <col min="11" max="11" width="11" bestFit="1" customWidth="1"/>
    <col min="12" max="12" width="12" style="7" bestFit="1" customWidth="1"/>
    <col min="14" max="14" width="11" bestFit="1" customWidth="1"/>
    <col min="15" max="15" width="11.21875" style="7" bestFit="1" customWidth="1"/>
    <col min="18" max="18" width="23.33203125" bestFit="1" customWidth="1"/>
  </cols>
  <sheetData>
    <row r="1" spans="1:21" x14ac:dyDescent="0.3">
      <c r="U1" t="s">
        <v>270</v>
      </c>
    </row>
    <row r="3" spans="1:21" x14ac:dyDescent="0.3">
      <c r="A3" t="s">
        <v>276</v>
      </c>
      <c r="B3">
        <v>1</v>
      </c>
      <c r="E3">
        <v>1.5</v>
      </c>
      <c r="H3">
        <v>2</v>
      </c>
      <c r="K3">
        <v>2.5</v>
      </c>
      <c r="N3">
        <v>3</v>
      </c>
      <c r="Q3" t="s">
        <v>277</v>
      </c>
    </row>
    <row r="4" spans="1:21" x14ac:dyDescent="0.3">
      <c r="A4" t="s">
        <v>269</v>
      </c>
      <c r="B4" s="9">
        <f>Key_Assumptions!M4</f>
        <v>0.45</v>
      </c>
      <c r="E4" s="9">
        <f>Key_Assumptions!M5</f>
        <v>0.3</v>
      </c>
      <c r="H4" s="9">
        <f>Key_Assumptions!M6</f>
        <v>0.21</v>
      </c>
      <c r="K4" s="9">
        <f>Key_Assumptions!M7</f>
        <v>0.16</v>
      </c>
      <c r="N4" s="9">
        <f>Key_Assumptions!M8</f>
        <v>0.13</v>
      </c>
    </row>
    <row r="6" spans="1:21" x14ac:dyDescent="0.3">
      <c r="A6" t="s">
        <v>259</v>
      </c>
      <c r="B6" t="s">
        <v>4</v>
      </c>
      <c r="C6" t="s">
        <v>258</v>
      </c>
      <c r="E6" t="s">
        <v>4</v>
      </c>
      <c r="F6" s="22" t="s">
        <v>258</v>
      </c>
      <c r="H6" t="s">
        <v>4</v>
      </c>
      <c r="I6" s="22" t="s">
        <v>258</v>
      </c>
      <c r="K6" t="s">
        <v>4</v>
      </c>
      <c r="L6" s="7" t="s">
        <v>258</v>
      </c>
      <c r="N6" t="s">
        <v>4</v>
      </c>
      <c r="O6" s="7" t="s">
        <v>258</v>
      </c>
    </row>
    <row r="7" spans="1:21" x14ac:dyDescent="0.3">
      <c r="A7">
        <v>1</v>
      </c>
      <c r="B7">
        <v>5</v>
      </c>
      <c r="C7" s="7">
        <f>B7*Gross!$L$27</f>
        <v>449.06666666666683</v>
      </c>
      <c r="E7">
        <v>5</v>
      </c>
      <c r="F7" s="22">
        <f>E7*Gross!$L$27</f>
        <v>449.06666666666683</v>
      </c>
      <c r="H7">
        <v>5</v>
      </c>
      <c r="I7" s="22">
        <f>H7*Gross!$L$27</f>
        <v>449.06666666666683</v>
      </c>
      <c r="K7">
        <v>5</v>
      </c>
      <c r="L7" s="7">
        <f>K7*Gross!$L$27</f>
        <v>449.06666666666683</v>
      </c>
      <c r="N7">
        <v>5</v>
      </c>
      <c r="O7" s="7">
        <f>N7*Gross!$L$27</f>
        <v>449.06666666666683</v>
      </c>
    </row>
    <row r="8" spans="1:21" x14ac:dyDescent="0.3">
      <c r="A8">
        <v>2</v>
      </c>
      <c r="B8">
        <f>B7*(1+$B$4)</f>
        <v>7.25</v>
      </c>
      <c r="C8" s="7">
        <f>B8*Gross!$L$27</f>
        <v>651.14666666666687</v>
      </c>
      <c r="E8">
        <f>E7*(1+$E$4)</f>
        <v>6.5</v>
      </c>
      <c r="F8" s="22">
        <f>E8*Gross!$L$27</f>
        <v>583.78666666666686</v>
      </c>
      <c r="H8">
        <f>H7*(1+$H$4)</f>
        <v>6.05</v>
      </c>
      <c r="I8" s="22">
        <f>H8*Gross!$L$27</f>
        <v>543.37066666666681</v>
      </c>
      <c r="K8">
        <f>K7*(1+$K$4)</f>
        <v>5.8</v>
      </c>
      <c r="L8" s="7">
        <f>K8*Gross!$L$27</f>
        <v>520.91733333333343</v>
      </c>
      <c r="N8">
        <f>N7*(1+$N$4)</f>
        <v>5.6499999999999995</v>
      </c>
      <c r="O8" s="7">
        <f>N8*Gross!$L$27</f>
        <v>507.44533333333345</v>
      </c>
    </row>
    <row r="9" spans="1:21" x14ac:dyDescent="0.3">
      <c r="A9">
        <v>3</v>
      </c>
      <c r="B9">
        <f t="shared" ref="B9:B42" si="0">B8*(1+$B$4)</f>
        <v>10.512499999999999</v>
      </c>
      <c r="C9" s="7">
        <f>B9*Gross!$L$27</f>
        <v>944.16266666666684</v>
      </c>
      <c r="E9">
        <f t="shared" ref="E9:E42" si="1">E8*(1+$E$4)</f>
        <v>8.4500000000000011</v>
      </c>
      <c r="F9" s="22">
        <f>E9*Gross!$L$27</f>
        <v>758.92266666666694</v>
      </c>
      <c r="H9">
        <f t="shared" ref="H9:H42" si="2">H8*(1+$H$4)</f>
        <v>7.3205</v>
      </c>
      <c r="I9" s="22">
        <f>H9*Gross!$L$27</f>
        <v>657.47850666666682</v>
      </c>
      <c r="K9">
        <f t="shared" ref="K9:K42" si="3">K8*(1+$K$4)</f>
        <v>6.7279999999999998</v>
      </c>
      <c r="L9" s="7">
        <f>K9*Gross!$L$27</f>
        <v>604.26410666666686</v>
      </c>
      <c r="N9">
        <f t="shared" ref="N9:N42" si="4">N8*(1+$N$4)</f>
        <v>6.3844999999999992</v>
      </c>
      <c r="O9" s="7">
        <f>N9*Gross!$L$27</f>
        <v>573.41322666666679</v>
      </c>
    </row>
    <row r="10" spans="1:21" x14ac:dyDescent="0.3">
      <c r="A10">
        <v>4</v>
      </c>
      <c r="B10">
        <f t="shared" si="0"/>
        <v>15.243124999999999</v>
      </c>
      <c r="C10" s="7">
        <f>B10*Gross!$L$27</f>
        <v>1369.0358666666671</v>
      </c>
      <c r="E10">
        <f t="shared" si="1"/>
        <v>10.985000000000001</v>
      </c>
      <c r="F10" s="22">
        <f>E10*Gross!$L$27</f>
        <v>986.59946666666713</v>
      </c>
      <c r="H10">
        <f t="shared" si="2"/>
        <v>8.857804999999999</v>
      </c>
      <c r="I10" s="22">
        <f>H10*Gross!$L$27</f>
        <v>795.54899306666687</v>
      </c>
      <c r="K10">
        <f t="shared" si="3"/>
        <v>7.804479999999999</v>
      </c>
      <c r="L10" s="7">
        <f>K10*Gross!$L$27</f>
        <v>700.94636373333344</v>
      </c>
      <c r="N10">
        <f t="shared" si="4"/>
        <v>7.214484999999998</v>
      </c>
      <c r="O10" s="7">
        <f>N10*Gross!$L$27</f>
        <v>647.9569461333333</v>
      </c>
    </row>
    <row r="11" spans="1:21" x14ac:dyDescent="0.3">
      <c r="A11">
        <v>5</v>
      </c>
      <c r="B11">
        <f t="shared" si="0"/>
        <v>22.102531249999998</v>
      </c>
      <c r="C11" s="7">
        <f>B11*Gross!$L$27</f>
        <v>1985.1020066666672</v>
      </c>
      <c r="E11">
        <f t="shared" si="1"/>
        <v>14.280500000000002</v>
      </c>
      <c r="F11" s="22">
        <f>E11*Gross!$L$27</f>
        <v>1282.5793066666672</v>
      </c>
      <c r="H11">
        <f t="shared" si="2"/>
        <v>10.717944049999998</v>
      </c>
      <c r="I11" s="22">
        <f>H11*Gross!$L$27</f>
        <v>962.61428161066681</v>
      </c>
      <c r="K11">
        <f t="shared" si="3"/>
        <v>9.0531967999999985</v>
      </c>
      <c r="L11" s="7">
        <f>K11*Gross!$L$27</f>
        <v>813.09778193066677</v>
      </c>
      <c r="N11">
        <f t="shared" si="4"/>
        <v>8.1523680499999962</v>
      </c>
      <c r="O11" s="7">
        <f>N11*Gross!$L$27</f>
        <v>732.19134913066659</v>
      </c>
    </row>
    <row r="12" spans="1:21" x14ac:dyDescent="0.3">
      <c r="A12">
        <v>6</v>
      </c>
      <c r="B12">
        <f t="shared" si="0"/>
        <v>32.048670312499993</v>
      </c>
      <c r="C12" s="7">
        <f>B12*Gross!$L$27</f>
        <v>2878.3979096666671</v>
      </c>
      <c r="E12">
        <f t="shared" si="1"/>
        <v>18.564650000000004</v>
      </c>
      <c r="F12" s="22">
        <f>E12*Gross!$L$27</f>
        <v>1667.3530986666676</v>
      </c>
      <c r="H12">
        <f t="shared" si="2"/>
        <v>12.968712300499996</v>
      </c>
      <c r="I12" s="22">
        <f>H12*Gross!$L$27</f>
        <v>1164.7632807489067</v>
      </c>
      <c r="K12">
        <f t="shared" si="3"/>
        <v>10.501708287999998</v>
      </c>
      <c r="L12" s="7">
        <f>K12*Gross!$L$27</f>
        <v>943.19342703957341</v>
      </c>
      <c r="N12">
        <f t="shared" si="4"/>
        <v>9.2121758964999945</v>
      </c>
      <c r="O12" s="7">
        <f>N12*Gross!$L$27</f>
        <v>827.3762245176531</v>
      </c>
    </row>
    <row r="13" spans="1:21" x14ac:dyDescent="0.3">
      <c r="A13">
        <v>7</v>
      </c>
      <c r="B13">
        <f t="shared" si="0"/>
        <v>46.470571953124988</v>
      </c>
      <c r="C13" s="7">
        <f>B13*Gross!$L$27</f>
        <v>4173.6769690166666</v>
      </c>
      <c r="E13">
        <f t="shared" si="1"/>
        <v>24.134045000000008</v>
      </c>
      <c r="F13" s="22">
        <f>E13*Gross!$L$27</f>
        <v>2167.5590282666681</v>
      </c>
      <c r="H13">
        <f t="shared" si="2"/>
        <v>15.692141883604995</v>
      </c>
      <c r="I13" s="22">
        <f>H13*Gross!$L$27</f>
        <v>1409.363569706177</v>
      </c>
      <c r="K13">
        <f t="shared" si="3"/>
        <v>12.181981614079996</v>
      </c>
      <c r="L13" s="7">
        <f>K13*Gross!$L$27</f>
        <v>1094.1043753659051</v>
      </c>
      <c r="N13">
        <f t="shared" si="4"/>
        <v>10.409758763044993</v>
      </c>
      <c r="O13" s="7">
        <f>N13*Gross!$L$27</f>
        <v>934.93513370494793</v>
      </c>
    </row>
    <row r="14" spans="1:21" x14ac:dyDescent="0.3">
      <c r="A14">
        <v>8</v>
      </c>
      <c r="B14">
        <f t="shared" si="0"/>
        <v>67.382329332031233</v>
      </c>
      <c r="C14" s="7">
        <f>B14*Gross!$L$27</f>
        <v>6051.8316050741669</v>
      </c>
      <c r="E14">
        <f t="shared" si="1"/>
        <v>31.37425850000001</v>
      </c>
      <c r="F14" s="22">
        <f>E14*Gross!$L$27</f>
        <v>2817.8267367466683</v>
      </c>
      <c r="H14">
        <f t="shared" si="2"/>
        <v>18.987491679162044</v>
      </c>
      <c r="I14" s="22">
        <f>H14*Gross!$L$27</f>
        <v>1705.3299193444743</v>
      </c>
      <c r="K14">
        <f t="shared" si="3"/>
        <v>14.131098672332795</v>
      </c>
      <c r="L14" s="7">
        <f>K14*Gross!$L$27</f>
        <v>1269.1610754244498</v>
      </c>
      <c r="N14">
        <f t="shared" si="4"/>
        <v>11.763027402240841</v>
      </c>
      <c r="O14" s="7">
        <f>N14*Gross!$L$27</f>
        <v>1056.476701086591</v>
      </c>
    </row>
    <row r="15" spans="1:21" x14ac:dyDescent="0.3">
      <c r="A15">
        <v>9</v>
      </c>
      <c r="B15">
        <f t="shared" si="0"/>
        <v>97.704377531445289</v>
      </c>
      <c r="C15" s="7">
        <f>B15*Gross!$L$27</f>
        <v>8775.1558273575429</v>
      </c>
      <c r="E15">
        <f t="shared" si="1"/>
        <v>40.786536050000016</v>
      </c>
      <c r="F15" s="22">
        <f>E15*Gross!$L$27</f>
        <v>3663.1747577706692</v>
      </c>
      <c r="H15">
        <f t="shared" si="2"/>
        <v>22.974864931786072</v>
      </c>
      <c r="I15" s="22">
        <f>H15*Gross!$L$27</f>
        <v>2063.4492024068136</v>
      </c>
      <c r="K15">
        <f t="shared" si="3"/>
        <v>16.392074459906041</v>
      </c>
      <c r="L15" s="7">
        <f>K15*Gross!$L$27</f>
        <v>1472.2268474923617</v>
      </c>
      <c r="N15">
        <f t="shared" si="4"/>
        <v>13.292220964532149</v>
      </c>
      <c r="O15" s="7">
        <f>N15*Gross!$L$27</f>
        <v>1193.8186722278479</v>
      </c>
    </row>
    <row r="16" spans="1:21" x14ac:dyDescent="0.3">
      <c r="A16">
        <v>10</v>
      </c>
      <c r="B16">
        <f t="shared" si="0"/>
        <v>141.67134742059565</v>
      </c>
      <c r="C16" s="7">
        <f>B16*Gross!$L$27</f>
        <v>12723.975949668435</v>
      </c>
      <c r="E16">
        <f t="shared" si="1"/>
        <v>53.022496865000022</v>
      </c>
      <c r="F16" s="22">
        <f>E16*Gross!$L$27</f>
        <v>4762.1271851018701</v>
      </c>
      <c r="H16">
        <f t="shared" si="2"/>
        <v>27.799586567461148</v>
      </c>
      <c r="I16" s="22">
        <f>H16*Gross!$L$27</f>
        <v>2496.7735349122445</v>
      </c>
      <c r="K16">
        <f t="shared" si="3"/>
        <v>19.014806373491005</v>
      </c>
      <c r="L16" s="7">
        <f>K16*Gross!$L$27</f>
        <v>1707.7831430911394</v>
      </c>
      <c r="N16">
        <f t="shared" si="4"/>
        <v>15.020209689921327</v>
      </c>
      <c r="O16" s="7">
        <f>N16*Gross!$L$27</f>
        <v>1349.0150996174677</v>
      </c>
    </row>
    <row r="17" spans="1:15" x14ac:dyDescent="0.3">
      <c r="A17">
        <v>11</v>
      </c>
      <c r="B17">
        <f t="shared" si="0"/>
        <v>205.42345375986369</v>
      </c>
      <c r="C17" s="7">
        <f>B17*Gross!$L$27</f>
        <v>18449.765127019229</v>
      </c>
      <c r="E17">
        <f t="shared" si="1"/>
        <v>68.929245924500037</v>
      </c>
      <c r="F17" s="22">
        <f>E17*Gross!$L$27</f>
        <v>6190.7653406324316</v>
      </c>
      <c r="H17">
        <f t="shared" si="2"/>
        <v>33.637499746627988</v>
      </c>
      <c r="I17" s="22">
        <f>H17*Gross!$L$27</f>
        <v>3021.0959772438159</v>
      </c>
      <c r="K17">
        <f t="shared" si="3"/>
        <v>22.057175393249565</v>
      </c>
      <c r="L17" s="7">
        <f>K17*Gross!$L$27</f>
        <v>1981.0284459857216</v>
      </c>
      <c r="N17">
        <f t="shared" si="4"/>
        <v>16.972836949611096</v>
      </c>
      <c r="O17" s="7">
        <f>N17*Gross!$L$27</f>
        <v>1524.3870625677384</v>
      </c>
    </row>
    <row r="18" spans="1:15" x14ac:dyDescent="0.3">
      <c r="A18">
        <v>12</v>
      </c>
      <c r="B18">
        <f t="shared" si="0"/>
        <v>297.86400795180236</v>
      </c>
      <c r="C18" s="7">
        <f>B18*Gross!$L$27</f>
        <v>26752.159434177884</v>
      </c>
      <c r="E18">
        <f t="shared" si="1"/>
        <v>89.608019701850054</v>
      </c>
      <c r="F18" s="22">
        <f>E18*Gross!$L$27</f>
        <v>8047.9949428221616</v>
      </c>
      <c r="H18">
        <f t="shared" si="2"/>
        <v>40.701374693419865</v>
      </c>
      <c r="I18" s="22">
        <f>H18*Gross!$L$27</f>
        <v>3655.5261324650173</v>
      </c>
      <c r="K18">
        <f t="shared" si="3"/>
        <v>25.586323456169495</v>
      </c>
      <c r="L18" s="7">
        <f>K18*Gross!$L$27</f>
        <v>2297.9929973434369</v>
      </c>
      <c r="N18">
        <f t="shared" si="4"/>
        <v>19.179305753060536</v>
      </c>
      <c r="O18" s="7">
        <f>N18*Gross!$L$27</f>
        <v>1722.5573807015442</v>
      </c>
    </row>
    <row r="19" spans="1:15" x14ac:dyDescent="0.3">
      <c r="A19">
        <v>13</v>
      </c>
      <c r="B19">
        <f t="shared" si="0"/>
        <v>431.90281153011341</v>
      </c>
      <c r="C19" s="7">
        <f>B19*Gross!$L$27</f>
        <v>38790.631179557931</v>
      </c>
      <c r="E19">
        <f t="shared" si="1"/>
        <v>116.49042561240508</v>
      </c>
      <c r="F19" s="22">
        <f>E19*Gross!$L$27</f>
        <v>10462.393425668812</v>
      </c>
      <c r="H19">
        <f t="shared" si="2"/>
        <v>49.248663379038035</v>
      </c>
      <c r="I19" s="22">
        <f>H19*Gross!$L$27</f>
        <v>4423.1866202826704</v>
      </c>
      <c r="K19">
        <f t="shared" si="3"/>
        <v>29.680135209156614</v>
      </c>
      <c r="L19" s="7">
        <f>K19*Gross!$L$27</f>
        <v>2665.6718769183867</v>
      </c>
      <c r="N19">
        <f t="shared" si="4"/>
        <v>21.672615500958404</v>
      </c>
      <c r="O19" s="7">
        <f>N19*Gross!$L$27</f>
        <v>1946.4898401927446</v>
      </c>
    </row>
    <row r="20" spans="1:15" x14ac:dyDescent="0.3">
      <c r="A20">
        <v>14</v>
      </c>
      <c r="B20">
        <f t="shared" si="0"/>
        <v>626.25907671866446</v>
      </c>
      <c r="C20" s="7">
        <f>B20*Gross!$L$27</f>
        <v>56246.415210359002</v>
      </c>
      <c r="E20">
        <f t="shared" si="1"/>
        <v>151.43755329612659</v>
      </c>
      <c r="F20" s="22">
        <f>E20*Gross!$L$27</f>
        <v>13601.111453369454</v>
      </c>
      <c r="H20">
        <f t="shared" si="2"/>
        <v>59.590882688636022</v>
      </c>
      <c r="I20" s="22">
        <f>H20*Gross!$L$27</f>
        <v>5352.0558105420314</v>
      </c>
      <c r="K20">
        <f t="shared" si="3"/>
        <v>34.428956842621666</v>
      </c>
      <c r="L20" s="7">
        <f>K20*Gross!$L$27</f>
        <v>3092.1793772253282</v>
      </c>
      <c r="N20">
        <f t="shared" si="4"/>
        <v>24.490055516082993</v>
      </c>
      <c r="O20" s="7">
        <f>N20*Gross!$L$27</f>
        <v>2199.533519417801</v>
      </c>
    </row>
    <row r="21" spans="1:15" x14ac:dyDescent="0.3">
      <c r="A21">
        <v>15</v>
      </c>
      <c r="B21">
        <f t="shared" si="0"/>
        <v>908.07566124206346</v>
      </c>
      <c r="C21" s="7">
        <f>B21*Gross!$L$27</f>
        <v>81557.302055020555</v>
      </c>
      <c r="E21">
        <f t="shared" si="1"/>
        <v>196.86881928496459</v>
      </c>
      <c r="F21" s="22">
        <f>E21*Gross!$L$27</f>
        <v>17681.444889380291</v>
      </c>
      <c r="H21">
        <f t="shared" si="2"/>
        <v>72.104968053249578</v>
      </c>
      <c r="I21" s="22">
        <f>H21*Gross!$L$27</f>
        <v>6475.9875307558577</v>
      </c>
      <c r="K21">
        <f t="shared" si="3"/>
        <v>39.937589937441132</v>
      </c>
      <c r="L21" s="7">
        <f>K21*Gross!$L$27</f>
        <v>3586.9280775813804</v>
      </c>
      <c r="N21">
        <f t="shared" si="4"/>
        <v>27.673762733173781</v>
      </c>
      <c r="O21" s="7">
        <f>N21*Gross!$L$27</f>
        <v>2485.4728769421154</v>
      </c>
    </row>
    <row r="22" spans="1:15" x14ac:dyDescent="0.3">
      <c r="A22">
        <v>16</v>
      </c>
      <c r="B22">
        <f t="shared" si="0"/>
        <v>1316.7097088009921</v>
      </c>
      <c r="C22" s="7">
        <f>B22*Gross!$L$27</f>
        <v>118258.08797977981</v>
      </c>
      <c r="E22">
        <f t="shared" si="1"/>
        <v>255.92946507045397</v>
      </c>
      <c r="F22" s="22">
        <f>E22*Gross!$L$27</f>
        <v>22985.878356194378</v>
      </c>
      <c r="H22">
        <f t="shared" si="2"/>
        <v>87.247011344431982</v>
      </c>
      <c r="I22" s="22">
        <f>H22*Gross!$L$27</f>
        <v>7835.944912214587</v>
      </c>
      <c r="K22">
        <f t="shared" si="3"/>
        <v>46.327604327431708</v>
      </c>
      <c r="L22" s="7">
        <f>K22*Gross!$L$27</f>
        <v>4160.8365699944006</v>
      </c>
      <c r="N22">
        <f t="shared" si="4"/>
        <v>31.271351888486368</v>
      </c>
      <c r="O22" s="7">
        <f>N22*Gross!$L$27</f>
        <v>2808.5843509445899</v>
      </c>
    </row>
    <row r="23" spans="1:15" x14ac:dyDescent="0.3">
      <c r="A23">
        <v>17</v>
      </c>
      <c r="B23">
        <f t="shared" si="0"/>
        <v>1909.2290777614385</v>
      </c>
      <c r="C23" s="7">
        <f>B23*Gross!$L$27</f>
        <v>171474.22757068073</v>
      </c>
      <c r="E23">
        <f t="shared" si="1"/>
        <v>332.70830459159015</v>
      </c>
      <c r="F23" s="22">
        <f>E23*Gross!$L$27</f>
        <v>29881.641863052693</v>
      </c>
      <c r="H23">
        <f t="shared" si="2"/>
        <v>105.56888372676269</v>
      </c>
      <c r="I23" s="22">
        <f>H23*Gross!$L$27</f>
        <v>9481.4933437796499</v>
      </c>
      <c r="K23">
        <f t="shared" si="3"/>
        <v>53.74002101982078</v>
      </c>
      <c r="L23" s="7">
        <f>K23*Gross!$L$27</f>
        <v>4826.5704211935054</v>
      </c>
      <c r="N23">
        <f t="shared" si="4"/>
        <v>35.336627633989593</v>
      </c>
      <c r="O23" s="7">
        <f>N23*Gross!$L$27</f>
        <v>3173.7003165673864</v>
      </c>
    </row>
    <row r="24" spans="1:15" x14ac:dyDescent="0.3">
      <c r="A24">
        <v>18</v>
      </c>
      <c r="B24">
        <f t="shared" si="0"/>
        <v>2768.3821627540856</v>
      </c>
      <c r="C24" s="7">
        <f>B24*Gross!$L$27</f>
        <v>248637.62997748703</v>
      </c>
      <c r="E24">
        <f t="shared" si="1"/>
        <v>432.52079596906719</v>
      </c>
      <c r="F24" s="22">
        <f>E24*Gross!$L$27</f>
        <v>38846.134421968498</v>
      </c>
      <c r="H24">
        <f t="shared" si="2"/>
        <v>127.73834930938285</v>
      </c>
      <c r="I24" s="22">
        <f>H24*Gross!$L$27</f>
        <v>11472.606945973375</v>
      </c>
      <c r="K24">
        <f t="shared" si="3"/>
        <v>62.338424382992102</v>
      </c>
      <c r="L24" s="7">
        <f>K24*Gross!$L$27</f>
        <v>5598.8216885844658</v>
      </c>
      <c r="N24">
        <f t="shared" si="4"/>
        <v>39.930389226408238</v>
      </c>
      <c r="O24" s="7">
        <f>N24*Gross!$L$27</f>
        <v>3586.2813577211464</v>
      </c>
    </row>
    <row r="25" spans="1:15" x14ac:dyDescent="0.3">
      <c r="A25">
        <v>19</v>
      </c>
      <c r="B25">
        <f t="shared" si="0"/>
        <v>4014.154135993424</v>
      </c>
      <c r="C25" s="7">
        <f>B25*Gross!$L$27</f>
        <v>360524.56346735614</v>
      </c>
      <c r="E25">
        <f t="shared" si="1"/>
        <v>562.2770347597874</v>
      </c>
      <c r="F25" s="22">
        <f>E25*Gross!$L$27</f>
        <v>50499.974748559056</v>
      </c>
      <c r="H25">
        <f t="shared" si="2"/>
        <v>154.56340266435325</v>
      </c>
      <c r="I25" s="22">
        <f>H25*Gross!$L$27</f>
        <v>13881.854404627784</v>
      </c>
      <c r="K25">
        <f t="shared" si="3"/>
        <v>72.312572284270829</v>
      </c>
      <c r="L25" s="7">
        <f>K25*Gross!$L$27</f>
        <v>6494.6331587579789</v>
      </c>
      <c r="N25">
        <f t="shared" si="4"/>
        <v>45.121339825841304</v>
      </c>
      <c r="O25" s="7">
        <f>N25*Gross!$L$27</f>
        <v>4052.4979342248948</v>
      </c>
    </row>
    <row r="26" spans="1:15" x14ac:dyDescent="0.3">
      <c r="A26">
        <v>20</v>
      </c>
      <c r="B26">
        <f t="shared" si="0"/>
        <v>5820.5234971904647</v>
      </c>
      <c r="C26" s="7">
        <f>B26*Gross!$L$27</f>
        <v>522760.61702766642</v>
      </c>
      <c r="E26">
        <f t="shared" si="1"/>
        <v>730.9601451877237</v>
      </c>
      <c r="F26" s="22">
        <f>E26*Gross!$L$27</f>
        <v>65649.967173126774</v>
      </c>
      <c r="H26">
        <f t="shared" si="2"/>
        <v>187.02171722386743</v>
      </c>
      <c r="I26" s="22">
        <f>H26*Gross!$L$27</f>
        <v>16797.043829599617</v>
      </c>
      <c r="K26">
        <f t="shared" si="3"/>
        <v>83.882583849754155</v>
      </c>
      <c r="L26" s="7">
        <f>K26*Gross!$L$27</f>
        <v>7533.7744641592553</v>
      </c>
      <c r="N26">
        <f t="shared" si="4"/>
        <v>50.987114003200666</v>
      </c>
      <c r="O26" s="7">
        <f>N26*Gross!$L$27</f>
        <v>4579.3226656741308</v>
      </c>
    </row>
    <row r="27" spans="1:15" x14ac:dyDescent="0.3">
      <c r="A27">
        <v>21</v>
      </c>
      <c r="B27">
        <f t="shared" si="0"/>
        <v>8439.7590709261731</v>
      </c>
      <c r="C27" s="7">
        <f>B27*Gross!$L$27</f>
        <v>758002.89469011629</v>
      </c>
      <c r="E27">
        <f t="shared" si="1"/>
        <v>950.24818874404082</v>
      </c>
      <c r="F27" s="22">
        <f>E27*Gross!$L$27</f>
        <v>85344.95732506481</v>
      </c>
      <c r="H27">
        <f t="shared" si="2"/>
        <v>226.29627784087958</v>
      </c>
      <c r="I27" s="22">
        <f>H27*Gross!$L$27</f>
        <v>20324.423033815539</v>
      </c>
      <c r="K27">
        <f t="shared" si="3"/>
        <v>97.30379726571482</v>
      </c>
      <c r="L27" s="7">
        <f>K27*Gross!$L$27</f>
        <v>8739.1783784247364</v>
      </c>
      <c r="N27">
        <f t="shared" si="4"/>
        <v>57.615438823616749</v>
      </c>
      <c r="O27" s="7">
        <f>N27*Gross!$L$27</f>
        <v>5174.6346122117675</v>
      </c>
    </row>
    <row r="28" spans="1:15" x14ac:dyDescent="0.3">
      <c r="A28">
        <v>22</v>
      </c>
      <c r="B28">
        <f t="shared" si="0"/>
        <v>12237.650652842951</v>
      </c>
      <c r="C28" s="7">
        <f>B28*Gross!$L$27</f>
        <v>1099104.1973006686</v>
      </c>
      <c r="E28">
        <f t="shared" si="1"/>
        <v>1235.322645367253</v>
      </c>
      <c r="F28" s="22">
        <f>E28*Gross!$L$27</f>
        <v>110948.44452258425</v>
      </c>
      <c r="H28">
        <f t="shared" si="2"/>
        <v>273.81849618746429</v>
      </c>
      <c r="I28" s="22">
        <f>H28*Gross!$L$27</f>
        <v>24592.551870916799</v>
      </c>
      <c r="K28">
        <f t="shared" si="3"/>
        <v>112.87240482822918</v>
      </c>
      <c r="L28" s="7">
        <f>K28*Gross!$L$27</f>
        <v>10137.446918972693</v>
      </c>
      <c r="N28">
        <f t="shared" si="4"/>
        <v>65.105445870686921</v>
      </c>
      <c r="O28" s="7">
        <f>N28*Gross!$L$27</f>
        <v>5847.3371117992965</v>
      </c>
    </row>
    <row r="29" spans="1:15" x14ac:dyDescent="0.3">
      <c r="A29">
        <v>23</v>
      </c>
      <c r="B29">
        <f t="shared" si="0"/>
        <v>17744.593446622279</v>
      </c>
      <c r="C29" s="7">
        <f>B29*Gross!$L$27</f>
        <v>1593701.0860859693</v>
      </c>
      <c r="E29">
        <f t="shared" si="1"/>
        <v>1605.9194389774291</v>
      </c>
      <c r="F29" s="22">
        <f>E29*Gross!$L$27</f>
        <v>144232.97787935953</v>
      </c>
      <c r="H29">
        <f t="shared" si="2"/>
        <v>331.3203803868318</v>
      </c>
      <c r="I29" s="22">
        <f>H29*Gross!$L$27</f>
        <v>29756.987763809328</v>
      </c>
      <c r="K29">
        <f t="shared" si="3"/>
        <v>130.93198960074585</v>
      </c>
      <c r="L29" s="7">
        <f>K29*Gross!$L$27</f>
        <v>11759.438426008324</v>
      </c>
      <c r="N29">
        <f t="shared" si="4"/>
        <v>73.569153833876214</v>
      </c>
      <c r="O29" s="7">
        <f>N29*Gross!$L$27</f>
        <v>6607.4909363332044</v>
      </c>
    </row>
    <row r="30" spans="1:15" x14ac:dyDescent="0.3">
      <c r="A30">
        <v>24</v>
      </c>
      <c r="B30">
        <f t="shared" si="0"/>
        <v>25729.660497602305</v>
      </c>
      <c r="C30" s="7">
        <f>B30*Gross!$L$27</f>
        <v>2310866.5748246559</v>
      </c>
      <c r="E30">
        <f t="shared" si="1"/>
        <v>2087.6952706706579</v>
      </c>
      <c r="F30" s="22">
        <f>E30*Gross!$L$27</f>
        <v>187502.87124316741</v>
      </c>
      <c r="H30">
        <f t="shared" si="2"/>
        <v>400.89766026806649</v>
      </c>
      <c r="I30" s="22">
        <f>H30*Gross!$L$27</f>
        <v>36005.955194209288</v>
      </c>
      <c r="K30">
        <f t="shared" si="3"/>
        <v>151.88110793686516</v>
      </c>
      <c r="L30" s="7">
        <f>K30*Gross!$L$27</f>
        <v>13640.948574169654</v>
      </c>
      <c r="N30">
        <f t="shared" si="4"/>
        <v>83.133143832280112</v>
      </c>
      <c r="O30" s="7">
        <f>N30*Gross!$L$27</f>
        <v>7466.4647580565197</v>
      </c>
    </row>
    <row r="31" spans="1:15" x14ac:dyDescent="0.3">
      <c r="A31">
        <v>25</v>
      </c>
      <c r="B31">
        <f t="shared" si="0"/>
        <v>37308.00772152334</v>
      </c>
      <c r="C31" s="7">
        <f>B31*Gross!$L$27</f>
        <v>3350756.5334957507</v>
      </c>
      <c r="E31">
        <f t="shared" si="1"/>
        <v>2714.0038518718552</v>
      </c>
      <c r="F31" s="22">
        <f>E31*Gross!$L$27</f>
        <v>243753.73261611763</v>
      </c>
      <c r="H31">
        <f t="shared" si="2"/>
        <v>485.08616892436044</v>
      </c>
      <c r="I31" s="22">
        <f>H31*Gross!$L$27</f>
        <v>43567.205784993239</v>
      </c>
      <c r="K31">
        <f t="shared" si="3"/>
        <v>176.18208520676359</v>
      </c>
      <c r="L31" s="7">
        <f>K31*Gross!$L$27</f>
        <v>15823.500346036799</v>
      </c>
      <c r="N31">
        <f t="shared" si="4"/>
        <v>93.94045253047652</v>
      </c>
      <c r="O31" s="7">
        <f>N31*Gross!$L$27</f>
        <v>8437.1051766038672</v>
      </c>
    </row>
    <row r="32" spans="1:15" x14ac:dyDescent="0.3">
      <c r="A32">
        <v>26</v>
      </c>
      <c r="B32">
        <f t="shared" si="0"/>
        <v>54096.61119620884</v>
      </c>
      <c r="C32" s="7">
        <f>B32*Gross!$L$27</f>
        <v>4858596.9735688381</v>
      </c>
      <c r="E32">
        <f t="shared" si="1"/>
        <v>3528.205007433412</v>
      </c>
      <c r="F32" s="22">
        <f>E32*Gross!$L$27</f>
        <v>316879.85240095295</v>
      </c>
      <c r="H32">
        <f t="shared" si="2"/>
        <v>586.95426439847608</v>
      </c>
      <c r="I32" s="22">
        <f>H32*Gross!$L$27</f>
        <v>52716.318999841817</v>
      </c>
      <c r="K32">
        <f t="shared" si="3"/>
        <v>204.37121883984574</v>
      </c>
      <c r="L32" s="7">
        <f>K32*Gross!$L$27</f>
        <v>18355.260401402684</v>
      </c>
      <c r="N32">
        <f t="shared" si="4"/>
        <v>106.15271135943846</v>
      </c>
      <c r="O32" s="7">
        <f>N32*Gross!$L$27</f>
        <v>9533.9288495623696</v>
      </c>
    </row>
    <row r="33" spans="1:15" x14ac:dyDescent="0.3">
      <c r="A33">
        <v>27</v>
      </c>
      <c r="B33">
        <f t="shared" si="0"/>
        <v>78440.086234502814</v>
      </c>
      <c r="C33" s="7">
        <f>B33*Gross!$L$27</f>
        <v>7044965.6116748145</v>
      </c>
      <c r="E33">
        <f t="shared" si="1"/>
        <v>4586.666509663436</v>
      </c>
      <c r="F33" s="22">
        <f>E33*Gross!$L$27</f>
        <v>411943.80812123884</v>
      </c>
      <c r="H33">
        <f t="shared" si="2"/>
        <v>710.21465992215599</v>
      </c>
      <c r="I33" s="22">
        <f>H33*Gross!$L$27</f>
        <v>63786.745989808587</v>
      </c>
      <c r="K33">
        <f t="shared" si="3"/>
        <v>237.07061385422105</v>
      </c>
      <c r="L33" s="7">
        <f>K33*Gross!$L$27</f>
        <v>21292.102065627114</v>
      </c>
      <c r="N33">
        <f t="shared" si="4"/>
        <v>119.95256383616544</v>
      </c>
      <c r="O33" s="7">
        <f>N33*Gross!$L$27</f>
        <v>10773.339600005474</v>
      </c>
    </row>
    <row r="34" spans="1:15" x14ac:dyDescent="0.3">
      <c r="A34">
        <v>28</v>
      </c>
      <c r="B34">
        <f t="shared" si="0"/>
        <v>113738.12504002907</v>
      </c>
      <c r="C34" s="7">
        <f>B34*Gross!$L$27</f>
        <v>10215200.13692848</v>
      </c>
      <c r="E34">
        <f t="shared" si="1"/>
        <v>5962.6664625624671</v>
      </c>
      <c r="F34" s="22">
        <f>E34*Gross!$L$27</f>
        <v>535526.9505576106</v>
      </c>
      <c r="H34">
        <f t="shared" si="2"/>
        <v>859.35973850580876</v>
      </c>
      <c r="I34" s="22">
        <f>H34*Gross!$L$27</f>
        <v>77181.962647668392</v>
      </c>
      <c r="K34">
        <f t="shared" si="3"/>
        <v>275.00191207089642</v>
      </c>
      <c r="L34" s="7">
        <f>K34*Gross!$L$27</f>
        <v>24698.838396127452</v>
      </c>
      <c r="N34">
        <f t="shared" si="4"/>
        <v>135.54639713486694</v>
      </c>
      <c r="O34" s="7">
        <f>N34*Gross!$L$27</f>
        <v>12173.873748006186</v>
      </c>
    </row>
    <row r="35" spans="1:15" x14ac:dyDescent="0.3">
      <c r="A35">
        <v>29</v>
      </c>
      <c r="B35">
        <f t="shared" si="0"/>
        <v>164920.28130804215</v>
      </c>
      <c r="C35" s="7">
        <f>B35*Gross!$L$27</f>
        <v>14812040.198546296</v>
      </c>
      <c r="E35">
        <f t="shared" si="1"/>
        <v>7751.4664013312076</v>
      </c>
      <c r="F35" s="22">
        <f>E35*Gross!$L$27</f>
        <v>696185.03572489379</v>
      </c>
      <c r="H35">
        <f t="shared" si="2"/>
        <v>1039.8252835920287</v>
      </c>
      <c r="I35" s="22">
        <f>H35*Gross!$L$27</f>
        <v>93390.174803678761</v>
      </c>
      <c r="K35">
        <f t="shared" si="3"/>
        <v>319.00221800223983</v>
      </c>
      <c r="L35" s="7">
        <f>K35*Gross!$L$27</f>
        <v>28650.652539507842</v>
      </c>
      <c r="N35">
        <f t="shared" si="4"/>
        <v>153.16742876239962</v>
      </c>
      <c r="O35" s="7">
        <f>N35*Gross!$L$27</f>
        <v>13756.477335246989</v>
      </c>
    </row>
    <row r="36" spans="1:15" x14ac:dyDescent="0.3">
      <c r="A36">
        <v>30</v>
      </c>
      <c r="B36">
        <f t="shared" si="0"/>
        <v>239134.40789666111</v>
      </c>
      <c r="C36" s="7">
        <f>B36*Gross!$L$27</f>
        <v>21477458.287892129</v>
      </c>
      <c r="E36">
        <f t="shared" si="1"/>
        <v>10076.90632173057</v>
      </c>
      <c r="F36" s="22">
        <f>E36*Gross!$L$27</f>
        <v>905040.5464423619</v>
      </c>
      <c r="H36">
        <f t="shared" si="2"/>
        <v>1258.1885931463546</v>
      </c>
      <c r="I36" s="22">
        <f>H36*Gross!$L$27</f>
        <v>113002.1115124513</v>
      </c>
      <c r="K36">
        <f t="shared" si="3"/>
        <v>370.04257288259817</v>
      </c>
      <c r="L36" s="7">
        <f>K36*Gross!$L$27</f>
        <v>33234.756945829096</v>
      </c>
      <c r="N36">
        <f t="shared" si="4"/>
        <v>173.07919450151155</v>
      </c>
      <c r="O36" s="7">
        <f>N36*Gross!$L$27</f>
        <v>15544.819388829095</v>
      </c>
    </row>
    <row r="37" spans="1:15" x14ac:dyDescent="0.3">
      <c r="A37">
        <v>31</v>
      </c>
      <c r="B37">
        <f t="shared" si="0"/>
        <v>346744.89145015861</v>
      </c>
      <c r="C37" s="7">
        <f>B37*Gross!$L$27</f>
        <v>31142314.51744359</v>
      </c>
      <c r="E37">
        <f t="shared" si="1"/>
        <v>13099.978218249742</v>
      </c>
      <c r="F37" s="22">
        <f>E37*Gross!$L$27</f>
        <v>1176552.7103750706</v>
      </c>
      <c r="H37">
        <f t="shared" si="2"/>
        <v>1522.4081977070891</v>
      </c>
      <c r="I37" s="22">
        <f>H37*Gross!$L$27</f>
        <v>136732.55493006608</v>
      </c>
      <c r="K37">
        <f t="shared" si="3"/>
        <v>429.24938454381385</v>
      </c>
      <c r="L37" s="7">
        <f>K37*Gross!$L$27</f>
        <v>38552.318057161749</v>
      </c>
      <c r="N37">
        <f t="shared" si="4"/>
        <v>195.57948978670802</v>
      </c>
      <c r="O37" s="7">
        <f>N37*Gross!$L$27</f>
        <v>17565.645909376875</v>
      </c>
    </row>
    <row r="38" spans="1:15" x14ac:dyDescent="0.3">
      <c r="A38">
        <v>32</v>
      </c>
      <c r="B38">
        <f t="shared" si="0"/>
        <v>502780.09260272997</v>
      </c>
      <c r="C38" s="7">
        <f>B38*Gross!$L$27</f>
        <v>45156356.0502932</v>
      </c>
      <c r="E38">
        <f t="shared" si="1"/>
        <v>17029.971683724667</v>
      </c>
      <c r="F38" s="22">
        <f>E38*Gross!$L$27</f>
        <v>1529518.5234875919</v>
      </c>
      <c r="H38">
        <f t="shared" si="2"/>
        <v>1842.1139192255778</v>
      </c>
      <c r="I38" s="22">
        <f>H38*Gross!$L$27</f>
        <v>165446.39146537994</v>
      </c>
      <c r="K38">
        <f t="shared" si="3"/>
        <v>497.92928607082405</v>
      </c>
      <c r="L38" s="7">
        <f>K38*Gross!$L$27</f>
        <v>44720.688946307622</v>
      </c>
      <c r="N38">
        <f t="shared" si="4"/>
        <v>221.00482345898004</v>
      </c>
      <c r="O38" s="7">
        <f>N38*Gross!$L$27</f>
        <v>19849.179877595867</v>
      </c>
    </row>
    <row r="39" spans="1:15" x14ac:dyDescent="0.3">
      <c r="A39">
        <v>33</v>
      </c>
      <c r="B39">
        <f t="shared" si="0"/>
        <v>729031.13427395839</v>
      </c>
      <c r="C39" s="7">
        <f>B39*Gross!$L$27</f>
        <v>65476716.272925138</v>
      </c>
      <c r="E39">
        <f t="shared" si="1"/>
        <v>22138.963188842066</v>
      </c>
      <c r="F39" s="22">
        <f>E39*Gross!$L$27</f>
        <v>1988374.0805338693</v>
      </c>
      <c r="H39">
        <f t="shared" si="2"/>
        <v>2228.9578422629488</v>
      </c>
      <c r="I39" s="22">
        <f>H39*Gross!$L$27</f>
        <v>200190.1336731097</v>
      </c>
      <c r="K39">
        <f t="shared" si="3"/>
        <v>577.59797184215586</v>
      </c>
      <c r="L39" s="7">
        <f>K39*Gross!$L$27</f>
        <v>51875.99917771684</v>
      </c>
      <c r="N39">
        <f t="shared" si="4"/>
        <v>249.73545050864743</v>
      </c>
      <c r="O39" s="7">
        <f>N39*Gross!$L$27</f>
        <v>22429.573261683327</v>
      </c>
    </row>
    <row r="40" spans="1:15" x14ac:dyDescent="0.3">
      <c r="A40">
        <v>34</v>
      </c>
      <c r="B40">
        <f t="shared" si="0"/>
        <v>1057095.1446972396</v>
      </c>
      <c r="C40" s="7">
        <f>B40*Gross!$L$27</f>
        <v>94941238.595741451</v>
      </c>
      <c r="E40">
        <f t="shared" si="1"/>
        <v>28780.652145494689</v>
      </c>
      <c r="F40" s="22">
        <f>E40*Gross!$L$27</f>
        <v>2584886.3046940304</v>
      </c>
      <c r="H40">
        <f t="shared" si="2"/>
        <v>2697.0389891381678</v>
      </c>
      <c r="I40" s="22">
        <f>H40*Gross!$L$27</f>
        <v>242230.06174446273</v>
      </c>
      <c r="K40">
        <f t="shared" si="3"/>
        <v>670.0136473369007</v>
      </c>
      <c r="L40" s="7">
        <f>K40*Gross!$L$27</f>
        <v>60176.15904615153</v>
      </c>
      <c r="N40">
        <f t="shared" si="4"/>
        <v>282.20105907477159</v>
      </c>
      <c r="O40" s="7">
        <f>N40*Gross!$L$27</f>
        <v>25345.41778570216</v>
      </c>
    </row>
    <row r="41" spans="1:15" x14ac:dyDescent="0.3">
      <c r="A41">
        <v>35</v>
      </c>
      <c r="B41">
        <f t="shared" si="0"/>
        <v>1532787.9598109974</v>
      </c>
      <c r="C41" s="7">
        <f>B41*Gross!$L$27</f>
        <v>137664795.96382508</v>
      </c>
      <c r="E41">
        <f t="shared" si="1"/>
        <v>37414.847789143096</v>
      </c>
      <c r="F41" s="22">
        <f>E41*Gross!$L$27</f>
        <v>3360352.1961022397</v>
      </c>
      <c r="H41">
        <f t="shared" si="2"/>
        <v>3263.4171768571828</v>
      </c>
      <c r="I41" s="22">
        <f>H41*Gross!$L$27</f>
        <v>293098.37471079989</v>
      </c>
      <c r="K41">
        <f t="shared" si="3"/>
        <v>777.21583091080481</v>
      </c>
      <c r="L41" s="7">
        <f>K41*Gross!$L$27</f>
        <v>69804.344493535769</v>
      </c>
      <c r="N41">
        <f t="shared" si="4"/>
        <v>318.88719675449187</v>
      </c>
      <c r="O41" s="7">
        <f>N41*Gross!$L$27</f>
        <v>28640.32209784344</v>
      </c>
    </row>
    <row r="42" spans="1:15" x14ac:dyDescent="0.3">
      <c r="A42">
        <v>36</v>
      </c>
      <c r="B42">
        <f t="shared" si="0"/>
        <v>2222542.5417259461</v>
      </c>
      <c r="C42" s="7">
        <f>B42*Gross!$L$27</f>
        <v>199613954.14754638</v>
      </c>
      <c r="E42">
        <f t="shared" si="1"/>
        <v>48639.302125886024</v>
      </c>
      <c r="F42" s="22">
        <f>E42*Gross!$L$27</f>
        <v>4368457.8549329117</v>
      </c>
      <c r="H42">
        <f t="shared" si="2"/>
        <v>3948.7347839971912</v>
      </c>
      <c r="I42" s="22">
        <f>H42*Gross!$L$27</f>
        <v>354649.03340006783</v>
      </c>
      <c r="K42">
        <f t="shared" si="3"/>
        <v>901.5703638565335</v>
      </c>
      <c r="L42" s="7">
        <f>K42*Gross!$L$27</f>
        <v>80973.039612501481</v>
      </c>
      <c r="N42">
        <f t="shared" si="4"/>
        <v>360.34253233257579</v>
      </c>
      <c r="O42" s="7">
        <f>N42*Gross!$L$27</f>
        <v>32363.563970563082</v>
      </c>
    </row>
    <row r="43" spans="1:15" x14ac:dyDescent="0.3">
      <c r="A43">
        <v>37</v>
      </c>
      <c r="B43">
        <f t="shared" ref="B43" si="5">B42*(1+$B$4)</f>
        <v>3222686.6855026218</v>
      </c>
      <c r="C43" s="7">
        <f>B43*Gross!$L$27</f>
        <v>289440233.51394224</v>
      </c>
      <c r="E43">
        <f t="shared" ref="E43" si="6">E42*(1+$E$4)</f>
        <v>63231.092763651832</v>
      </c>
      <c r="F43" s="22">
        <f>E43*Gross!$L$27</f>
        <v>5678995.2114127846</v>
      </c>
      <c r="H43">
        <f t="shared" ref="H43" si="7">H42*(1+$H$4)</f>
        <v>4777.9690886366016</v>
      </c>
      <c r="I43" s="22">
        <f>H43*Gross!$L$27</f>
        <v>429125.3304140821</v>
      </c>
      <c r="K43">
        <f t="shared" ref="K43" si="8">K42*(1+$K$4)</f>
        <v>1045.8216220735787</v>
      </c>
      <c r="L43" s="7">
        <f>K43*Gross!$L$27</f>
        <v>93928.725950501714</v>
      </c>
      <c r="N43">
        <f t="shared" ref="N43" si="9">N42*(1+$N$4)</f>
        <v>407.18706153581059</v>
      </c>
      <c r="O43" s="7">
        <f>N43*Gross!$L$27</f>
        <v>36570.827286736276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1" id="{1D0DE53D-006C-4FF4-A595-50E53DB0ECDD}">
            <x14:colorScale>
              <x14:cfvo type="num">
                <xm:f>0</xm:f>
              </x14:cfvo>
              <x14:cfvo type="num">
                <xm:f>Gross!$J$30</xm:f>
              </x14:cfvo>
              <x14:cfvo type="num">
                <xm:f>Gross!$N$30</xm:f>
              </x14:cfvo>
              <x14:color rgb="FFF8696B"/>
              <x14:color rgb="FFFFEB84"/>
              <x14:color rgb="FF63BE7B"/>
            </x14:colorScale>
          </x14:cfRule>
          <xm:sqref>B1:B1048576 E1:E1048576 H1:H1048576 K1:K1048576 N1:N1048576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58</v>
      </c>
    </row>
    <row r="2" spans="1:2" x14ac:dyDescent="0.3">
      <c r="A2" t="s">
        <v>66</v>
      </c>
      <c r="B2" s="1">
        <v>100</v>
      </c>
    </row>
    <row r="3" spans="1:2" x14ac:dyDescent="0.3">
      <c r="A3" t="s">
        <v>65</v>
      </c>
      <c r="B3" s="1">
        <v>50</v>
      </c>
    </row>
    <row r="7" spans="1:2" x14ac:dyDescent="0.3">
      <c r="A7" t="s">
        <v>43</v>
      </c>
      <c r="B7" s="7">
        <f>B2+B3</f>
        <v>150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33203125" bestFit="1" customWidth="1"/>
    <col min="6" max="6" width="10.5546875" style="1" bestFit="1" customWidth="1"/>
  </cols>
  <sheetData>
    <row r="2" spans="1:6" x14ac:dyDescent="0.3">
      <c r="B2" t="s">
        <v>87</v>
      </c>
      <c r="C2" t="s">
        <v>88</v>
      </c>
      <c r="D2" t="s">
        <v>136</v>
      </c>
      <c r="E2" t="s">
        <v>58</v>
      </c>
      <c r="F2" s="1" t="s">
        <v>43</v>
      </c>
    </row>
    <row r="3" spans="1:6" x14ac:dyDescent="0.3">
      <c r="A3" t="s">
        <v>83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84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85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86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43</v>
      </c>
      <c r="F10" s="1">
        <f>SUM(F3:F6)</f>
        <v>3200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58</v>
      </c>
      <c r="C1" t="s">
        <v>69</v>
      </c>
      <c r="D1" t="s">
        <v>70</v>
      </c>
      <c r="E1" t="s">
        <v>67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s="1" t="s">
        <v>43</v>
      </c>
    </row>
    <row r="2" spans="1:11" x14ac:dyDescent="0.3">
      <c r="A2" t="s">
        <v>68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62</v>
      </c>
      <c r="K3" s="1">
        <v>400</v>
      </c>
    </row>
    <row r="4" spans="1:11" x14ac:dyDescent="0.3">
      <c r="A4" t="s">
        <v>80</v>
      </c>
      <c r="K4" s="1">
        <v>200</v>
      </c>
    </row>
    <row r="7" spans="1:11" x14ac:dyDescent="0.3">
      <c r="A7" t="s">
        <v>43</v>
      </c>
      <c r="K7" s="1">
        <f>SUM(K2:K4)</f>
        <v>800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B15" sqref="B15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BC4F-5745-4529-B3F1-3E693D53172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E952-4C2D-4DE3-A03F-73E4307A319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5242-3CD8-47C3-BF5D-8E479735F92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D5F7-7D0A-4613-B246-76BB506BCE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78E2-284B-461B-A0B4-8B151DFE8A4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87AB-96B8-44D6-BC29-FE7F510BB1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62C2F-9031-4F94-A62E-FC21FCE2C66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Key_Assumptions</vt:lpstr>
      <vt:lpstr>Revenue_by_Month</vt:lpstr>
      <vt:lpstr>Expenses_by_Month</vt:lpstr>
      <vt:lpstr>Net Profit_Loss_by_Year</vt:lpstr>
      <vt:lpstr>Use_of_funds</vt:lpstr>
      <vt:lpstr>Sources_of_Funds</vt:lpstr>
      <vt:lpstr>Projected_Profit_Loss</vt:lpstr>
      <vt:lpstr>Projected_Balance_Sheet</vt:lpstr>
      <vt:lpstr>Projected_Cash_Flow_Statement</vt:lpstr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Gaming</vt:lpstr>
      <vt:lpstr>Dance_Studio</vt:lpstr>
      <vt:lpstr>Kitchen</vt:lpstr>
      <vt:lpstr>Liabilities</vt:lpstr>
      <vt:lpstr>Eating Area</vt:lpstr>
      <vt:lpstr>decor</vt:lpstr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2020-07-06T17:04:31Z</dcterms:modified>
</cp:coreProperties>
</file>