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mc:AlternateContent xmlns:mc="http://schemas.openxmlformats.org/markup-compatibility/2006">
    <mc:Choice Requires="x15">
      <x15ac:absPath xmlns:x15ac="http://schemas.microsoft.com/office/spreadsheetml/2010/11/ac" url="https://hearstpm-my.sharepoint.com/personal/thomas_francis_mhk_com/Documents/Documents/Custom Office Templates/dogen/Finances/"/>
    </mc:Choice>
  </mc:AlternateContent>
  <xr:revisionPtr revIDLastSave="5" documentId="8_{7E58EB24-5A99-4005-9D95-CFACF749EBA8}" xr6:coauthVersionLast="44" xr6:coauthVersionMax="44" xr10:uidLastSave="{583CCBD2-3DFE-4893-A4A8-8D5838CDDFA6}"/>
  <bookViews>
    <workbookView xWindow="28680" yWindow="-120" windowWidth="29040" windowHeight="15840" tabRatio="801" xr2:uid="{00000000-000D-0000-FFFF-FFFF00000000}"/>
  </bookViews>
  <sheets>
    <sheet name="Directions" sheetId="1" r:id="rId1"/>
    <sheet name="1-StartingPoint" sheetId="2" r:id="rId2"/>
    <sheet name="2a-PayrollYear1" sheetId="28" r:id="rId3"/>
    <sheet name="2b-PayrollYrs1-3" sheetId="37" r:id="rId4"/>
    <sheet name="3a-SalesForecastYear1" sheetId="17" r:id="rId5"/>
    <sheet name="3b-SalesForecastYrs1-3" sheetId="21" r:id="rId6"/>
    <sheet name="4-AdditionalInputs" sheetId="24" r:id="rId7"/>
    <sheet name="5a-OpExYear1" sheetId="22" r:id="rId8"/>
    <sheet name="5b-OpExYrs1-3" sheetId="7" r:id="rId9"/>
    <sheet name="6a-CashFlowYear1" sheetId="25" r:id="rId10"/>
    <sheet name="6b-CashFlowYrs1-3" sheetId="38" r:id="rId11"/>
    <sheet name="7a-IncomeStatementYear1" sheetId="39" r:id="rId12"/>
    <sheet name="7b-IncomeStatementYrs1-3" sheetId="6" r:id="rId13"/>
    <sheet name="8-BalanceSheet" sheetId="5" r:id="rId14"/>
    <sheet name="BreakevenAnalysis" sheetId="26" r:id="rId15"/>
    <sheet name="FinancialRatios" sheetId="27" r:id="rId16"/>
    <sheet name="DiagnosticTools" sheetId="36" r:id="rId17"/>
    <sheet name="COGS Calculator" sheetId="29" r:id="rId18"/>
    <sheet name="Amortization&amp;Depreciation" sheetId="31" r:id="rId19"/>
    <sheet name="Revision Notes" sheetId="40" r:id="rId20"/>
  </sheets>
  <definedNames>
    <definedName name="AddLoans">'1-StartingPoint'!$D$36</definedName>
    <definedName name="Advertising">'1-StartingPoint'!$C$26</definedName>
    <definedName name="Annual_Interest_Rate" localSheetId="16">#REF!</definedName>
    <definedName name="Annual_Interest_Rate">#REF!</definedName>
    <definedName name="Beg_Bal" localSheetId="16">#REF!</definedName>
    <definedName name="Beg_Bal">#REF!</definedName>
    <definedName name="Buildings">'1-StartingPoint'!$C$10</definedName>
    <definedName name="Category1">'3a-SalesForecastYear1'!$B$9</definedName>
    <definedName name="Category1_Annual_Sales">'3a-SalesForecastYear1'!$O$19</definedName>
    <definedName name="Category1_SalesPrice">'3a-SalesForecastYear1'!#REF!</definedName>
    <definedName name="Category2">'3a-SalesForecastYear1'!$B$10</definedName>
    <definedName name="Category2_Annual_Sales">'3a-SalesForecastYear1'!$O$25</definedName>
    <definedName name="Category2_SalesPrice">'3a-SalesForecastYear1'!#REF!</definedName>
    <definedName name="Category3">'3a-SalesForecastYear1'!$B$11</definedName>
    <definedName name="Category3_Annual_Sales">'3a-SalesForecastYear1'!$O$31</definedName>
    <definedName name="Category3_SalesPrice">'3a-SalesForecastYear1'!#REF!</definedName>
    <definedName name="Category4">'3a-SalesForecastYear1'!$B$12</definedName>
    <definedName name="Category4_Annual_Sales">'3a-SalesForecastYear1'!$O$37</definedName>
    <definedName name="Category4_SalesPrice">'3a-SalesForecastYear1'!#REF!</definedName>
    <definedName name="Category5">'3a-SalesForecastYear1'!$B$13</definedName>
    <definedName name="Category5_Annual_Sales">'3a-SalesForecastYear1'!$O$43</definedName>
    <definedName name="Category5_SalesPrice">'3a-SalesForecastYear1'!#REF!</definedName>
    <definedName name="Category6">'3a-SalesForecastYear1'!$B$14</definedName>
    <definedName name="Category6_Annual_Sales">'3a-SalesForecastYear1'!$O$49</definedName>
    <definedName name="Category6_SalesPrice">'3a-SalesForecastYear1'!#REF!</definedName>
    <definedName name="Catergory6">'3a-SalesForecastYear1'!$B$14</definedName>
    <definedName name="CCDebt">'1-StartingPoint'!$D$39</definedName>
    <definedName name="COGS_Annual_Total">'3a-SalesForecastYear1'!$O$54</definedName>
    <definedName name="CommLoan">'1-StartingPoint'!$D$37</definedName>
    <definedName name="CommMortgage">'1-StartingPoint'!$D$38</definedName>
    <definedName name="ContingencyCash">'1-StartingPoint'!#REF!</definedName>
    <definedName name="Equipment">'1-StartingPoint'!$C$12</definedName>
    <definedName name="Extra_Pay" localSheetId="16">#REF!</definedName>
    <definedName name="Extra_Pay">#REF!</definedName>
    <definedName name="Furniture">'1-StartingPoint'!$C$13</definedName>
    <definedName name="Growth_Rate_Yr2">'3b-SalesForecastYrs1-3'!$C$7</definedName>
    <definedName name="Growth_Rate_Yr3">'3b-SalesForecastYrs1-3'!$C$8</definedName>
    <definedName name="Hours" localSheetId="4">'3a-SalesForecastYear1'!$C$9:$C$14</definedName>
    <definedName name="Info_Entered" localSheetId="16">#REF!</definedName>
    <definedName name="Info_Entered">#REF!</definedName>
    <definedName name="Int" localSheetId="16">#REF!</definedName>
    <definedName name="Int">#REF!</definedName>
    <definedName name="InterestRate_ShortTerm" localSheetId="16">#REF!</definedName>
    <definedName name="InterestRate_ShortTerm">#REF!</definedName>
    <definedName name="Inventory">'1-StartingPoint'!$C$21</definedName>
    <definedName name="Land">'1-StartingPoint'!$C$9</definedName>
    <definedName name="Last_Row" localSheetId="16">IF(DiagnosticTools!Values_Entered,Header_Row+DiagnosticTools!Number_of_Payments,Header_Row)</definedName>
    <definedName name="Last_Row">IF(Values_Entered,Header_Row+Number_of_Payments,Header_Row)</definedName>
    <definedName name="LeaseImprovements">'1-StartingPoint'!$C$11</definedName>
    <definedName name="LegalAcctFees">'1-StartingPoint'!$C$22</definedName>
    <definedName name="Licenses">'1-StartingPoint'!$C$27</definedName>
    <definedName name="Loan_Amount" localSheetId="16">#REF!</definedName>
    <definedName name="Loan_Amount">#REF!</definedName>
    <definedName name="Loan_Term_Years" localSheetId="16">#REF!</definedName>
    <definedName name="Loan_Term_Years">#REF!</definedName>
    <definedName name="LoanAmount_ShortTerm" localSheetId="16">#REF!</definedName>
    <definedName name="LoanAmount_ShortTerm">#REF!</definedName>
    <definedName name="LoanTermYears_ShortTerm" localSheetId="16">#REF!</definedName>
    <definedName name="LoanTermYears_ShortTerm">#REF!</definedName>
    <definedName name="Margin_Annual_Total">'3a-SalesForecastYear1'!$O$55</definedName>
    <definedName name="Misc_Expenses">'5a-OpExYear1'!$O$19</definedName>
    <definedName name="Monthly_Payment_LongTerm" localSheetId="16">#REF!</definedName>
    <definedName name="Monthly_Payment_LongTerm">#REF!</definedName>
    <definedName name="NetIncomeY1">'7b-IncomeStatementYrs1-3'!$C$59</definedName>
    <definedName name="NetIncomeY2">'7b-IncomeStatementYrs1-3'!$E$59</definedName>
    <definedName name="NetIncomeY3">'7b-IncomeStatementYrs1-3'!$G$59</definedName>
    <definedName name="Number_of_Payments" localSheetId="16">MATCH(0.01,End_Bal,-1)+1</definedName>
    <definedName name="Number_of_Payments">MATCH(0.01,End_Bal,-1)+1</definedName>
    <definedName name="OfficeSupplies_Expenses">'5a-OpExYear1'!$O$20</definedName>
    <definedName name="Other_Expenses">'5a-OpExYear1'!$O$21</definedName>
    <definedName name="OtherBankDebt">'1-StartingPoint'!$D$41</definedName>
    <definedName name="OtherFixedAssets">'1-StartingPoint'!$C$15</definedName>
    <definedName name="OtherStartUp">'1-StartingPoint'!$C$28</definedName>
    <definedName name="OutsideInvest">'1-StartingPoint'!$D$35</definedName>
    <definedName name="OwnerEquity">'1-StartingPoint'!$D$34</definedName>
    <definedName name="Pay_Num" localSheetId="16">#REF!</definedName>
    <definedName name="Pay_Num">#REF!</definedName>
    <definedName name="Payments_per_Year" localSheetId="16">#REF!</definedName>
    <definedName name="Payments_per_Year">#REF!</definedName>
    <definedName name="PreOpenWages">'1-StartingPoint'!$C$19</definedName>
    <definedName name="PrepaidInsurance">'1-StartingPoint'!$C$20</definedName>
    <definedName name="PricePerUnit_Annual_Total">'3a-SalesForecastYear1'!#REF!</definedName>
    <definedName name="Princ" localSheetId="16">#REF!</definedName>
    <definedName name="Princ">#REF!</definedName>
    <definedName name="_xlnm.Print_Area" localSheetId="1">'1-StartingPoint'!$B$4:$H$52</definedName>
    <definedName name="_xlnm.Print_Area" localSheetId="2">'2a-PayrollYear1'!$A$4:$R$25</definedName>
    <definedName name="_xlnm.Print_Area" localSheetId="3">'2b-PayrollYrs1-3'!$B$4:$G$26</definedName>
    <definedName name="_xlnm.Print_Area" localSheetId="4">'3a-SalesForecastYear1'!$B$4:$Q$55</definedName>
    <definedName name="_xlnm.Print_Area" localSheetId="5">'3b-SalesForecastYrs1-3'!$A$4:$AF$49</definedName>
    <definedName name="_xlnm.Print_Area" localSheetId="6">'4-AdditionalInputs'!$B$4:$R$44</definedName>
    <definedName name="_xlnm.Print_Area" localSheetId="7">'5a-OpExYear1'!$B$4:$O$38</definedName>
    <definedName name="_xlnm.Print_Area" localSheetId="8">'5b-OpExYrs1-3'!$B$4:$G$36</definedName>
    <definedName name="_xlnm.Print_Area" localSheetId="9">'6a-CashFlowYear1'!$B$4:$O$34</definedName>
    <definedName name="_xlnm.Print_Area" localSheetId="10">'6b-CashFlowYrs1-3'!$A$3:$AB$33</definedName>
    <definedName name="_xlnm.Print_Area" localSheetId="11">'7a-IncomeStatementYear1'!$B$4:$O$60</definedName>
    <definedName name="_xlnm.Print_Area" localSheetId="12">'7b-IncomeStatementYrs1-3'!$B$4:$H$59</definedName>
    <definedName name="_xlnm.Print_Area" localSheetId="13">'8-BalanceSheet'!$C$4:$F$46</definedName>
    <definedName name="_xlnm.Print_Area" localSheetId="18">'Amortization&amp;Depreciation'!$B$4:$O$156</definedName>
    <definedName name="_xlnm.Print_Area" localSheetId="14">BreakevenAnalysis!$B$4:$C$20</definedName>
    <definedName name="_xlnm.Print_Area" localSheetId="17">'COGS Calculator'!$B$4:$C$26</definedName>
    <definedName name="_xlnm.Print_Area" localSheetId="16">DiagnosticTools!$B$4:$D$36</definedName>
    <definedName name="_xlnm.Print_Area" localSheetId="0">Directions!$A$1:$H$40</definedName>
    <definedName name="_xlnm.Print_Area" localSheetId="15">FinancialRatios!$B$4:$G$28</definedName>
    <definedName name="_xlnm.Print_Titles" localSheetId="5">'3b-SalesForecastYrs1-3'!$A:$A</definedName>
    <definedName name="_xlnm.Print_Titles" localSheetId="10">'6b-CashFlowYrs1-3'!$A:$A</definedName>
    <definedName name="Projected_Yr2_COGS">'3b-SalesForecastYrs1-3'!#REF!</definedName>
    <definedName name="RentDeposit">'1-StartingPoint'!$C$23</definedName>
    <definedName name="Sales_Annual_Total">'3a-SalesForecastYear1'!$O$53</definedName>
    <definedName name="SalesForecast_yr1">'3b-SalesForecastYrs1-3'!#REF!</definedName>
    <definedName name="SalesForecast_yr2">'3b-SalesForecastYrs1-3'!#REF!</definedName>
    <definedName name="SalesForecast_yr3">'3b-SalesForecastYrs1-3'!#REF!</definedName>
    <definedName name="Sched_Pay" localSheetId="16">#REF!</definedName>
    <definedName name="Sched_Pay">#REF!</definedName>
    <definedName name="Scheduled_Extra_Payments" localSheetId="16">#REF!</definedName>
    <definedName name="Scheduled_Extra_Payments">#REF!</definedName>
    <definedName name="Scheduled_Monthly_Payment" localSheetId="16">#REF!</definedName>
    <definedName name="Scheduled_Monthly_Payment">#REF!</definedName>
    <definedName name="Supplies">'1-StartingPoint'!$C$25</definedName>
    <definedName name="Total_Amount_Paid" localSheetId="16">#REF!</definedName>
    <definedName name="Total_Amount_Paid">#REF!</definedName>
    <definedName name="Total_Fixed_Assets">'1-StartingPoint'!$C$8:$C$15</definedName>
    <definedName name="Total_Interest_Paid" localSheetId="16">#REF!</definedName>
    <definedName name="Total_Interest_Paid">#REF!</definedName>
    <definedName name="Total_Pay" localSheetId="16">#REF!</definedName>
    <definedName name="Total_Pay">#REF!</definedName>
    <definedName name="Total_Payments_LongTerm" localSheetId="16">#REF!</definedName>
    <definedName name="Total_Payments_LongTerm">#REF!</definedName>
    <definedName name="TotalFixedAssets">'1-StartingPoint'!$C$16</definedName>
    <definedName name="TotalFunding">'1-StartingPoint'!$D$42</definedName>
    <definedName name="TotalOperatingCapital">'1-StartingPoint'!$C$30</definedName>
    <definedName name="TotalRequiredFunds">'1-StartingPoint'!$C$31</definedName>
    <definedName name="Unit1">'3a-SalesForecastYear1'!$C$9</definedName>
    <definedName name="Unit1_Annual">'3a-SalesForecastYear1'!$O$18</definedName>
    <definedName name="Unit1_Annual_Sales">'3a-SalesForecastYear1'!$O$19</definedName>
    <definedName name="Unit2">'3a-SalesForecastYear1'!$C$10</definedName>
    <definedName name="Unit2_Annual">'3a-SalesForecastYear1'!$O$24</definedName>
    <definedName name="Unit2_Annual_Sales">'3a-SalesForecastYear1'!$O$25</definedName>
    <definedName name="Unit3">'3a-SalesForecastYear1'!$C$11</definedName>
    <definedName name="Unit3_Annual">'3a-SalesForecastYear1'!$O$30</definedName>
    <definedName name="Unit3_Annual_Sales">'3a-SalesForecastYear1'!$O$31</definedName>
    <definedName name="Unit4">'3a-SalesForecastYear1'!$C$12</definedName>
    <definedName name="Unit4_Annual">'3a-SalesForecastYear1'!$O$36</definedName>
    <definedName name="Unit5">'3a-SalesForecastYear1'!$C$13</definedName>
    <definedName name="Unit5_Annual">'3a-SalesForecastYear1'!$O$42</definedName>
    <definedName name="Unit6">'3a-SalesForecastYear1'!$C$14</definedName>
    <definedName name="Unit6_Annual">'3a-SalesForecastYear1'!$O$48</definedName>
    <definedName name="Units_Annual_Total">'3a-SalesForecastYear1'!$O$52</definedName>
    <definedName name="UtilityDeposit">'1-StartingPoint'!$C$24</definedName>
    <definedName name="Values_Entered" localSheetId="16">IF(DiagnosticTools!Loan_Amount*Interest_Rate*Loan_Years*Loan_Start&gt;0,1,0)</definedName>
    <definedName name="Values_Entered">IF(Loan_Amount*Interest_Rate*Loan_Years*Loan_Start&gt;0,1,0)</definedName>
    <definedName name="VehicleLoan">'1-StartingPoint'!$D$40</definedName>
    <definedName name="Vehicles">'1-StartingPoint'!$C$14</definedName>
    <definedName name="Working_Capital">'1-StartingPoint'!$C$29</definedName>
    <definedName name="WorkingCapital">'1-StartingPoint'!$C$28</definedName>
    <definedName name="Y1EndingCashBal">'6a-CashFlowYear1'!$N$33</definedName>
    <definedName name="YearlyPayments_ShortTerm" localSheetId="16">#REF!</definedName>
    <definedName name="YearlyPayments_ShortTer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6" i="31" l="1"/>
  <c r="E126" i="31"/>
  <c r="F126" i="31"/>
  <c r="G126" i="31"/>
  <c r="H126" i="31"/>
  <c r="I126" i="31"/>
  <c r="J126" i="31"/>
  <c r="K126" i="31"/>
  <c r="L126" i="31"/>
  <c r="M126" i="31"/>
  <c r="N126" i="31"/>
  <c r="C126" i="31"/>
  <c r="C122" i="31"/>
  <c r="D122" i="31"/>
  <c r="E122" i="31"/>
  <c r="F122" i="31"/>
  <c r="G122" i="31"/>
  <c r="H122" i="31"/>
  <c r="I122" i="31"/>
  <c r="J122" i="31"/>
  <c r="K122" i="31"/>
  <c r="L122" i="31"/>
  <c r="M122" i="31"/>
  <c r="N122" i="31"/>
  <c r="AB27" i="38" l="1"/>
  <c r="B27" i="6"/>
  <c r="B28" i="6"/>
  <c r="B29" i="6"/>
  <c r="B30" i="6"/>
  <c r="B31" i="6"/>
  <c r="B32" i="6"/>
  <c r="B33" i="6"/>
  <c r="B34" i="6"/>
  <c r="B35" i="6"/>
  <c r="B36" i="6"/>
  <c r="B37" i="6"/>
  <c r="B38" i="6"/>
  <c r="B39" i="6"/>
  <c r="B40" i="6"/>
  <c r="B26" i="6"/>
  <c r="B28" i="39"/>
  <c r="B29" i="39"/>
  <c r="B30" i="39"/>
  <c r="B31" i="39"/>
  <c r="B32" i="39"/>
  <c r="B33" i="39"/>
  <c r="B34" i="39"/>
  <c r="B35" i="39"/>
  <c r="B36" i="39"/>
  <c r="B37" i="39"/>
  <c r="B38" i="39"/>
  <c r="B39" i="39"/>
  <c r="B40" i="39"/>
  <c r="B41" i="39"/>
  <c r="B27" i="39"/>
  <c r="B29" i="7"/>
  <c r="B30" i="7"/>
  <c r="B31" i="7"/>
  <c r="B32" i="7"/>
  <c r="B28" i="7"/>
  <c r="B9" i="7"/>
  <c r="B10" i="7"/>
  <c r="B11" i="7"/>
  <c r="B12" i="7"/>
  <c r="B13" i="7"/>
  <c r="B14" i="7"/>
  <c r="B15" i="7"/>
  <c r="B16" i="7"/>
  <c r="B17" i="7"/>
  <c r="B18" i="7"/>
  <c r="B19" i="7"/>
  <c r="B20" i="7"/>
  <c r="B21" i="7"/>
  <c r="B22" i="7"/>
  <c r="B8" i="7"/>
  <c r="B34" i="22"/>
  <c r="B33" i="22"/>
  <c r="B32" i="22"/>
  <c r="B31" i="22"/>
  <c r="B30" i="22"/>
  <c r="B48" i="17"/>
  <c r="B42" i="17"/>
  <c r="B36" i="17"/>
  <c r="B30" i="17"/>
  <c r="B24" i="17"/>
  <c r="B18" i="17"/>
  <c r="C32" i="1"/>
  <c r="C55" i="39"/>
  <c r="D50" i="17"/>
  <c r="E50" i="17"/>
  <c r="F50" i="17"/>
  <c r="G50" i="17"/>
  <c r="H50" i="17"/>
  <c r="H22" i="39" s="1"/>
  <c r="I50" i="17"/>
  <c r="J50" i="17"/>
  <c r="K50" i="17"/>
  <c r="L50" i="17"/>
  <c r="L22" i="39" s="1"/>
  <c r="M50" i="17"/>
  <c r="N50" i="17"/>
  <c r="D49" i="17"/>
  <c r="E49" i="17"/>
  <c r="F49" i="17"/>
  <c r="G49" i="17"/>
  <c r="H49" i="17"/>
  <c r="H51" i="17" s="1"/>
  <c r="I49" i="17"/>
  <c r="J49" i="17"/>
  <c r="K49" i="17"/>
  <c r="L49" i="17"/>
  <c r="M49" i="17"/>
  <c r="M51" i="17" s="1"/>
  <c r="N49" i="17"/>
  <c r="C50" i="17"/>
  <c r="C49" i="17"/>
  <c r="D44" i="17"/>
  <c r="E44" i="17"/>
  <c r="F44" i="17"/>
  <c r="G44" i="17"/>
  <c r="H44" i="17"/>
  <c r="H21" i="39" s="1"/>
  <c r="I44" i="17"/>
  <c r="J44" i="17"/>
  <c r="K44" i="17"/>
  <c r="L44" i="17"/>
  <c r="L21" i="39" s="1"/>
  <c r="M44" i="17"/>
  <c r="N44" i="17"/>
  <c r="D43" i="17"/>
  <c r="D13" i="39" s="1"/>
  <c r="E43" i="17"/>
  <c r="F43" i="17"/>
  <c r="G43" i="17"/>
  <c r="H43" i="17"/>
  <c r="H45" i="17" s="1"/>
  <c r="I43" i="17"/>
  <c r="I45" i="17" s="1"/>
  <c r="J43" i="17"/>
  <c r="K43" i="17"/>
  <c r="L43" i="17"/>
  <c r="L13" i="39" s="1"/>
  <c r="M43" i="17"/>
  <c r="M45" i="17" s="1"/>
  <c r="N43" i="17"/>
  <c r="C44" i="17"/>
  <c r="C43" i="17"/>
  <c r="C13" i="39" s="1"/>
  <c r="D38" i="17"/>
  <c r="D20" i="39" s="1"/>
  <c r="E38" i="17"/>
  <c r="F38" i="17"/>
  <c r="G38" i="17"/>
  <c r="G39" i="17" s="1"/>
  <c r="H38" i="17"/>
  <c r="H20" i="39" s="1"/>
  <c r="I38" i="17"/>
  <c r="J38" i="17"/>
  <c r="K38" i="17"/>
  <c r="L38" i="17"/>
  <c r="L20" i="39" s="1"/>
  <c r="M38" i="17"/>
  <c r="N38" i="17"/>
  <c r="D37" i="17"/>
  <c r="E37" i="17"/>
  <c r="E12" i="39" s="1"/>
  <c r="F37" i="17"/>
  <c r="G37" i="17"/>
  <c r="H37" i="17"/>
  <c r="H12" i="39" s="1"/>
  <c r="I37" i="17"/>
  <c r="J37" i="17"/>
  <c r="K37" i="17"/>
  <c r="L37" i="17"/>
  <c r="L39" i="17" s="1"/>
  <c r="M37" i="17"/>
  <c r="N37" i="17"/>
  <c r="C38" i="17"/>
  <c r="C37" i="17"/>
  <c r="D32" i="17"/>
  <c r="E32" i="17"/>
  <c r="F32" i="17"/>
  <c r="G32" i="17"/>
  <c r="G19" i="39" s="1"/>
  <c r="H32" i="17"/>
  <c r="H19" i="39" s="1"/>
  <c r="I32" i="17"/>
  <c r="J32" i="17"/>
  <c r="K32" i="17"/>
  <c r="K19" i="39" s="1"/>
  <c r="L32" i="17"/>
  <c r="L19" i="39" s="1"/>
  <c r="M32" i="17"/>
  <c r="N32" i="17"/>
  <c r="N31" i="17"/>
  <c r="D31" i="17"/>
  <c r="D11" i="39" s="1"/>
  <c r="E31" i="17"/>
  <c r="F31" i="17"/>
  <c r="G31" i="17"/>
  <c r="H31" i="17"/>
  <c r="H11" i="39" s="1"/>
  <c r="I31" i="17"/>
  <c r="J31" i="17"/>
  <c r="K31" i="17"/>
  <c r="L31" i="17"/>
  <c r="M31" i="17"/>
  <c r="C32" i="17"/>
  <c r="C31" i="17"/>
  <c r="D26" i="17"/>
  <c r="D18" i="39" s="1"/>
  <c r="E26" i="17"/>
  <c r="F26" i="17"/>
  <c r="G26" i="17"/>
  <c r="H26" i="17"/>
  <c r="H18" i="39" s="1"/>
  <c r="I26" i="17"/>
  <c r="J26" i="17"/>
  <c r="K26" i="17"/>
  <c r="L26" i="17"/>
  <c r="L18" i="39" s="1"/>
  <c r="M26" i="17"/>
  <c r="N26" i="17"/>
  <c r="D25" i="17"/>
  <c r="E25" i="17"/>
  <c r="E10" i="39" s="1"/>
  <c r="F25" i="17"/>
  <c r="G25" i="17"/>
  <c r="H25" i="17"/>
  <c r="I25" i="17"/>
  <c r="I27" i="17" s="1"/>
  <c r="J25" i="17"/>
  <c r="K25" i="17"/>
  <c r="L25" i="17"/>
  <c r="M25" i="17"/>
  <c r="N25" i="17"/>
  <c r="C26" i="17"/>
  <c r="C25" i="17"/>
  <c r="D20" i="17"/>
  <c r="D17" i="39" s="1"/>
  <c r="E20" i="17"/>
  <c r="F20" i="17"/>
  <c r="G20" i="17"/>
  <c r="H20" i="17"/>
  <c r="I20" i="17"/>
  <c r="J20" i="17"/>
  <c r="K20" i="17"/>
  <c r="L20" i="17"/>
  <c r="M20" i="17"/>
  <c r="N20" i="17"/>
  <c r="D19" i="17"/>
  <c r="D9" i="39" s="1"/>
  <c r="E19" i="17"/>
  <c r="F19" i="17"/>
  <c r="G19" i="17"/>
  <c r="H19" i="17"/>
  <c r="I19" i="17"/>
  <c r="J19" i="17"/>
  <c r="K19" i="17"/>
  <c r="L19" i="17"/>
  <c r="M19" i="17"/>
  <c r="N19" i="17"/>
  <c r="C20" i="17"/>
  <c r="C19" i="17"/>
  <c r="C53" i="17" s="1"/>
  <c r="B5" i="31"/>
  <c r="B5" i="29"/>
  <c r="B5" i="36"/>
  <c r="B5" i="27"/>
  <c r="B5" i="26"/>
  <c r="C5" i="5"/>
  <c r="B5" i="6"/>
  <c r="B5" i="39"/>
  <c r="B4" i="38"/>
  <c r="B5" i="25"/>
  <c r="B5" i="24"/>
  <c r="B5" i="7"/>
  <c r="B5" i="22"/>
  <c r="B5" i="2"/>
  <c r="C5" i="31"/>
  <c r="C5" i="29"/>
  <c r="C5" i="36"/>
  <c r="C5" i="27"/>
  <c r="C5" i="26"/>
  <c r="D5" i="5"/>
  <c r="C5" i="6"/>
  <c r="C5" i="39"/>
  <c r="C4" i="38"/>
  <c r="C5" i="25"/>
  <c r="C5" i="24"/>
  <c r="C5" i="7"/>
  <c r="C5" i="22"/>
  <c r="C5" i="21"/>
  <c r="C5" i="17"/>
  <c r="C5" i="37"/>
  <c r="C5" i="2"/>
  <c r="B5" i="21"/>
  <c r="B5" i="17"/>
  <c r="B5" i="37"/>
  <c r="C5" i="28"/>
  <c r="B5" i="28"/>
  <c r="A41" i="21"/>
  <c r="B47" i="17"/>
  <c r="B41" i="17"/>
  <c r="B21" i="39" s="1"/>
  <c r="B35" i="17"/>
  <c r="B29" i="17"/>
  <c r="B23" i="17"/>
  <c r="A17" i="21"/>
  <c r="B17" i="17"/>
  <c r="D42" i="21"/>
  <c r="E42" i="21"/>
  <c r="T42" i="21" s="1"/>
  <c r="F42" i="21"/>
  <c r="F43" i="21" s="1"/>
  <c r="G42" i="21"/>
  <c r="G44" i="21" s="1"/>
  <c r="H42" i="21"/>
  <c r="I42" i="21"/>
  <c r="X42" i="21"/>
  <c r="J42" i="21"/>
  <c r="J46" i="21" s="1"/>
  <c r="K42" i="21"/>
  <c r="L42" i="21"/>
  <c r="M42" i="21"/>
  <c r="AB42" i="21" s="1"/>
  <c r="N42" i="21"/>
  <c r="C42" i="21"/>
  <c r="C43" i="21" s="1"/>
  <c r="D36" i="21"/>
  <c r="S36" i="21"/>
  <c r="E36" i="21"/>
  <c r="E38" i="21" s="1"/>
  <c r="F36" i="21"/>
  <c r="F37" i="21" s="1"/>
  <c r="G36" i="21"/>
  <c r="V36" i="21" s="1"/>
  <c r="H36" i="21"/>
  <c r="W36" i="21" s="1"/>
  <c r="I36" i="21"/>
  <c r="I38" i="21" s="1"/>
  <c r="J36" i="21"/>
  <c r="K36" i="21"/>
  <c r="Z36" i="21" s="1"/>
  <c r="L36" i="21"/>
  <c r="AA36" i="21" s="1"/>
  <c r="M36" i="21"/>
  <c r="M38" i="21" s="1"/>
  <c r="N36" i="21"/>
  <c r="N37" i="21" s="1"/>
  <c r="C36" i="21"/>
  <c r="D30" i="21"/>
  <c r="D31" i="21" s="1"/>
  <c r="S30" i="21"/>
  <c r="S31" i="21" s="1"/>
  <c r="E30" i="21"/>
  <c r="T30" i="21" s="1"/>
  <c r="F30" i="21"/>
  <c r="U30" i="21" s="1"/>
  <c r="G30" i="21"/>
  <c r="G32" i="21" s="1"/>
  <c r="H30" i="21"/>
  <c r="I30" i="21"/>
  <c r="X30" i="21" s="1"/>
  <c r="J30" i="21"/>
  <c r="Y30" i="21"/>
  <c r="K30" i="21"/>
  <c r="K32" i="21" s="1"/>
  <c r="L30" i="21"/>
  <c r="L31" i="21" s="1"/>
  <c r="M30" i="21"/>
  <c r="AB30" i="21" s="1"/>
  <c r="N30" i="21"/>
  <c r="AC30" i="21" s="1"/>
  <c r="C30" i="21"/>
  <c r="C31" i="21" s="1"/>
  <c r="D24" i="21"/>
  <c r="S24" i="21"/>
  <c r="E24" i="21"/>
  <c r="E26" i="21" s="1"/>
  <c r="F24" i="21"/>
  <c r="F25" i="21" s="1"/>
  <c r="G24" i="21"/>
  <c r="H24" i="21"/>
  <c r="W24" i="21" s="1"/>
  <c r="I24" i="21"/>
  <c r="J24" i="21"/>
  <c r="K24" i="21"/>
  <c r="Z24" i="21" s="1"/>
  <c r="L24" i="21"/>
  <c r="AA24" i="21" s="1"/>
  <c r="M24" i="21"/>
  <c r="M26" i="21" s="1"/>
  <c r="N24" i="21"/>
  <c r="N25" i="21" s="1"/>
  <c r="C24" i="21"/>
  <c r="D18" i="21"/>
  <c r="D19" i="21" s="1"/>
  <c r="S18" i="21"/>
  <c r="S20" i="21" s="1"/>
  <c r="E18" i="21"/>
  <c r="F18" i="21"/>
  <c r="G18" i="21"/>
  <c r="G20" i="21" s="1"/>
  <c r="H18" i="21"/>
  <c r="H19" i="21" s="1"/>
  <c r="I18" i="21"/>
  <c r="X18" i="21" s="1"/>
  <c r="J18" i="21"/>
  <c r="Y18" i="21"/>
  <c r="K18" i="21"/>
  <c r="L18" i="21"/>
  <c r="L19" i="21" s="1"/>
  <c r="AA18" i="21"/>
  <c r="AA19" i="21" s="1"/>
  <c r="M18" i="21"/>
  <c r="AB18" i="21" s="1"/>
  <c r="N18" i="21"/>
  <c r="AC18" i="21" s="1"/>
  <c r="C18" i="21"/>
  <c r="C19" i="21" s="1"/>
  <c r="D12" i="21"/>
  <c r="S12" i="21" s="1"/>
  <c r="E12" i="21"/>
  <c r="F12" i="21"/>
  <c r="G12" i="21"/>
  <c r="G14" i="21" s="1"/>
  <c r="H12" i="21"/>
  <c r="H14" i="21" s="1"/>
  <c r="I12" i="21"/>
  <c r="J12" i="21"/>
  <c r="K12" i="21"/>
  <c r="K14" i="21" s="1"/>
  <c r="L12" i="21"/>
  <c r="M12" i="21"/>
  <c r="N12" i="21"/>
  <c r="AC12" i="21" s="1"/>
  <c r="C12" i="21"/>
  <c r="C13" i="21" s="1"/>
  <c r="A42" i="21"/>
  <c r="A36" i="21"/>
  <c r="A30" i="21"/>
  <c r="A24" i="21"/>
  <c r="A18" i="21"/>
  <c r="A12" i="21"/>
  <c r="F10" i="17"/>
  <c r="F11" i="17"/>
  <c r="F12" i="17"/>
  <c r="F13" i="17"/>
  <c r="F14" i="17"/>
  <c r="F9" i="17"/>
  <c r="C20" i="24"/>
  <c r="B13" i="39"/>
  <c r="B20" i="6"/>
  <c r="B12" i="6"/>
  <c r="B22" i="39"/>
  <c r="B14" i="39"/>
  <c r="B13" i="6"/>
  <c r="B21" i="6"/>
  <c r="A35" i="21"/>
  <c r="B18" i="6"/>
  <c r="B10" i="6"/>
  <c r="B18" i="39"/>
  <c r="B10" i="39"/>
  <c r="B17" i="6"/>
  <c r="B9" i="6"/>
  <c r="Z12" i="21"/>
  <c r="Y12" i="21"/>
  <c r="V12" i="21"/>
  <c r="U12" i="21"/>
  <c r="R12" i="21"/>
  <c r="O24" i="22"/>
  <c r="C22" i="7" s="1"/>
  <c r="C40" i="6" s="1"/>
  <c r="O23" i="22"/>
  <c r="C21" i="7" s="1"/>
  <c r="O22" i="22"/>
  <c r="O16" i="22"/>
  <c r="B12" i="28"/>
  <c r="C134" i="31"/>
  <c r="C135" i="31" s="1"/>
  <c r="O17" i="25"/>
  <c r="B16" i="38"/>
  <c r="AB16" i="38"/>
  <c r="O16" i="38"/>
  <c r="F39" i="5"/>
  <c r="E39" i="5"/>
  <c r="D39" i="5"/>
  <c r="O27" i="38"/>
  <c r="O26" i="38"/>
  <c r="O28" i="25"/>
  <c r="B27" i="38" s="1"/>
  <c r="O27" i="25"/>
  <c r="B26" i="38" s="1"/>
  <c r="N41" i="39"/>
  <c r="M41" i="39"/>
  <c r="L41" i="39"/>
  <c r="K41" i="39"/>
  <c r="J41" i="39"/>
  <c r="I41" i="39"/>
  <c r="H41" i="39"/>
  <c r="G41" i="39"/>
  <c r="F41" i="39"/>
  <c r="E41" i="39"/>
  <c r="D41" i="39"/>
  <c r="C41" i="39"/>
  <c r="E20" i="24"/>
  <c r="D20" i="24"/>
  <c r="E12" i="24"/>
  <c r="E13" i="24" s="1"/>
  <c r="D12" i="24"/>
  <c r="D13" i="24" s="1"/>
  <c r="C12" i="24"/>
  <c r="C13" i="24" s="1"/>
  <c r="D11" i="5"/>
  <c r="E17" i="5"/>
  <c r="F17" i="5"/>
  <c r="D17" i="5"/>
  <c r="C35" i="22"/>
  <c r="C8" i="25"/>
  <c r="R35" i="24"/>
  <c r="Q35" i="24"/>
  <c r="O35" i="24"/>
  <c r="N16" i="25"/>
  <c r="N35" i="24"/>
  <c r="M16" i="25" s="1"/>
  <c r="M35" i="24"/>
  <c r="L35" i="24"/>
  <c r="K16" i="25"/>
  <c r="K35" i="24"/>
  <c r="J16" i="25" s="1"/>
  <c r="J35" i="24"/>
  <c r="I16" i="25" s="1"/>
  <c r="I35" i="24"/>
  <c r="H16" i="25" s="1"/>
  <c r="H35" i="24"/>
  <c r="G16" i="25" s="1"/>
  <c r="G35" i="24"/>
  <c r="F16" i="25" s="1"/>
  <c r="F35" i="24"/>
  <c r="E16" i="25"/>
  <c r="E35" i="24"/>
  <c r="D16" i="25" s="1"/>
  <c r="C117" i="31"/>
  <c r="C119" i="31" s="1"/>
  <c r="D118" i="31"/>
  <c r="E118" i="31"/>
  <c r="F118" i="31"/>
  <c r="G118" i="31"/>
  <c r="H118" i="31"/>
  <c r="I118" i="31"/>
  <c r="J118" i="31"/>
  <c r="K118" i="31"/>
  <c r="L118" i="31"/>
  <c r="M118" i="31"/>
  <c r="N118" i="31"/>
  <c r="C11" i="39"/>
  <c r="C17" i="39"/>
  <c r="C19" i="39"/>
  <c r="D19" i="39"/>
  <c r="E17" i="39"/>
  <c r="E19" i="39"/>
  <c r="F18" i="39"/>
  <c r="F21" i="17"/>
  <c r="F19" i="39"/>
  <c r="J18" i="39"/>
  <c r="C14" i="7"/>
  <c r="C20" i="7"/>
  <c r="E20" i="7" s="1"/>
  <c r="C10" i="31"/>
  <c r="C11" i="31"/>
  <c r="C9" i="31"/>
  <c r="C30" i="31"/>
  <c r="C31" i="31"/>
  <c r="C29" i="31"/>
  <c r="C50" i="31"/>
  <c r="C51" i="31"/>
  <c r="C49" i="31"/>
  <c r="C70" i="31"/>
  <c r="C71" i="31"/>
  <c r="C69" i="31"/>
  <c r="C90" i="31"/>
  <c r="C91" i="31"/>
  <c r="C89" i="31"/>
  <c r="D42" i="2"/>
  <c r="AB26" i="38"/>
  <c r="AB24" i="38"/>
  <c r="L16" i="25"/>
  <c r="C109" i="31"/>
  <c r="C110" i="31"/>
  <c r="C111" i="31"/>
  <c r="C112" i="31"/>
  <c r="C113" i="31"/>
  <c r="C114" i="31"/>
  <c r="B109" i="31"/>
  <c r="B110" i="31"/>
  <c r="B111" i="31"/>
  <c r="B112" i="31"/>
  <c r="B113" i="31"/>
  <c r="B114" i="31"/>
  <c r="D34" i="24"/>
  <c r="P34" i="24" s="1"/>
  <c r="D33" i="24"/>
  <c r="P33" i="24" s="1"/>
  <c r="F22" i="5" s="1"/>
  <c r="D32" i="24"/>
  <c r="P32" i="24" s="1"/>
  <c r="F21" i="5" s="1"/>
  <c r="D31" i="24"/>
  <c r="P31" i="24" s="1"/>
  <c r="D30" i="24"/>
  <c r="P30" i="24" s="1"/>
  <c r="D29" i="24"/>
  <c r="P29" i="24" s="1"/>
  <c r="D18" i="5" s="1"/>
  <c r="D33" i="39"/>
  <c r="E33" i="39"/>
  <c r="F33" i="39"/>
  <c r="G33" i="39"/>
  <c r="H33" i="39"/>
  <c r="I33" i="39"/>
  <c r="J33" i="39"/>
  <c r="J44" i="39" s="1"/>
  <c r="K33" i="39"/>
  <c r="L33" i="39"/>
  <c r="M33" i="39"/>
  <c r="N33" i="39"/>
  <c r="N44" i="39" s="1"/>
  <c r="C33" i="39"/>
  <c r="C52" i="2"/>
  <c r="C28" i="39"/>
  <c r="D28" i="39"/>
  <c r="O28" i="39" s="1"/>
  <c r="E28" i="39"/>
  <c r="F28" i="39"/>
  <c r="G28" i="39"/>
  <c r="H28" i="39"/>
  <c r="H44" i="39" s="1"/>
  <c r="I28" i="39"/>
  <c r="J28" i="39"/>
  <c r="K28" i="39"/>
  <c r="L28" i="39"/>
  <c r="M28" i="39"/>
  <c r="N28" i="39"/>
  <c r="C29" i="39"/>
  <c r="D29" i="39"/>
  <c r="E29" i="39"/>
  <c r="F29" i="39"/>
  <c r="G29" i="39"/>
  <c r="H29" i="39"/>
  <c r="I29" i="39"/>
  <c r="J29" i="39"/>
  <c r="K29" i="39"/>
  <c r="L29" i="39"/>
  <c r="M29" i="39"/>
  <c r="N29" i="39"/>
  <c r="C30" i="39"/>
  <c r="D30" i="39"/>
  <c r="O30" i="39" s="1"/>
  <c r="E30" i="39"/>
  <c r="F30" i="39"/>
  <c r="G30" i="39"/>
  <c r="H30" i="39"/>
  <c r="I30" i="39"/>
  <c r="J30" i="39"/>
  <c r="K30" i="39"/>
  <c r="L30" i="39"/>
  <c r="M30" i="39"/>
  <c r="N30" i="39"/>
  <c r="C31" i="39"/>
  <c r="D31" i="39"/>
  <c r="O31" i="39" s="1"/>
  <c r="E31" i="39"/>
  <c r="F31" i="39"/>
  <c r="G31" i="39"/>
  <c r="H31" i="39"/>
  <c r="I31" i="39"/>
  <c r="J31" i="39"/>
  <c r="K31" i="39"/>
  <c r="L31" i="39"/>
  <c r="M31" i="39"/>
  <c r="N31" i="39"/>
  <c r="C32" i="39"/>
  <c r="D32" i="39"/>
  <c r="E32" i="39"/>
  <c r="F32" i="39"/>
  <c r="G32" i="39"/>
  <c r="H32" i="39"/>
  <c r="I32" i="39"/>
  <c r="J32" i="39"/>
  <c r="K32" i="39"/>
  <c r="L32" i="39"/>
  <c r="M32" i="39"/>
  <c r="N32" i="39"/>
  <c r="C34" i="39"/>
  <c r="D34" i="39"/>
  <c r="O34" i="39" s="1"/>
  <c r="E34" i="39"/>
  <c r="F34" i="39"/>
  <c r="G34" i="39"/>
  <c r="H34" i="39"/>
  <c r="I34" i="39"/>
  <c r="J34" i="39"/>
  <c r="K34" i="39"/>
  <c r="L34" i="39"/>
  <c r="M34" i="39"/>
  <c r="N34" i="39"/>
  <c r="C35" i="39"/>
  <c r="D35" i="39"/>
  <c r="E35" i="39"/>
  <c r="F35" i="39"/>
  <c r="G35" i="39"/>
  <c r="H35" i="39"/>
  <c r="I35" i="39"/>
  <c r="J35" i="39"/>
  <c r="K35" i="39"/>
  <c r="L35" i="39"/>
  <c r="M35" i="39"/>
  <c r="N35" i="39"/>
  <c r="C36" i="39"/>
  <c r="D36" i="39"/>
  <c r="E36" i="39"/>
  <c r="F36" i="39"/>
  <c r="G36" i="39"/>
  <c r="H36" i="39"/>
  <c r="I36" i="39"/>
  <c r="J36" i="39"/>
  <c r="K36" i="39"/>
  <c r="L36" i="39"/>
  <c r="M36" i="39"/>
  <c r="N36" i="39"/>
  <c r="C37" i="39"/>
  <c r="D37" i="39"/>
  <c r="O37" i="39" s="1"/>
  <c r="E37" i="39"/>
  <c r="F37" i="39"/>
  <c r="G37" i="39"/>
  <c r="H37" i="39"/>
  <c r="I37" i="39"/>
  <c r="J37" i="39"/>
  <c r="K37" i="39"/>
  <c r="L37" i="39"/>
  <c r="M37" i="39"/>
  <c r="N37" i="39"/>
  <c r="C38" i="39"/>
  <c r="D38" i="39"/>
  <c r="O38" i="39" s="1"/>
  <c r="E38" i="39"/>
  <c r="F38" i="39"/>
  <c r="G38" i="39"/>
  <c r="H38" i="39"/>
  <c r="I38" i="39"/>
  <c r="J38" i="39"/>
  <c r="K38" i="39"/>
  <c r="L38" i="39"/>
  <c r="M38" i="39"/>
  <c r="N38" i="39"/>
  <c r="C39" i="39"/>
  <c r="D39" i="39"/>
  <c r="E39" i="39"/>
  <c r="F39" i="39"/>
  <c r="G39" i="39"/>
  <c r="H39" i="39"/>
  <c r="I39" i="39"/>
  <c r="J39" i="39"/>
  <c r="K39" i="39"/>
  <c r="L39" i="39"/>
  <c r="M39" i="39"/>
  <c r="N39" i="39"/>
  <c r="C40" i="39"/>
  <c r="D40" i="39"/>
  <c r="O40" i="39" s="1"/>
  <c r="E40" i="39"/>
  <c r="F40" i="39"/>
  <c r="G40" i="39"/>
  <c r="H40" i="39"/>
  <c r="I40" i="39"/>
  <c r="J40" i="39"/>
  <c r="K40" i="39"/>
  <c r="L40" i="39"/>
  <c r="M40" i="39"/>
  <c r="N40" i="39"/>
  <c r="D27" i="39"/>
  <c r="E27" i="39"/>
  <c r="E44" i="39" s="1"/>
  <c r="F27" i="39"/>
  <c r="G27" i="39"/>
  <c r="H27" i="39"/>
  <c r="I27" i="39"/>
  <c r="I44" i="39" s="1"/>
  <c r="J27" i="39"/>
  <c r="K27" i="39"/>
  <c r="L27" i="39"/>
  <c r="M27" i="39"/>
  <c r="M44" i="39" s="1"/>
  <c r="N27" i="39"/>
  <c r="C27" i="39"/>
  <c r="O7" i="39"/>
  <c r="O24" i="38"/>
  <c r="E22" i="39"/>
  <c r="F22" i="39"/>
  <c r="I22" i="39"/>
  <c r="J22" i="39"/>
  <c r="M22" i="39"/>
  <c r="N22" i="39"/>
  <c r="F14" i="39"/>
  <c r="I14" i="39"/>
  <c r="K14" i="39"/>
  <c r="M14" i="39"/>
  <c r="N14" i="39"/>
  <c r="C22" i="39"/>
  <c r="E21" i="39"/>
  <c r="F21" i="39"/>
  <c r="I21" i="39"/>
  <c r="J21" i="39"/>
  <c r="M21" i="39"/>
  <c r="N21" i="39"/>
  <c r="C21" i="39"/>
  <c r="F45" i="17"/>
  <c r="G13" i="39"/>
  <c r="M13" i="39"/>
  <c r="N13" i="39"/>
  <c r="E20" i="39"/>
  <c r="F20" i="39"/>
  <c r="I20" i="39"/>
  <c r="J20" i="39"/>
  <c r="M20" i="39"/>
  <c r="N20" i="39"/>
  <c r="G12" i="39"/>
  <c r="I12" i="39"/>
  <c r="K12" i="39"/>
  <c r="M12" i="39"/>
  <c r="N39" i="17"/>
  <c r="I19" i="39"/>
  <c r="J19" i="39"/>
  <c r="M19" i="39"/>
  <c r="N19" i="39"/>
  <c r="I33" i="17"/>
  <c r="M33" i="17"/>
  <c r="E18" i="39"/>
  <c r="I18" i="39"/>
  <c r="M18" i="39"/>
  <c r="F10" i="39"/>
  <c r="J10" i="39"/>
  <c r="M10" i="39"/>
  <c r="N10" i="39"/>
  <c r="L17" i="39"/>
  <c r="L23" i="39" s="1"/>
  <c r="N17" i="39"/>
  <c r="F9" i="39"/>
  <c r="G9" i="39"/>
  <c r="I9" i="39"/>
  <c r="J9" i="39"/>
  <c r="K9" i="39"/>
  <c r="M9" i="39"/>
  <c r="G8" i="37"/>
  <c r="E8" i="37"/>
  <c r="G14" i="39"/>
  <c r="J12" i="39"/>
  <c r="K10" i="39"/>
  <c r="G10" i="39"/>
  <c r="N51" i="17"/>
  <c r="F51" i="17"/>
  <c r="C15" i="36"/>
  <c r="D15" i="36" s="1"/>
  <c r="C14" i="36"/>
  <c r="D14" i="36" s="1"/>
  <c r="C13" i="36"/>
  <c r="D13" i="36" s="1"/>
  <c r="C12" i="36"/>
  <c r="D12" i="36" s="1"/>
  <c r="O18" i="17"/>
  <c r="B12" i="21" s="1"/>
  <c r="O24" i="17"/>
  <c r="B18" i="21"/>
  <c r="O30" i="17"/>
  <c r="B24" i="21" s="1"/>
  <c r="O36" i="17"/>
  <c r="B30" i="21"/>
  <c r="O42" i="17"/>
  <c r="B36" i="21" s="1"/>
  <c r="O48" i="17"/>
  <c r="B42" i="21" s="1"/>
  <c r="O10" i="22"/>
  <c r="C8" i="7" s="1"/>
  <c r="O11" i="22"/>
  <c r="C9" i="7" s="1"/>
  <c r="O12" i="22"/>
  <c r="C10" i="7" s="1"/>
  <c r="O13" i="22"/>
  <c r="C11" i="7"/>
  <c r="O14" i="22"/>
  <c r="C12" i="7" s="1"/>
  <c r="O15" i="22"/>
  <c r="C13" i="7"/>
  <c r="O17" i="22"/>
  <c r="C15" i="7" s="1"/>
  <c r="E15" i="7" s="1"/>
  <c r="G15" i="7" s="1"/>
  <c r="O18" i="22"/>
  <c r="C16" i="7" s="1"/>
  <c r="O19" i="22"/>
  <c r="C17" i="7" s="1"/>
  <c r="O20" i="22"/>
  <c r="C18" i="7" s="1"/>
  <c r="O21" i="22"/>
  <c r="C19" i="7" s="1"/>
  <c r="C37" i="6" s="1"/>
  <c r="F7" i="5"/>
  <c r="E7" i="5"/>
  <c r="D7" i="5"/>
  <c r="G7" i="6"/>
  <c r="E7" i="6"/>
  <c r="C7" i="6"/>
  <c r="G7" i="7"/>
  <c r="E7" i="7"/>
  <c r="C7" i="7"/>
  <c r="R14" i="28"/>
  <c r="C24" i="29"/>
  <c r="C26" i="29"/>
  <c r="C16" i="29"/>
  <c r="C12" i="28"/>
  <c r="E8" i="28"/>
  <c r="E9" i="28"/>
  <c r="E10" i="28"/>
  <c r="F10" i="28"/>
  <c r="G10" i="28" s="1"/>
  <c r="H10" i="28" s="1"/>
  <c r="I10" i="28" s="1"/>
  <c r="E11" i="28"/>
  <c r="F11" i="28"/>
  <c r="G11" i="28"/>
  <c r="H11" i="28" s="1"/>
  <c r="I11" i="28" s="1"/>
  <c r="D12" i="28"/>
  <c r="C14" i="29"/>
  <c r="C16" i="2"/>
  <c r="C30" i="2"/>
  <c r="C132" i="31" s="1"/>
  <c r="C133" i="31" s="1"/>
  <c r="D12" i="5" s="1"/>
  <c r="E12" i="5" s="1"/>
  <c r="F12" i="5" s="1"/>
  <c r="G38" i="2"/>
  <c r="G39" i="2"/>
  <c r="G40" i="2"/>
  <c r="G41" i="2"/>
  <c r="G37" i="2"/>
  <c r="C52" i="17"/>
  <c r="O25" i="25"/>
  <c r="C23" i="28"/>
  <c r="D52" i="17"/>
  <c r="E52" i="17"/>
  <c r="F52" i="17"/>
  <c r="G52" i="17"/>
  <c r="H52" i="17"/>
  <c r="I52" i="17"/>
  <c r="J52" i="17"/>
  <c r="K52" i="17"/>
  <c r="L52" i="17"/>
  <c r="M52" i="17"/>
  <c r="N52" i="17"/>
  <c r="C25" i="22"/>
  <c r="C20" i="25" s="1"/>
  <c r="D25" i="22"/>
  <c r="E25" i="22"/>
  <c r="E20" i="25"/>
  <c r="F25" i="22"/>
  <c r="F20" i="25" s="1"/>
  <c r="G25" i="22"/>
  <c r="G20" i="25"/>
  <c r="H25" i="22"/>
  <c r="H20" i="25" s="1"/>
  <c r="I25" i="22"/>
  <c r="I20" i="25" s="1"/>
  <c r="J25" i="22"/>
  <c r="J20" i="25" s="1"/>
  <c r="K25" i="22"/>
  <c r="K20" i="25"/>
  <c r="L25" i="22"/>
  <c r="L20" i="25" s="1"/>
  <c r="M25" i="22"/>
  <c r="M20" i="25"/>
  <c r="N25" i="22"/>
  <c r="N20" i="25" s="1"/>
  <c r="E33" i="17"/>
  <c r="I51" i="17"/>
  <c r="D43" i="31"/>
  <c r="F39" i="31"/>
  <c r="K103" i="31"/>
  <c r="G103" i="31"/>
  <c r="F103" i="31"/>
  <c r="L99" i="31"/>
  <c r="H99" i="31"/>
  <c r="G99" i="31"/>
  <c r="N104" i="31"/>
  <c r="J104" i="31"/>
  <c r="H104" i="31"/>
  <c r="C104" i="31"/>
  <c r="K100" i="31"/>
  <c r="J100" i="31"/>
  <c r="D100" i="31"/>
  <c r="K13" i="39"/>
  <c r="I13" i="39"/>
  <c r="F39" i="17"/>
  <c r="K33" i="17"/>
  <c r="F17" i="39"/>
  <c r="H64" i="31"/>
  <c r="G64" i="31"/>
  <c r="N63" i="31"/>
  <c r="D59" i="31"/>
  <c r="K59" i="31"/>
  <c r="J39" i="17"/>
  <c r="L15" i="38"/>
  <c r="N27" i="17"/>
  <c r="M27" i="17"/>
  <c r="C24" i="31"/>
  <c r="G23" i="31"/>
  <c r="E23" i="31"/>
  <c r="G20" i="31"/>
  <c r="K19" i="31"/>
  <c r="G19" i="31"/>
  <c r="J24" i="31"/>
  <c r="N23" i="31"/>
  <c r="L23" i="31"/>
  <c r="L20" i="31"/>
  <c r="D20" i="31"/>
  <c r="N19" i="31"/>
  <c r="D19" i="31"/>
  <c r="M16" i="31"/>
  <c r="I16" i="31"/>
  <c r="J15" i="31"/>
  <c r="C15" i="31"/>
  <c r="C50" i="39" s="1"/>
  <c r="N16" i="31"/>
  <c r="M15" i="31"/>
  <c r="M30" i="22" s="1"/>
  <c r="E15" i="31"/>
  <c r="E30" i="22" s="1"/>
  <c r="C16" i="31"/>
  <c r="C17" i="31" s="1"/>
  <c r="M21" i="17"/>
  <c r="E15" i="28"/>
  <c r="C44" i="39"/>
  <c r="G44" i="39"/>
  <c r="K15" i="38"/>
  <c r="F23" i="5"/>
  <c r="I35" i="31"/>
  <c r="E22" i="7"/>
  <c r="E40" i="6" s="1"/>
  <c r="J95" i="31"/>
  <c r="J54" i="39" s="1"/>
  <c r="E95" i="31"/>
  <c r="D95" i="31"/>
  <c r="J53" i="17"/>
  <c r="J21" i="17"/>
  <c r="E21" i="17"/>
  <c r="P15" i="38"/>
  <c r="M54" i="17"/>
  <c r="E11" i="39"/>
  <c r="D33" i="17"/>
  <c r="F33" i="17"/>
  <c r="F53" i="17"/>
  <c r="E27" i="17"/>
  <c r="I10" i="39"/>
  <c r="M53" i="17"/>
  <c r="I53" i="17"/>
  <c r="D21" i="17"/>
  <c r="E9" i="39"/>
  <c r="N12" i="39"/>
  <c r="H33" i="17"/>
  <c r="M39" i="17"/>
  <c r="I39" i="17"/>
  <c r="E39" i="17"/>
  <c r="E53" i="17"/>
  <c r="N18" i="39"/>
  <c r="M11" i="39"/>
  <c r="I11" i="39"/>
  <c r="J27" i="17"/>
  <c r="F27" i="17"/>
  <c r="C18" i="39"/>
  <c r="F12" i="39"/>
  <c r="C20" i="39"/>
  <c r="F11" i="39"/>
  <c r="M17" i="39"/>
  <c r="F15" i="38"/>
  <c r="I15" i="38"/>
  <c r="C38" i="6"/>
  <c r="E96" i="31"/>
  <c r="J96" i="31"/>
  <c r="L95" i="31"/>
  <c r="L96" i="31"/>
  <c r="M75" i="31"/>
  <c r="M33" i="22" s="1"/>
  <c r="K75" i="31"/>
  <c r="H13" i="39"/>
  <c r="E19" i="28"/>
  <c r="F19" i="28" s="1"/>
  <c r="F9" i="28"/>
  <c r="G9" i="28" s="1"/>
  <c r="E17" i="7"/>
  <c r="C35" i="6"/>
  <c r="J11" i="28"/>
  <c r="K11" i="28" s="1"/>
  <c r="L11" i="28" s="1"/>
  <c r="M11" i="28" s="1"/>
  <c r="N11" i="28" s="1"/>
  <c r="O11" i="28" s="1"/>
  <c r="P11" i="28" s="1"/>
  <c r="Q11" i="28" s="1"/>
  <c r="E13" i="7"/>
  <c r="G13" i="7" s="1"/>
  <c r="G31" i="6" s="1"/>
  <c r="C31" i="6"/>
  <c r="F13" i="39"/>
  <c r="N9" i="39"/>
  <c r="N21" i="17"/>
  <c r="N33" i="17"/>
  <c r="J11" i="39"/>
  <c r="J33" i="17"/>
  <c r="I54" i="17"/>
  <c r="I55" i="17" s="1"/>
  <c r="I17" i="39"/>
  <c r="I23" i="39" s="1"/>
  <c r="I21" i="17"/>
  <c r="L11" i="39"/>
  <c r="L33" i="17"/>
  <c r="N45" i="17"/>
  <c r="J51" i="17"/>
  <c r="J14" i="39"/>
  <c r="E19" i="7"/>
  <c r="E37" i="6" s="1"/>
  <c r="E12" i="7"/>
  <c r="C30" i="6"/>
  <c r="E8" i="7"/>
  <c r="G8" i="7" s="1"/>
  <c r="G26" i="6" s="1"/>
  <c r="C26" i="6"/>
  <c r="J45" i="17"/>
  <c r="J13" i="39"/>
  <c r="D21" i="39"/>
  <c r="O39" i="39"/>
  <c r="J54" i="17"/>
  <c r="J18" i="25" s="1"/>
  <c r="H54" i="17"/>
  <c r="M56" i="31"/>
  <c r="N54" i="17"/>
  <c r="L54" i="17"/>
  <c r="G56" i="31"/>
  <c r="M55" i="31"/>
  <c r="M32" i="22" s="1"/>
  <c r="J17" i="39"/>
  <c r="H17" i="39"/>
  <c r="H23" i="39" s="1"/>
  <c r="E54" i="17"/>
  <c r="E18" i="25" s="1"/>
  <c r="F54" i="17"/>
  <c r="C54" i="17"/>
  <c r="C18" i="25"/>
  <c r="D54" i="17"/>
  <c r="J34" i="22"/>
  <c r="M52" i="39"/>
  <c r="E50" i="39"/>
  <c r="M50" i="39"/>
  <c r="G22" i="7"/>
  <c r="G40" i="6" s="1"/>
  <c r="I10" i="25"/>
  <c r="I56" i="39"/>
  <c r="I36" i="22" s="1"/>
  <c r="F56" i="39"/>
  <c r="F36" i="22" s="1"/>
  <c r="E10" i="25"/>
  <c r="F10" i="25"/>
  <c r="J10" i="25"/>
  <c r="C8" i="36"/>
  <c r="D8" i="36" s="1"/>
  <c r="C30" i="22"/>
  <c r="E26" i="6"/>
  <c r="E31" i="6"/>
  <c r="G17" i="7"/>
  <c r="G35" i="6" s="1"/>
  <c r="E35" i="6"/>
  <c r="H9" i="28"/>
  <c r="I9" i="28" s="1"/>
  <c r="J9" i="28" s="1"/>
  <c r="K9" i="28" s="1"/>
  <c r="L9" i="28" s="1"/>
  <c r="M9" i="28" s="1"/>
  <c r="N9" i="28" s="1"/>
  <c r="O9" i="28" s="1"/>
  <c r="P9" i="28" s="1"/>
  <c r="J55" i="17"/>
  <c r="C55" i="17"/>
  <c r="G19" i="7"/>
  <c r="G37" i="6" s="1"/>
  <c r="G19" i="28"/>
  <c r="H19" i="28" s="1"/>
  <c r="I19" i="28" s="1"/>
  <c r="J19" i="28" s="1"/>
  <c r="K19" i="28" s="1"/>
  <c r="L19" i="28" s="1"/>
  <c r="M19" i="28" s="1"/>
  <c r="N19" i="28" s="1"/>
  <c r="O19" i="28" s="1"/>
  <c r="P19" i="28" s="1"/>
  <c r="C27" i="27"/>
  <c r="B24" i="38" l="1"/>
  <c r="D41" i="5"/>
  <c r="E41" i="5" s="1"/>
  <c r="F41" i="5" s="1"/>
  <c r="E11" i="7"/>
  <c r="C29" i="6"/>
  <c r="O35" i="39"/>
  <c r="M10" i="25"/>
  <c r="M56" i="39"/>
  <c r="M36" i="22" s="1"/>
  <c r="C33" i="6"/>
  <c r="D34" i="22"/>
  <c r="D54" i="39"/>
  <c r="E30" i="6"/>
  <c r="G12" i="7"/>
  <c r="G30" i="6" s="1"/>
  <c r="F15" i="39"/>
  <c r="F44" i="39"/>
  <c r="O33" i="39"/>
  <c r="L34" i="22"/>
  <c r="L54" i="39"/>
  <c r="E14" i="7"/>
  <c r="C32" i="6"/>
  <c r="E33" i="6"/>
  <c r="J30" i="22"/>
  <c r="J50" i="39"/>
  <c r="J103" i="31"/>
  <c r="D103" i="31"/>
  <c r="K99" i="31"/>
  <c r="F99" i="31"/>
  <c r="L104" i="31"/>
  <c r="G104" i="31"/>
  <c r="N100" i="31"/>
  <c r="H100" i="31"/>
  <c r="C100" i="31"/>
  <c r="H95" i="31"/>
  <c r="H34" i="22" s="1"/>
  <c r="H96" i="31"/>
  <c r="M95" i="31"/>
  <c r="N96" i="31"/>
  <c r="H103" i="31"/>
  <c r="F95" i="31"/>
  <c r="D96" i="31"/>
  <c r="I96" i="31"/>
  <c r="N95" i="31"/>
  <c r="N34" i="22" s="1"/>
  <c r="N103" i="31"/>
  <c r="C103" i="31"/>
  <c r="J99" i="31"/>
  <c r="D99" i="31"/>
  <c r="K104" i="31"/>
  <c r="F104" i="31"/>
  <c r="L100" i="31"/>
  <c r="G100" i="31"/>
  <c r="C92" i="31"/>
  <c r="K79" i="31"/>
  <c r="L80" i="31"/>
  <c r="D44" i="31"/>
  <c r="N35" i="31"/>
  <c r="K35" i="31"/>
  <c r="K51" i="39" s="1"/>
  <c r="K24" i="31"/>
  <c r="M23" i="31"/>
  <c r="C23" i="31"/>
  <c r="C20" i="31"/>
  <c r="E19" i="31"/>
  <c r="H24" i="31"/>
  <c r="H23" i="31"/>
  <c r="J20" i="31"/>
  <c r="L19" i="31"/>
  <c r="G16" i="31"/>
  <c r="O16" i="31" s="1"/>
  <c r="H15" i="31"/>
  <c r="J16" i="31"/>
  <c r="K15" i="31"/>
  <c r="K50" i="39" s="1"/>
  <c r="C19" i="31"/>
  <c r="H20" i="31"/>
  <c r="E16" i="31"/>
  <c r="D15" i="31"/>
  <c r="H16" i="31"/>
  <c r="C12" i="31"/>
  <c r="I24" i="31"/>
  <c r="K23" i="31"/>
  <c r="X23" i="38" s="1"/>
  <c r="K20" i="31"/>
  <c r="M19" i="31"/>
  <c r="D24" i="31"/>
  <c r="F23" i="31"/>
  <c r="H19" i="31"/>
  <c r="I15" i="31"/>
  <c r="M53" i="39"/>
  <c r="M96" i="31"/>
  <c r="F96" i="31"/>
  <c r="I95" i="31"/>
  <c r="F16" i="31"/>
  <c r="L15" i="31"/>
  <c r="F19" i="31"/>
  <c r="D23" i="31"/>
  <c r="L24" i="31"/>
  <c r="I20" i="31"/>
  <c r="G24" i="31"/>
  <c r="F100" i="31"/>
  <c r="D104" i="31"/>
  <c r="C99" i="31"/>
  <c r="N99" i="31"/>
  <c r="L103" i="31"/>
  <c r="C34" i="6"/>
  <c r="E16" i="7"/>
  <c r="X15" i="38"/>
  <c r="R15" i="38"/>
  <c r="N23" i="39"/>
  <c r="M23" i="39"/>
  <c r="M15" i="39"/>
  <c r="M24" i="39" s="1"/>
  <c r="C20" i="21"/>
  <c r="C21" i="21" s="1"/>
  <c r="J23" i="39"/>
  <c r="C31" i="2"/>
  <c r="D43" i="2" s="1"/>
  <c r="E43" i="2" s="1"/>
  <c r="U24" i="21"/>
  <c r="U26" i="21" s="1"/>
  <c r="AA30" i="21"/>
  <c r="AA31" i="21" s="1"/>
  <c r="U36" i="21"/>
  <c r="U37" i="21" s="1"/>
  <c r="D32" i="21"/>
  <c r="D33" i="21" s="1"/>
  <c r="G42" i="2"/>
  <c r="I84" i="31"/>
  <c r="G39" i="31"/>
  <c r="F23" i="39"/>
  <c r="F24" i="39" s="1"/>
  <c r="E23" i="39"/>
  <c r="E11" i="5"/>
  <c r="W18" i="21"/>
  <c r="W19" i="21" s="1"/>
  <c r="AC24" i="21"/>
  <c r="AC25" i="21" s="1"/>
  <c r="AC36" i="21"/>
  <c r="AC37" i="21" s="1"/>
  <c r="F38" i="21"/>
  <c r="F39" i="21" s="1"/>
  <c r="C37" i="2"/>
  <c r="C38" i="2"/>
  <c r="C35" i="2"/>
  <c r="C39" i="2"/>
  <c r="C34" i="2"/>
  <c r="E22" i="5"/>
  <c r="D22" i="5"/>
  <c r="S15" i="38"/>
  <c r="T15" i="38"/>
  <c r="AA15" i="38"/>
  <c r="Z15" i="38"/>
  <c r="Y15" i="38"/>
  <c r="V15" i="38"/>
  <c r="U15" i="38"/>
  <c r="Q15" i="38"/>
  <c r="W15" i="38"/>
  <c r="D20" i="5"/>
  <c r="F20" i="5"/>
  <c r="E20" i="5"/>
  <c r="D117" i="31"/>
  <c r="D119" i="31" s="1"/>
  <c r="D48" i="39" s="1"/>
  <c r="C28" i="22"/>
  <c r="C48" i="39"/>
  <c r="N51" i="39"/>
  <c r="N31" i="22"/>
  <c r="H30" i="22"/>
  <c r="H50" i="39"/>
  <c r="J64" i="31"/>
  <c r="N60" i="31"/>
  <c r="F60" i="31"/>
  <c r="C64" i="31"/>
  <c r="K63" i="31"/>
  <c r="I59" i="31"/>
  <c r="J63" i="31"/>
  <c r="N59" i="31"/>
  <c r="F59" i="31"/>
  <c r="E64" i="31"/>
  <c r="M63" i="31"/>
  <c r="G59" i="31"/>
  <c r="N64" i="31"/>
  <c r="D64" i="31"/>
  <c r="D60" i="31"/>
  <c r="G60" i="31"/>
  <c r="M59" i="31"/>
  <c r="H63" i="31"/>
  <c r="U23" i="38" s="1"/>
  <c r="J59" i="31"/>
  <c r="I64" i="31"/>
  <c r="G63" i="31"/>
  <c r="J55" i="31"/>
  <c r="J24" i="25" s="1"/>
  <c r="E55" i="31"/>
  <c r="D56" i="31"/>
  <c r="C55" i="31"/>
  <c r="C52" i="31"/>
  <c r="L64" i="31"/>
  <c r="L60" i="31"/>
  <c r="K64" i="31"/>
  <c r="C60" i="31"/>
  <c r="E59" i="31"/>
  <c r="F63" i="31"/>
  <c r="H59" i="31"/>
  <c r="M60" i="31"/>
  <c r="C63" i="31"/>
  <c r="I55" i="31"/>
  <c r="G55" i="31"/>
  <c r="D55" i="31"/>
  <c r="E21" i="7"/>
  <c r="C39" i="6"/>
  <c r="H31" i="21"/>
  <c r="W30" i="21"/>
  <c r="W32" i="21" s="1"/>
  <c r="B9" i="39"/>
  <c r="B16" i="6"/>
  <c r="B8" i="6"/>
  <c r="B17" i="39"/>
  <c r="A29" i="21"/>
  <c r="B20" i="39"/>
  <c r="B11" i="6"/>
  <c r="B19" i="6"/>
  <c r="C56" i="39"/>
  <c r="C36" i="22" s="1"/>
  <c r="C10" i="25"/>
  <c r="C12" i="25" s="1"/>
  <c r="H9" i="39"/>
  <c r="H53" i="17"/>
  <c r="H10" i="25" s="1"/>
  <c r="H21" i="17"/>
  <c r="K17" i="39"/>
  <c r="K54" i="17"/>
  <c r="C10" i="39"/>
  <c r="C27" i="17"/>
  <c r="O25" i="17"/>
  <c r="H10" i="39"/>
  <c r="H27" i="17"/>
  <c r="K18" i="39"/>
  <c r="K27" i="17"/>
  <c r="C33" i="17"/>
  <c r="O31" i="17"/>
  <c r="K53" i="17"/>
  <c r="K11" i="39"/>
  <c r="N53" i="17"/>
  <c r="N11" i="39"/>
  <c r="N15" i="39" s="1"/>
  <c r="N24" i="39" s="1"/>
  <c r="K20" i="39"/>
  <c r="K39" i="17"/>
  <c r="C51" i="17"/>
  <c r="O49" i="17"/>
  <c r="C14" i="39"/>
  <c r="K22" i="39"/>
  <c r="K51" i="17"/>
  <c r="R11" i="28"/>
  <c r="C12" i="37" s="1"/>
  <c r="E12" i="37" s="1"/>
  <c r="G12" i="37" s="1"/>
  <c r="L45" i="17"/>
  <c r="G75" i="31"/>
  <c r="M76" i="31"/>
  <c r="L59" i="31"/>
  <c r="E63" i="31"/>
  <c r="H60" i="31"/>
  <c r="D39" i="31"/>
  <c r="J39" i="31"/>
  <c r="E84" i="31"/>
  <c r="C28" i="6"/>
  <c r="E10" i="7"/>
  <c r="A11" i="21"/>
  <c r="O30" i="21"/>
  <c r="B12" i="39"/>
  <c r="L13" i="21"/>
  <c r="AA12" i="21"/>
  <c r="AA14" i="21" s="1"/>
  <c r="L46" i="21"/>
  <c r="H13" i="21"/>
  <c r="H15" i="21" s="1"/>
  <c r="W12" i="21"/>
  <c r="H46" i="21"/>
  <c r="J25" i="21"/>
  <c r="Y24" i="21"/>
  <c r="Y25" i="21" s="1"/>
  <c r="C34" i="1"/>
  <c r="G7" i="28" s="1"/>
  <c r="F34" i="1"/>
  <c r="J7" i="28" s="1"/>
  <c r="E56" i="39"/>
  <c r="E36" i="22" s="1"/>
  <c r="F18" i="25"/>
  <c r="L56" i="31"/>
  <c r="L24" i="25" s="1"/>
  <c r="C56" i="31"/>
  <c r="C57" i="31" s="1"/>
  <c r="D53" i="17"/>
  <c r="D35" i="24"/>
  <c r="H36" i="31"/>
  <c r="F75" i="31"/>
  <c r="H76" i="31"/>
  <c r="G11" i="25"/>
  <c r="F55" i="17"/>
  <c r="L55" i="31"/>
  <c r="D133" i="31"/>
  <c r="C138" i="31" s="1"/>
  <c r="C139" i="31" s="1"/>
  <c r="D138" i="31" s="1"/>
  <c r="D139" i="31" s="1"/>
  <c r="E138" i="31" s="1"/>
  <c r="E139" i="31" s="1"/>
  <c r="F138" i="31" s="1"/>
  <c r="I60" i="31"/>
  <c r="D63" i="31"/>
  <c r="I63" i="31"/>
  <c r="J60" i="31"/>
  <c r="F40" i="31"/>
  <c r="J44" i="31"/>
  <c r="C80" i="31"/>
  <c r="L83" i="31"/>
  <c r="F8" i="28"/>
  <c r="F12" i="28" s="1"/>
  <c r="E20" i="28"/>
  <c r="F20" i="28" s="1"/>
  <c r="G20" i="28" s="1"/>
  <c r="H20" i="28" s="1"/>
  <c r="I20" i="28" s="1"/>
  <c r="J20" i="28" s="1"/>
  <c r="K20" i="28" s="1"/>
  <c r="L20" i="28" s="1"/>
  <c r="M20" i="28" s="1"/>
  <c r="N20" i="28" s="1"/>
  <c r="O20" i="28" s="1"/>
  <c r="P20" i="28" s="1"/>
  <c r="Q20" i="28" s="1"/>
  <c r="E12" i="28"/>
  <c r="E16" i="28"/>
  <c r="E21" i="28"/>
  <c r="F21" i="28" s="1"/>
  <c r="G21" i="28" s="1"/>
  <c r="H21" i="28" s="1"/>
  <c r="I21" i="28" s="1"/>
  <c r="J21" i="28" s="1"/>
  <c r="E22" i="28"/>
  <c r="F22" i="28" s="1"/>
  <c r="G22" i="28" s="1"/>
  <c r="H22" i="28" s="1"/>
  <c r="I22" i="28" s="1"/>
  <c r="J22" i="28" s="1"/>
  <c r="E18" i="7"/>
  <c r="C36" i="6"/>
  <c r="C27" i="6"/>
  <c r="E9" i="7"/>
  <c r="J19" i="38" s="1"/>
  <c r="C15" i="38"/>
  <c r="M15" i="38"/>
  <c r="D15" i="38"/>
  <c r="J15" i="38"/>
  <c r="G15" i="38"/>
  <c r="N15" i="38"/>
  <c r="H15" i="38"/>
  <c r="E15" i="38"/>
  <c r="E18" i="5"/>
  <c r="F18" i="5"/>
  <c r="E76" i="31"/>
  <c r="K76" i="31"/>
  <c r="H75" i="31"/>
  <c r="E83" i="31"/>
  <c r="D79" i="31"/>
  <c r="G83" i="31"/>
  <c r="T23" i="38" s="1"/>
  <c r="H80" i="31"/>
  <c r="N76" i="31"/>
  <c r="C76" i="31"/>
  <c r="C77" i="31" s="1"/>
  <c r="G76" i="31"/>
  <c r="L75" i="31"/>
  <c r="D75" i="31"/>
  <c r="J75" i="31"/>
  <c r="N43" i="31"/>
  <c r="J43" i="31"/>
  <c r="F43" i="31"/>
  <c r="M40" i="31"/>
  <c r="E40" i="31"/>
  <c r="M43" i="31"/>
  <c r="I43" i="31"/>
  <c r="E43" i="31"/>
  <c r="K40" i="31"/>
  <c r="C40" i="31"/>
  <c r="E39" i="31"/>
  <c r="K43" i="31"/>
  <c r="C43" i="31"/>
  <c r="I39" i="31"/>
  <c r="D40" i="31"/>
  <c r="M44" i="31"/>
  <c r="I44" i="31"/>
  <c r="E44" i="31"/>
  <c r="L40" i="31"/>
  <c r="L39" i="31"/>
  <c r="C32" i="31"/>
  <c r="E35" i="31"/>
  <c r="F35" i="31"/>
  <c r="E36" i="31"/>
  <c r="I36" i="31"/>
  <c r="M35" i="31"/>
  <c r="N36" i="31"/>
  <c r="L43" i="31"/>
  <c r="I40" i="31"/>
  <c r="C39" i="31"/>
  <c r="N44" i="31"/>
  <c r="H44" i="31"/>
  <c r="C44" i="31"/>
  <c r="N39" i="31"/>
  <c r="G35" i="31"/>
  <c r="L35" i="31"/>
  <c r="F36" i="31"/>
  <c r="K36" i="31"/>
  <c r="M36" i="31"/>
  <c r="H43" i="31"/>
  <c r="G40" i="31"/>
  <c r="H40" i="31"/>
  <c r="L44" i="31"/>
  <c r="G44" i="31"/>
  <c r="N40" i="31"/>
  <c r="H39" i="31"/>
  <c r="D35" i="31"/>
  <c r="J35" i="31"/>
  <c r="G36" i="31"/>
  <c r="L36" i="31"/>
  <c r="C36" i="31"/>
  <c r="AC42" i="21"/>
  <c r="N46" i="21"/>
  <c r="L53" i="17"/>
  <c r="L9" i="39"/>
  <c r="G17" i="39"/>
  <c r="O17" i="39" s="1"/>
  <c r="G54" i="17"/>
  <c r="G55" i="17" s="1"/>
  <c r="O20" i="17"/>
  <c r="B14" i="21" s="1"/>
  <c r="C16" i="6" s="1"/>
  <c r="L27" i="17"/>
  <c r="L10" i="39"/>
  <c r="D10" i="39"/>
  <c r="D27" i="17"/>
  <c r="G18" i="39"/>
  <c r="O26" i="17"/>
  <c r="B20" i="21" s="1"/>
  <c r="C17" i="6" s="1"/>
  <c r="G27" i="17"/>
  <c r="G11" i="39"/>
  <c r="G15" i="39" s="1"/>
  <c r="G33" i="17"/>
  <c r="G53" i="17"/>
  <c r="C39" i="17"/>
  <c r="O37" i="17"/>
  <c r="B31" i="21" s="1"/>
  <c r="C11" i="6" s="1"/>
  <c r="C12" i="39"/>
  <c r="D39" i="17"/>
  <c r="D12" i="39"/>
  <c r="G20" i="39"/>
  <c r="O20" i="39" s="1"/>
  <c r="O38" i="17"/>
  <c r="B32" i="21" s="1"/>
  <c r="C19" i="6" s="1"/>
  <c r="C45" i="17"/>
  <c r="O43" i="17"/>
  <c r="K21" i="39"/>
  <c r="K45" i="17"/>
  <c r="G21" i="39"/>
  <c r="O44" i="17"/>
  <c r="B38" i="21" s="1"/>
  <c r="C20" i="6" s="1"/>
  <c r="G45" i="17"/>
  <c r="L14" i="39"/>
  <c r="L51" i="17"/>
  <c r="D14" i="39"/>
  <c r="O14" i="39" s="1"/>
  <c r="D51" i="17"/>
  <c r="G22" i="39"/>
  <c r="G51" i="17"/>
  <c r="E55" i="17"/>
  <c r="O19" i="17"/>
  <c r="J56" i="31"/>
  <c r="F55" i="31"/>
  <c r="K21" i="17"/>
  <c r="H14" i="39"/>
  <c r="J36" i="31"/>
  <c r="I76" i="31"/>
  <c r="C21" i="17"/>
  <c r="L76" i="31"/>
  <c r="E60" i="31"/>
  <c r="F44" i="31"/>
  <c r="O44" i="31" s="1"/>
  <c r="G43" i="31"/>
  <c r="L79" i="31"/>
  <c r="L12" i="39"/>
  <c r="D13" i="21"/>
  <c r="D46" i="21"/>
  <c r="O12" i="21"/>
  <c r="V24" i="21"/>
  <c r="V26" i="21" s="1"/>
  <c r="G46" i="21"/>
  <c r="J37" i="21"/>
  <c r="Y36" i="21"/>
  <c r="Y38" i="21" s="1"/>
  <c r="D11" i="25"/>
  <c r="H56" i="31"/>
  <c r="O56" i="31" s="1"/>
  <c r="N55" i="31"/>
  <c r="N52" i="39" s="1"/>
  <c r="D45" i="17"/>
  <c r="C35" i="31"/>
  <c r="D36" i="31"/>
  <c r="C75" i="31"/>
  <c r="D76" i="31"/>
  <c r="O32" i="17"/>
  <c r="B26" i="21" s="1"/>
  <c r="C18" i="6" s="1"/>
  <c r="G21" i="17"/>
  <c r="H39" i="17"/>
  <c r="J56" i="39"/>
  <c r="J36" i="22" s="1"/>
  <c r="K11" i="25"/>
  <c r="C72" i="31"/>
  <c r="H35" i="31"/>
  <c r="H51" i="39" s="1"/>
  <c r="C9" i="39"/>
  <c r="C59" i="31"/>
  <c r="M64" i="31"/>
  <c r="L63" i="31"/>
  <c r="K60" i="31"/>
  <c r="F64" i="31"/>
  <c r="L21" i="17"/>
  <c r="J40" i="31"/>
  <c r="K44" i="31"/>
  <c r="K39" i="31"/>
  <c r="D80" i="31"/>
  <c r="C79" i="31"/>
  <c r="N83" i="31"/>
  <c r="K15" i="39"/>
  <c r="M103" i="31"/>
  <c r="I103" i="31"/>
  <c r="E103" i="31"/>
  <c r="M99" i="31"/>
  <c r="I99" i="31"/>
  <c r="E99" i="31"/>
  <c r="O99" i="31" s="1"/>
  <c r="E32" i="7" s="1"/>
  <c r="E53" i="6" s="1"/>
  <c r="M104" i="31"/>
  <c r="I104" i="31"/>
  <c r="E104" i="31"/>
  <c r="M100" i="31"/>
  <c r="I100" i="31"/>
  <c r="E100" i="31"/>
  <c r="K95" i="31"/>
  <c r="G95" i="31"/>
  <c r="G96" i="31"/>
  <c r="K96" i="31"/>
  <c r="C95" i="31"/>
  <c r="C96" i="31"/>
  <c r="M79" i="31"/>
  <c r="K84" i="31"/>
  <c r="G84" i="31"/>
  <c r="C84" i="31"/>
  <c r="J79" i="31"/>
  <c r="F79" i="31"/>
  <c r="N84" i="31"/>
  <c r="J83" i="31"/>
  <c r="F83" i="31"/>
  <c r="N80" i="31"/>
  <c r="J80" i="31"/>
  <c r="F80" i="31"/>
  <c r="J84" i="31"/>
  <c r="F84" i="31"/>
  <c r="N79" i="31"/>
  <c r="I79" i="31"/>
  <c r="E79" i="31"/>
  <c r="M83" i="31"/>
  <c r="I83" i="31"/>
  <c r="D84" i="31"/>
  <c r="M80" i="31"/>
  <c r="I80" i="31"/>
  <c r="E80" i="31"/>
  <c r="L84" i="31"/>
  <c r="D83" i="31"/>
  <c r="G79" i="31"/>
  <c r="K83" i="31"/>
  <c r="C83" i="31"/>
  <c r="G80" i="31"/>
  <c r="M84" i="31"/>
  <c r="F76" i="31"/>
  <c r="J76" i="31"/>
  <c r="N75" i="31"/>
  <c r="E75" i="31"/>
  <c r="I75" i="31"/>
  <c r="H55" i="31"/>
  <c r="K56" i="31"/>
  <c r="F56" i="31"/>
  <c r="N56" i="31"/>
  <c r="K55" i="31"/>
  <c r="E56" i="31"/>
  <c r="I56" i="31"/>
  <c r="M24" i="31"/>
  <c r="E24" i="31"/>
  <c r="O24" i="31" s="1"/>
  <c r="I23" i="31"/>
  <c r="M20" i="31"/>
  <c r="E20" i="31"/>
  <c r="I19" i="31"/>
  <c r="O19" i="31" s="1"/>
  <c r="E28" i="7" s="1"/>
  <c r="E49" i="6" s="1"/>
  <c r="N24" i="31"/>
  <c r="F24" i="31"/>
  <c r="J23" i="31"/>
  <c r="W23" i="38" s="1"/>
  <c r="N20" i="31"/>
  <c r="N23" i="38" s="1"/>
  <c r="F20" i="31"/>
  <c r="J19" i="31"/>
  <c r="K16" i="31"/>
  <c r="N15" i="31"/>
  <c r="F15" i="31"/>
  <c r="L16" i="31"/>
  <c r="D16" i="31"/>
  <c r="G15" i="31"/>
  <c r="U18" i="21"/>
  <c r="U20" i="21" s="1"/>
  <c r="F46" i="21"/>
  <c r="R24" i="21"/>
  <c r="O24" i="21"/>
  <c r="I26" i="21"/>
  <c r="I46" i="21"/>
  <c r="R36" i="21"/>
  <c r="R38" i="21" s="1"/>
  <c r="O36" i="21"/>
  <c r="K80" i="31"/>
  <c r="H83" i="31"/>
  <c r="H79" i="31"/>
  <c r="H84" i="31"/>
  <c r="L44" i="39"/>
  <c r="D44" i="39"/>
  <c r="O27" i="39"/>
  <c r="O36" i="39"/>
  <c r="O32" i="39"/>
  <c r="O29" i="39"/>
  <c r="K44" i="39"/>
  <c r="C46" i="21"/>
  <c r="K20" i="21"/>
  <c r="K19" i="21"/>
  <c r="K21" i="21" s="1"/>
  <c r="T18" i="21"/>
  <c r="T20" i="21" s="1"/>
  <c r="E46" i="21"/>
  <c r="D18" i="25"/>
  <c r="C23" i="7"/>
  <c r="O41" i="39"/>
  <c r="E18" i="28"/>
  <c r="F18" i="28" s="1"/>
  <c r="G18" i="28" s="1"/>
  <c r="H18" i="28" s="1"/>
  <c r="I18" i="28" s="1"/>
  <c r="J18" i="28" s="1"/>
  <c r="K18" i="28" s="1"/>
  <c r="L18" i="28" s="1"/>
  <c r="M18" i="28" s="1"/>
  <c r="N18" i="28" s="1"/>
  <c r="O18" i="28" s="1"/>
  <c r="P18" i="28" s="1"/>
  <c r="Q18" i="28" s="1"/>
  <c r="E17" i="28"/>
  <c r="F17" i="28" s="1"/>
  <c r="M46" i="21"/>
  <c r="K44" i="21"/>
  <c r="Z42" i="21"/>
  <c r="W42" i="21"/>
  <c r="W43" i="21" s="1"/>
  <c r="H44" i="21"/>
  <c r="S42" i="21"/>
  <c r="S43" i="21" s="1"/>
  <c r="D44" i="21"/>
  <c r="O42" i="21"/>
  <c r="B11" i="39"/>
  <c r="A23" i="21"/>
  <c r="B19" i="39"/>
  <c r="E45" i="17"/>
  <c r="E13" i="39"/>
  <c r="O13" i="39" s="1"/>
  <c r="E14" i="39"/>
  <c r="E51" i="17"/>
  <c r="O50" i="17"/>
  <c r="B44" i="21" s="1"/>
  <c r="C21" i="6" s="1"/>
  <c r="D22" i="39"/>
  <c r="O22" i="39" s="1"/>
  <c r="M39" i="31"/>
  <c r="O18" i="21"/>
  <c r="K46" i="21"/>
  <c r="C14" i="21"/>
  <c r="C15" i="21" s="1"/>
  <c r="M25" i="21"/>
  <c r="M27" i="21" s="1"/>
  <c r="Q9" i="28"/>
  <c r="R9" i="28" s="1"/>
  <c r="C10" i="37" s="1"/>
  <c r="E10" i="37" s="1"/>
  <c r="G10" i="37" s="1"/>
  <c r="Q19" i="28"/>
  <c r="R19" i="28" s="1"/>
  <c r="C20" i="37" s="1"/>
  <c r="E20" i="37" s="1"/>
  <c r="G20" i="37" s="1"/>
  <c r="K22" i="28"/>
  <c r="L22" i="28" s="1"/>
  <c r="M22" i="28" s="1"/>
  <c r="N22" i="28" s="1"/>
  <c r="O22" i="28" s="1"/>
  <c r="P22" i="28" s="1"/>
  <c r="Q22" i="28" s="1"/>
  <c r="F19" i="5"/>
  <c r="E19" i="5"/>
  <c r="D19" i="5"/>
  <c r="P35" i="24"/>
  <c r="K21" i="28"/>
  <c r="L21" i="28" s="1"/>
  <c r="M21" i="28" s="1"/>
  <c r="N21" i="28" s="1"/>
  <c r="O21" i="28" s="1"/>
  <c r="P21" i="28" s="1"/>
  <c r="Q21" i="28" s="1"/>
  <c r="R21" i="28"/>
  <c r="C22" i="37" s="1"/>
  <c r="E22" i="37" s="1"/>
  <c r="G22" i="37" s="1"/>
  <c r="G20" i="7"/>
  <c r="E38" i="6"/>
  <c r="G33" i="6"/>
  <c r="I52" i="39"/>
  <c r="I32" i="22"/>
  <c r="N18" i="25"/>
  <c r="N55" i="17"/>
  <c r="C37" i="31"/>
  <c r="D30" i="22"/>
  <c r="D24" i="25"/>
  <c r="D50" i="39"/>
  <c r="L30" i="22"/>
  <c r="L50" i="39"/>
  <c r="P39" i="17"/>
  <c r="J10" i="28"/>
  <c r="K10" i="28" s="1"/>
  <c r="L10" i="28" s="1"/>
  <c r="M10" i="28" s="1"/>
  <c r="N10" i="28" s="1"/>
  <c r="O10" i="28" s="1"/>
  <c r="P10" i="28" s="1"/>
  <c r="Q10" i="28" s="1"/>
  <c r="I18" i="25"/>
  <c r="C23" i="39"/>
  <c r="I15" i="39"/>
  <c r="I24" i="39" s="1"/>
  <c r="B19" i="21"/>
  <c r="C9" i="6" s="1"/>
  <c r="P26" i="17"/>
  <c r="P27" i="17"/>
  <c r="N32" i="22"/>
  <c r="K31" i="22"/>
  <c r="L55" i="17"/>
  <c r="H31" i="22"/>
  <c r="I31" i="22"/>
  <c r="I51" i="39"/>
  <c r="G8" i="28"/>
  <c r="F16" i="28"/>
  <c r="F15" i="28"/>
  <c r="D17" i="31"/>
  <c r="E17" i="31" s="1"/>
  <c r="F17" i="31" s="1"/>
  <c r="G17" i="31" s="1"/>
  <c r="H17" i="31" s="1"/>
  <c r="I17" i="31" s="1"/>
  <c r="J17" i="31" s="1"/>
  <c r="K17" i="31" s="1"/>
  <c r="L17" i="31" s="1"/>
  <c r="M17" i="31" s="1"/>
  <c r="N17" i="31" s="1"/>
  <c r="E23" i="7"/>
  <c r="J15" i="39"/>
  <c r="J24" i="39" s="1"/>
  <c r="G23" i="39"/>
  <c r="O19" i="39"/>
  <c r="M55" i="17"/>
  <c r="M18" i="25"/>
  <c r="E34" i="22"/>
  <c r="E54" i="39"/>
  <c r="I34" i="22"/>
  <c r="I54" i="39"/>
  <c r="O40" i="31"/>
  <c r="D20" i="25"/>
  <c r="O20" i="25" s="1"/>
  <c r="B19" i="38" s="1"/>
  <c r="O25" i="22"/>
  <c r="O52" i="17"/>
  <c r="E23" i="5"/>
  <c r="D23" i="5"/>
  <c r="O9" i="39"/>
  <c r="K33" i="22"/>
  <c r="K53" i="39"/>
  <c r="G33" i="22"/>
  <c r="G53" i="39"/>
  <c r="O76" i="31"/>
  <c r="D21" i="5"/>
  <c r="E21" i="5"/>
  <c r="O16" i="25"/>
  <c r="B15" i="38" s="1"/>
  <c r="D13" i="5"/>
  <c r="E13" i="5" s="1"/>
  <c r="F13" i="5" s="1"/>
  <c r="D135" i="31"/>
  <c r="C149" i="31" s="1"/>
  <c r="S13" i="21"/>
  <c r="S46" i="21"/>
  <c r="S14" i="21"/>
  <c r="R26" i="21"/>
  <c r="R25" i="21"/>
  <c r="V38" i="21"/>
  <c r="V37" i="21"/>
  <c r="V39" i="21" s="1"/>
  <c r="R14" i="21"/>
  <c r="R13" i="21"/>
  <c r="W13" i="21"/>
  <c r="W14" i="21"/>
  <c r="AB20" i="21"/>
  <c r="AB19" i="21"/>
  <c r="T19" i="21"/>
  <c r="AB32" i="21"/>
  <c r="AB31" i="21"/>
  <c r="T32" i="21"/>
  <c r="T31" i="21"/>
  <c r="AB44" i="21"/>
  <c r="AB43" i="21"/>
  <c r="Z26" i="21"/>
  <c r="Z25" i="21"/>
  <c r="Z38" i="21"/>
  <c r="Z37" i="21"/>
  <c r="Z39" i="21" s="1"/>
  <c r="V14" i="21"/>
  <c r="V13" i="21"/>
  <c r="X20" i="21"/>
  <c r="X19" i="21"/>
  <c r="X21" i="21" s="1"/>
  <c r="X32" i="21"/>
  <c r="X31" i="21"/>
  <c r="X33" i="21" s="1"/>
  <c r="T44" i="21"/>
  <c r="T43" i="21"/>
  <c r="T45" i="21" s="1"/>
  <c r="Z14" i="21"/>
  <c r="Z13" i="21"/>
  <c r="M13" i="21"/>
  <c r="M14" i="21"/>
  <c r="M48" i="21" s="1"/>
  <c r="I13" i="21"/>
  <c r="I14" i="21"/>
  <c r="E13" i="21"/>
  <c r="E14" i="21"/>
  <c r="AC20" i="21"/>
  <c r="AC19" i="21"/>
  <c r="AC21" i="21" s="1"/>
  <c r="Y20" i="21"/>
  <c r="Y19" i="21"/>
  <c r="Y21" i="21" s="1"/>
  <c r="AA26" i="21"/>
  <c r="AA25" i="21"/>
  <c r="AA27" i="21" s="1"/>
  <c r="W26" i="21"/>
  <c r="W25" i="21"/>
  <c r="W27" i="21" s="1"/>
  <c r="S26" i="21"/>
  <c r="S25" i="21"/>
  <c r="S27" i="21" s="1"/>
  <c r="AC32" i="21"/>
  <c r="AC31" i="21"/>
  <c r="AC33" i="21" s="1"/>
  <c r="Y32" i="21"/>
  <c r="Y31" i="21"/>
  <c r="Y33" i="21" s="1"/>
  <c r="U32" i="21"/>
  <c r="U31" i="21"/>
  <c r="U33" i="21" s="1"/>
  <c r="AA38" i="21"/>
  <c r="AA37" i="21"/>
  <c r="AA39" i="21" s="1"/>
  <c r="W38" i="21"/>
  <c r="W37" i="21"/>
  <c r="W39" i="21" s="1"/>
  <c r="S38" i="21"/>
  <c r="S37" i="21"/>
  <c r="S39" i="21" s="1"/>
  <c r="AC44" i="21"/>
  <c r="AC43" i="21"/>
  <c r="AC45" i="21" s="1"/>
  <c r="AA42" i="21"/>
  <c r="L43" i="21"/>
  <c r="L45" i="21" s="1"/>
  <c r="X44" i="21"/>
  <c r="X43" i="21"/>
  <c r="X45" i="21" s="1"/>
  <c r="S19" i="21"/>
  <c r="S21" i="21" s="1"/>
  <c r="W20" i="21"/>
  <c r="W21" i="21" s="1"/>
  <c r="Y26" i="21"/>
  <c r="Y27" i="21" s="1"/>
  <c r="AA32" i="21"/>
  <c r="AA33" i="21" s="1"/>
  <c r="Y37" i="21"/>
  <c r="Y39" i="21" s="1"/>
  <c r="AC38" i="21"/>
  <c r="AC39" i="21" s="1"/>
  <c r="U14" i="21"/>
  <c r="U13" i="21"/>
  <c r="Y14" i="21"/>
  <c r="Y13" i="21"/>
  <c r="AC14" i="21"/>
  <c r="AC13" i="21"/>
  <c r="N19" i="21"/>
  <c r="N20" i="21"/>
  <c r="J19" i="21"/>
  <c r="J20" i="21"/>
  <c r="F19" i="21"/>
  <c r="F20" i="21"/>
  <c r="L25" i="21"/>
  <c r="L26" i="21"/>
  <c r="H25" i="21"/>
  <c r="H26" i="21"/>
  <c r="D25" i="21"/>
  <c r="D26" i="21"/>
  <c r="N31" i="21"/>
  <c r="N32" i="21"/>
  <c r="J31" i="21"/>
  <c r="J32" i="21"/>
  <c r="F31" i="21"/>
  <c r="F32" i="21"/>
  <c r="L37" i="21"/>
  <c r="L38" i="21"/>
  <c r="H37" i="21"/>
  <c r="H38" i="21"/>
  <c r="D37" i="21"/>
  <c r="D38" i="21"/>
  <c r="N43" i="21"/>
  <c r="N44" i="21"/>
  <c r="Z44" i="21"/>
  <c r="Z43" i="21"/>
  <c r="Z45" i="21" s="1"/>
  <c r="I43" i="21"/>
  <c r="I44" i="21"/>
  <c r="M34" i="1"/>
  <c r="Q7" i="28" s="1"/>
  <c r="E34" i="1"/>
  <c r="I7" i="28" s="1"/>
  <c r="H34" i="1"/>
  <c r="L7" i="28" s="1"/>
  <c r="G34" i="1"/>
  <c r="K7" i="28" s="1"/>
  <c r="J34" i="1"/>
  <c r="N7" i="28" s="1"/>
  <c r="B34" i="1"/>
  <c r="F7" i="28" s="1"/>
  <c r="I34" i="1"/>
  <c r="M7" i="28" s="1"/>
  <c r="L34" i="1"/>
  <c r="P7" i="28" s="1"/>
  <c r="D34" i="1"/>
  <c r="H7" i="28" s="1"/>
  <c r="G13" i="21"/>
  <c r="L14" i="21"/>
  <c r="C32" i="21"/>
  <c r="D20" i="21"/>
  <c r="AA20" i="21"/>
  <c r="AA21" i="21" s="1"/>
  <c r="F26" i="21"/>
  <c r="F27" i="21" s="1"/>
  <c r="AC26" i="21"/>
  <c r="AC27" i="21" s="1"/>
  <c r="H32" i="21"/>
  <c r="H33" i="21" s="1"/>
  <c r="E37" i="21"/>
  <c r="E39" i="21" s="1"/>
  <c r="J38" i="21"/>
  <c r="J39" i="21" s="1"/>
  <c r="G43" i="21"/>
  <c r="G45" i="21" s="1"/>
  <c r="L44" i="21"/>
  <c r="S44" i="21"/>
  <c r="S45" i="21" s="1"/>
  <c r="T12" i="21"/>
  <c r="X12" i="21"/>
  <c r="AB12" i="21"/>
  <c r="R18" i="21"/>
  <c r="Z18" i="21"/>
  <c r="V18" i="21"/>
  <c r="AB24" i="21"/>
  <c r="X24" i="21"/>
  <c r="T24" i="21"/>
  <c r="R30" i="21"/>
  <c r="Z30" i="21"/>
  <c r="V30" i="21"/>
  <c r="AB36" i="21"/>
  <c r="X36" i="21"/>
  <c r="T36" i="21"/>
  <c r="R42" i="21"/>
  <c r="K34" i="1"/>
  <c r="O7" i="28" s="1"/>
  <c r="K13" i="21"/>
  <c r="C44" i="21"/>
  <c r="H20" i="21"/>
  <c r="E25" i="21"/>
  <c r="E27" i="21" s="1"/>
  <c r="J26" i="21"/>
  <c r="G31" i="21"/>
  <c r="G33" i="21" s="1"/>
  <c r="L32" i="21"/>
  <c r="L33" i="21" s="1"/>
  <c r="S32" i="21"/>
  <c r="S33" i="21" s="1"/>
  <c r="I37" i="21"/>
  <c r="I39" i="21" s="1"/>
  <c r="N38" i="21"/>
  <c r="N39" i="21" s="1"/>
  <c r="U38" i="21"/>
  <c r="U39" i="21" s="1"/>
  <c r="K43" i="21"/>
  <c r="K45" i="21" s="1"/>
  <c r="N13" i="21"/>
  <c r="N14" i="21"/>
  <c r="J13" i="21"/>
  <c r="J14" i="21"/>
  <c r="F13" i="21"/>
  <c r="F14" i="21"/>
  <c r="M19" i="21"/>
  <c r="M20" i="21"/>
  <c r="I19" i="21"/>
  <c r="I20" i="21"/>
  <c r="E19" i="21"/>
  <c r="E20" i="21"/>
  <c r="C26" i="21"/>
  <c r="C25" i="21"/>
  <c r="K25" i="21"/>
  <c r="K26" i="21"/>
  <c r="G25" i="21"/>
  <c r="G26" i="21"/>
  <c r="M31" i="21"/>
  <c r="M32" i="21"/>
  <c r="I31" i="21"/>
  <c r="I32" i="21"/>
  <c r="E31" i="21"/>
  <c r="E32" i="21"/>
  <c r="C38" i="21"/>
  <c r="C37" i="21"/>
  <c r="K37" i="21"/>
  <c r="K38" i="21"/>
  <c r="G37" i="21"/>
  <c r="G38" i="21"/>
  <c r="M43" i="21"/>
  <c r="M44" i="21"/>
  <c r="J43" i="21"/>
  <c r="J44" i="21"/>
  <c r="Y42" i="21"/>
  <c r="V42" i="21"/>
  <c r="E43" i="21"/>
  <c r="E44" i="21"/>
  <c r="D14" i="21"/>
  <c r="G19" i="21"/>
  <c r="G21" i="21" s="1"/>
  <c r="L20" i="21"/>
  <c r="L21" i="21" s="1"/>
  <c r="I25" i="21"/>
  <c r="I27" i="21" s="1"/>
  <c r="N26" i="21"/>
  <c r="N27" i="21" s="1"/>
  <c r="K31" i="21"/>
  <c r="K33" i="21" s="1"/>
  <c r="M37" i="21"/>
  <c r="M39" i="21" s="1"/>
  <c r="D43" i="21"/>
  <c r="H43" i="21"/>
  <c r="U42" i="21"/>
  <c r="F44" i="21"/>
  <c r="F45" i="21" s="1"/>
  <c r="I45" i="21" l="1"/>
  <c r="O44" i="39"/>
  <c r="AC46" i="21"/>
  <c r="E34" i="6"/>
  <c r="G16" i="7"/>
  <c r="G34" i="6" s="1"/>
  <c r="E29" i="6"/>
  <c r="G11" i="7"/>
  <c r="G29" i="6" s="1"/>
  <c r="O84" i="31"/>
  <c r="I24" i="25"/>
  <c r="H24" i="25"/>
  <c r="N45" i="21"/>
  <c r="N54" i="39"/>
  <c r="G18" i="25"/>
  <c r="M19" i="38"/>
  <c r="K39" i="21"/>
  <c r="M33" i="21"/>
  <c r="R37" i="21"/>
  <c r="R23" i="38"/>
  <c r="L19" i="38"/>
  <c r="I11" i="25"/>
  <c r="I12" i="25" s="1"/>
  <c r="D37" i="31"/>
  <c r="E37" i="31" s="1"/>
  <c r="R20" i="28"/>
  <c r="C21" i="37" s="1"/>
  <c r="E21" i="37" s="1"/>
  <c r="G21" i="37" s="1"/>
  <c r="K23" i="38"/>
  <c r="H54" i="39"/>
  <c r="C43" i="6"/>
  <c r="C9" i="36"/>
  <c r="D9" i="36" s="1"/>
  <c r="C41" i="2"/>
  <c r="C40" i="2"/>
  <c r="M54" i="39"/>
  <c r="M34" i="22"/>
  <c r="G14" i="7"/>
  <c r="G32" i="6" s="1"/>
  <c r="E32" i="6"/>
  <c r="D15" i="39"/>
  <c r="O36" i="31"/>
  <c r="M23" i="38"/>
  <c r="H39" i="21"/>
  <c r="U25" i="21"/>
  <c r="U27" i="21" s="1"/>
  <c r="AA13" i="21"/>
  <c r="H45" i="21"/>
  <c r="M45" i="21"/>
  <c r="K27" i="21"/>
  <c r="M21" i="21"/>
  <c r="F48" i="21"/>
  <c r="N48" i="21"/>
  <c r="W31" i="21"/>
  <c r="W33" i="21" s="1"/>
  <c r="D23" i="39"/>
  <c r="J11" i="25"/>
  <c r="J12" i="25" s="1"/>
  <c r="O54" i="17"/>
  <c r="Q20" i="17" s="1"/>
  <c r="R18" i="28"/>
  <c r="C19" i="37" s="1"/>
  <c r="E19" i="37" s="1"/>
  <c r="G19" i="37" s="1"/>
  <c r="E15" i="39"/>
  <c r="E24" i="39" s="1"/>
  <c r="O15" i="31"/>
  <c r="F23" i="38"/>
  <c r="AA23" i="38"/>
  <c r="O23" i="31"/>
  <c r="G28" i="7" s="1"/>
  <c r="G49" i="6" s="1"/>
  <c r="K24" i="25"/>
  <c r="G23" i="38"/>
  <c r="Q23" i="38"/>
  <c r="G24" i="25"/>
  <c r="O100" i="31"/>
  <c r="O103" i="31"/>
  <c r="G32" i="7" s="1"/>
  <c r="G53" i="6" s="1"/>
  <c r="K30" i="22"/>
  <c r="O21" i="39"/>
  <c r="O27" i="17"/>
  <c r="B21" i="21" s="1"/>
  <c r="H23" i="38"/>
  <c r="C23" i="38"/>
  <c r="I23" i="38"/>
  <c r="Z23" i="38"/>
  <c r="N19" i="38"/>
  <c r="D57" i="31"/>
  <c r="C15" i="39"/>
  <c r="O18" i="39"/>
  <c r="C19" i="38"/>
  <c r="C42" i="2"/>
  <c r="F11" i="5"/>
  <c r="E27" i="27" s="1"/>
  <c r="D27" i="27"/>
  <c r="I50" i="39"/>
  <c r="I30" i="22"/>
  <c r="F54" i="39"/>
  <c r="F34" i="22"/>
  <c r="F24" i="5"/>
  <c r="AB15" i="38"/>
  <c r="O15" i="38"/>
  <c r="E117" i="31"/>
  <c r="E119" i="31" s="1"/>
  <c r="D28" i="22"/>
  <c r="G17" i="28"/>
  <c r="H17" i="28" s="1"/>
  <c r="I17" i="28" s="1"/>
  <c r="J17" i="28" s="1"/>
  <c r="K17" i="28" s="1"/>
  <c r="L17" i="28" s="1"/>
  <c r="M17" i="28" s="1"/>
  <c r="N17" i="28" s="1"/>
  <c r="O17" i="28" s="1"/>
  <c r="P17" i="28" s="1"/>
  <c r="Q17" i="28" s="1"/>
  <c r="N53" i="39"/>
  <c r="N33" i="22"/>
  <c r="E23" i="28"/>
  <c r="E25" i="28" s="1"/>
  <c r="O11" i="39"/>
  <c r="G24" i="39"/>
  <c r="C24" i="25"/>
  <c r="O35" i="31"/>
  <c r="F52" i="39"/>
  <c r="F32" i="22"/>
  <c r="L56" i="39"/>
  <c r="L36" i="22" s="1"/>
  <c r="N11" i="25"/>
  <c r="H53" i="39"/>
  <c r="H33" i="22"/>
  <c r="K56" i="39"/>
  <c r="K36" i="22" s="1"/>
  <c r="L11" i="25"/>
  <c r="L12" i="25" s="1"/>
  <c r="K55" i="17"/>
  <c r="K10" i="25"/>
  <c r="K12" i="25" s="1"/>
  <c r="E32" i="22"/>
  <c r="E52" i="39"/>
  <c r="W46" i="21"/>
  <c r="P38" i="17"/>
  <c r="G30" i="22"/>
  <c r="G50" i="39"/>
  <c r="O50" i="39" s="1"/>
  <c r="K32" i="22"/>
  <c r="K52" i="39"/>
  <c r="O83" i="31"/>
  <c r="G31" i="7" s="1"/>
  <c r="G52" i="6" s="1"/>
  <c r="O96" i="31"/>
  <c r="C97" i="31"/>
  <c r="D97" i="31" s="1"/>
  <c r="E97" i="31" s="1"/>
  <c r="F97" i="31" s="1"/>
  <c r="G97" i="31" s="1"/>
  <c r="H97" i="31" s="1"/>
  <c r="I97" i="31" s="1"/>
  <c r="J97" i="31" s="1"/>
  <c r="K97" i="31" s="1"/>
  <c r="L97" i="31" s="1"/>
  <c r="M97" i="31" s="1"/>
  <c r="N97" i="31" s="1"/>
  <c r="O39" i="17"/>
  <c r="B33" i="21" s="1"/>
  <c r="O46" i="21"/>
  <c r="O80" i="31"/>
  <c r="G16" i="17"/>
  <c r="V10" i="21"/>
  <c r="G8" i="22"/>
  <c r="G7" i="39"/>
  <c r="H28" i="24"/>
  <c r="G10" i="21"/>
  <c r="B43" i="21"/>
  <c r="C13" i="6" s="1"/>
  <c r="P51" i="17"/>
  <c r="P50" i="17"/>
  <c r="B25" i="21"/>
  <c r="C10" i="6" s="1"/>
  <c r="P32" i="17"/>
  <c r="P33" i="17"/>
  <c r="W44" i="21"/>
  <c r="W45" i="21" s="1"/>
  <c r="J27" i="21"/>
  <c r="V46" i="21"/>
  <c r="U19" i="21"/>
  <c r="U21" i="21" s="1"/>
  <c r="V25" i="21"/>
  <c r="V27" i="21" s="1"/>
  <c r="G21" i="7"/>
  <c r="G39" i="6" s="1"/>
  <c r="V23" i="38"/>
  <c r="O20" i="31"/>
  <c r="S23" i="38"/>
  <c r="C51" i="39"/>
  <c r="O39" i="31"/>
  <c r="E29" i="7" s="1"/>
  <c r="E50" i="6" s="1"/>
  <c r="D19" i="38"/>
  <c r="H56" i="39"/>
  <c r="H36" i="22" s="1"/>
  <c r="H18" i="25"/>
  <c r="I53" i="39"/>
  <c r="I33" i="22"/>
  <c r="C54" i="39"/>
  <c r="C34" i="22"/>
  <c r="K34" i="22"/>
  <c r="K54" i="39"/>
  <c r="O104" i="31"/>
  <c r="C53" i="39"/>
  <c r="C33" i="22"/>
  <c r="O33" i="22" s="1"/>
  <c r="C31" i="7" s="1"/>
  <c r="C52" i="6" s="1"/>
  <c r="O75" i="31"/>
  <c r="B13" i="21"/>
  <c r="C8" i="6" s="1"/>
  <c r="P20" i="17"/>
  <c r="P21" i="17"/>
  <c r="O45" i="17"/>
  <c r="B39" i="21" s="1"/>
  <c r="H11" i="25"/>
  <c r="G56" i="39"/>
  <c r="G36" i="22" s="1"/>
  <c r="G10" i="25"/>
  <c r="G12" i="25" s="1"/>
  <c r="O10" i="39"/>
  <c r="J51" i="39"/>
  <c r="J31" i="22"/>
  <c r="L31" i="22"/>
  <c r="L51" i="39"/>
  <c r="L23" i="38"/>
  <c r="J33" i="22"/>
  <c r="J53" i="39"/>
  <c r="D77" i="31"/>
  <c r="E77" i="31" s="1"/>
  <c r="F77" i="31" s="1"/>
  <c r="G77" i="31" s="1"/>
  <c r="H77" i="31" s="1"/>
  <c r="I77" i="31" s="1"/>
  <c r="J77" i="31" s="1"/>
  <c r="K77" i="31" s="1"/>
  <c r="L77" i="31" s="1"/>
  <c r="M77" i="31" s="1"/>
  <c r="N77" i="31" s="1"/>
  <c r="G9" i="7"/>
  <c r="E27" i="6"/>
  <c r="O63" i="31"/>
  <c r="G30" i="7" s="1"/>
  <c r="G51" i="6" s="1"/>
  <c r="L52" i="39"/>
  <c r="L32" i="22"/>
  <c r="E11" i="25"/>
  <c r="E12" i="25" s="1"/>
  <c r="D56" i="39"/>
  <c r="D36" i="22" s="1"/>
  <c r="D55" i="17"/>
  <c r="D10" i="25"/>
  <c r="D12" i="25" s="1"/>
  <c r="S10" i="21"/>
  <c r="D10" i="21"/>
  <c r="D16" i="17"/>
  <c r="D7" i="39"/>
  <c r="D8" i="22"/>
  <c r="E28" i="24"/>
  <c r="E28" i="6"/>
  <c r="G10" i="7"/>
  <c r="G28" i="6" s="1"/>
  <c r="D23" i="38"/>
  <c r="O51" i="17"/>
  <c r="B45" i="21" s="1"/>
  <c r="C10" i="38"/>
  <c r="N10" i="25"/>
  <c r="N56" i="39"/>
  <c r="N36" i="22" s="1"/>
  <c r="O33" i="17"/>
  <c r="B27" i="21" s="1"/>
  <c r="K18" i="25"/>
  <c r="L18" i="25"/>
  <c r="H15" i="39"/>
  <c r="H24" i="39" s="1"/>
  <c r="G32" i="22"/>
  <c r="G52" i="39"/>
  <c r="O59" i="31"/>
  <c r="E30" i="7" s="1"/>
  <c r="E51" i="6" s="1"/>
  <c r="C32" i="22"/>
  <c r="C52" i="39"/>
  <c r="O52" i="39" s="1"/>
  <c r="O55" i="31"/>
  <c r="F11" i="25"/>
  <c r="F12" i="25" s="1"/>
  <c r="E24" i="5"/>
  <c r="F24" i="25"/>
  <c r="F30" i="22"/>
  <c r="F50" i="39"/>
  <c r="C22" i="6"/>
  <c r="C26" i="27" s="1"/>
  <c r="M31" i="22"/>
  <c r="M51" i="39"/>
  <c r="M24" i="25"/>
  <c r="E31" i="22"/>
  <c r="E51" i="39"/>
  <c r="E24" i="25"/>
  <c r="L53" i="39"/>
  <c r="L33" i="22"/>
  <c r="E39" i="6"/>
  <c r="C31" i="22"/>
  <c r="C37" i="22" s="1"/>
  <c r="C38" i="22" s="1"/>
  <c r="I19" i="38"/>
  <c r="E19" i="38"/>
  <c r="M11" i="25"/>
  <c r="M12" i="25" s="1"/>
  <c r="N30" i="22"/>
  <c r="N50" i="39"/>
  <c r="H52" i="39"/>
  <c r="H32" i="22"/>
  <c r="G54" i="39"/>
  <c r="O54" i="39" s="1"/>
  <c r="G34" i="22"/>
  <c r="E23" i="38"/>
  <c r="B37" i="21"/>
  <c r="C12" i="6" s="1"/>
  <c r="P44" i="17"/>
  <c r="P45" i="17"/>
  <c r="O43" i="31"/>
  <c r="G29" i="7" s="1"/>
  <c r="G50" i="6" s="1"/>
  <c r="P23" i="38"/>
  <c r="G18" i="7"/>
  <c r="G36" i="6" s="1"/>
  <c r="E36" i="6"/>
  <c r="H12" i="25"/>
  <c r="D32" i="22"/>
  <c r="D52" i="39"/>
  <c r="O60" i="31"/>
  <c r="J32" i="22"/>
  <c r="J52" i="39"/>
  <c r="AD24" i="21"/>
  <c r="AD12" i="21"/>
  <c r="Z27" i="21"/>
  <c r="AB33" i="21"/>
  <c r="AB21" i="21"/>
  <c r="H19" i="38"/>
  <c r="O95" i="31"/>
  <c r="G19" i="38"/>
  <c r="F19" i="38"/>
  <c r="L10" i="25"/>
  <c r="H55" i="17"/>
  <c r="P25" i="17"/>
  <c r="N24" i="25"/>
  <c r="F37" i="31"/>
  <c r="G37" i="31" s="1"/>
  <c r="H37" i="31" s="1"/>
  <c r="I37" i="31" s="1"/>
  <c r="J37" i="31" s="1"/>
  <c r="K37" i="31" s="1"/>
  <c r="L37" i="31" s="1"/>
  <c r="M37" i="31" s="1"/>
  <c r="N37" i="31" s="1"/>
  <c r="K19" i="38"/>
  <c r="J23" i="38"/>
  <c r="E33" i="22"/>
  <c r="E53" i="39"/>
  <c r="O79" i="31"/>
  <c r="E31" i="7" s="1"/>
  <c r="E52" i="6" s="1"/>
  <c r="Y23" i="38"/>
  <c r="O21" i="17"/>
  <c r="O12" i="39"/>
  <c r="L15" i="39"/>
  <c r="L24" i="39" s="1"/>
  <c r="D51" i="39"/>
  <c r="D31" i="22"/>
  <c r="G51" i="39"/>
  <c r="G31" i="22"/>
  <c r="F31" i="22"/>
  <c r="F51" i="39"/>
  <c r="D33" i="22"/>
  <c r="D53" i="39"/>
  <c r="F33" i="22"/>
  <c r="F53" i="39"/>
  <c r="E57" i="31"/>
  <c r="F57" i="31" s="1"/>
  <c r="G57" i="31" s="1"/>
  <c r="H57" i="31" s="1"/>
  <c r="I57" i="31" s="1"/>
  <c r="J57" i="31" s="1"/>
  <c r="K57" i="31" s="1"/>
  <c r="L57" i="31" s="1"/>
  <c r="M57" i="31" s="1"/>
  <c r="N57" i="31" s="1"/>
  <c r="O53" i="17"/>
  <c r="K23" i="39"/>
  <c r="K24" i="39" s="1"/>
  <c r="O64" i="31"/>
  <c r="D45" i="21"/>
  <c r="O43" i="21"/>
  <c r="G48" i="21"/>
  <c r="C27" i="21"/>
  <c r="O25" i="21"/>
  <c r="C47" i="21"/>
  <c r="R44" i="21"/>
  <c r="R43" i="21"/>
  <c r="AD42" i="21"/>
  <c r="F16" i="17"/>
  <c r="U10" i="21"/>
  <c r="F10" i="21"/>
  <c r="G28" i="24"/>
  <c r="F8" i="22"/>
  <c r="F7" i="39"/>
  <c r="U15" i="21"/>
  <c r="E48" i="21"/>
  <c r="AA15" i="21"/>
  <c r="S15" i="21"/>
  <c r="S47" i="21"/>
  <c r="J45" i="21"/>
  <c r="I33" i="21"/>
  <c r="C48" i="21"/>
  <c r="O26" i="21"/>
  <c r="E18" i="6" s="1"/>
  <c r="F15" i="21"/>
  <c r="F47" i="21"/>
  <c r="N47" i="21"/>
  <c r="N15" i="21"/>
  <c r="C45" i="21"/>
  <c r="O44" i="21"/>
  <c r="E21" i="6" s="1"/>
  <c r="T38" i="21"/>
  <c r="T37" i="21"/>
  <c r="AD36" i="21"/>
  <c r="Z32" i="21"/>
  <c r="Z31" i="21"/>
  <c r="AB26" i="21"/>
  <c r="AB25" i="21"/>
  <c r="AB27" i="21" s="1"/>
  <c r="AB14" i="21"/>
  <c r="AB13" i="21"/>
  <c r="AB46" i="21"/>
  <c r="D21" i="21"/>
  <c r="O20" i="21"/>
  <c r="E17" i="6" s="1"/>
  <c r="T10" i="21"/>
  <c r="E10" i="21"/>
  <c r="E16" i="17"/>
  <c r="E8" i="22"/>
  <c r="F28" i="24"/>
  <c r="E7" i="39"/>
  <c r="K16" i="17"/>
  <c r="Z10" i="21"/>
  <c r="K10" i="21"/>
  <c r="K8" i="22"/>
  <c r="L28" i="24"/>
  <c r="K7" i="39"/>
  <c r="AC10" i="21"/>
  <c r="N10" i="21"/>
  <c r="N16" i="17"/>
  <c r="O28" i="24"/>
  <c r="N8" i="22"/>
  <c r="N7" i="39"/>
  <c r="D39" i="21"/>
  <c r="L39" i="21"/>
  <c r="J33" i="21"/>
  <c r="D27" i="21"/>
  <c r="D47" i="21"/>
  <c r="L47" i="21"/>
  <c r="L27" i="21"/>
  <c r="J21" i="21"/>
  <c r="AC48" i="21"/>
  <c r="AA44" i="21"/>
  <c r="AA48" i="21" s="1"/>
  <c r="AA43" i="21"/>
  <c r="AA45" i="21" s="1"/>
  <c r="O13" i="21"/>
  <c r="E15" i="21"/>
  <c r="E47" i="21"/>
  <c r="M15" i="21"/>
  <c r="M47" i="21"/>
  <c r="AA46" i="21"/>
  <c r="W15" i="21"/>
  <c r="W47" i="21"/>
  <c r="C150" i="31"/>
  <c r="D149" i="31" s="1"/>
  <c r="Q42" i="17"/>
  <c r="Q18" i="17"/>
  <c r="Q24" i="17"/>
  <c r="B46" i="21"/>
  <c r="Q30" i="17"/>
  <c r="Q48" i="17"/>
  <c r="Q36" i="17"/>
  <c r="C24" i="39"/>
  <c r="F23" i="28"/>
  <c r="F25" i="28" s="1"/>
  <c r="O10" i="25"/>
  <c r="P37" i="17"/>
  <c r="C39" i="21"/>
  <c r="O37" i="21"/>
  <c r="H21" i="21"/>
  <c r="H48" i="21"/>
  <c r="X26" i="21"/>
  <c r="X25" i="21"/>
  <c r="C10" i="21"/>
  <c r="R10" i="21"/>
  <c r="C16" i="17"/>
  <c r="C8" i="22"/>
  <c r="D28" i="24"/>
  <c r="C7" i="39"/>
  <c r="AC15" i="21"/>
  <c r="AC47" i="21"/>
  <c r="E45" i="21"/>
  <c r="G39" i="21"/>
  <c r="G27" i="21"/>
  <c r="I21" i="21"/>
  <c r="U44" i="21"/>
  <c r="U48" i="21" s="1"/>
  <c r="U43" i="21"/>
  <c r="U46" i="21"/>
  <c r="V44" i="21"/>
  <c r="V43" i="21"/>
  <c r="K48" i="21"/>
  <c r="J48" i="21"/>
  <c r="K15" i="21"/>
  <c r="K47" i="21"/>
  <c r="X38" i="21"/>
  <c r="X37" i="21"/>
  <c r="R32" i="21"/>
  <c r="R31" i="21"/>
  <c r="AD30" i="21"/>
  <c r="V20" i="21"/>
  <c r="V19" i="21"/>
  <c r="X14" i="21"/>
  <c r="X13" i="21"/>
  <c r="X46" i="21"/>
  <c r="C33" i="21"/>
  <c r="O32" i="21"/>
  <c r="E19" i="6" s="1"/>
  <c r="M16" i="17"/>
  <c r="AB10" i="21"/>
  <c r="M10" i="21"/>
  <c r="M8" i="22"/>
  <c r="M7" i="39"/>
  <c r="N28" i="24"/>
  <c r="H10" i="21"/>
  <c r="H16" i="17"/>
  <c r="W10" i="21"/>
  <c r="H7" i="39"/>
  <c r="I28" i="24"/>
  <c r="H8" i="22"/>
  <c r="Y15" i="21"/>
  <c r="I48" i="21"/>
  <c r="Z15" i="21"/>
  <c r="T33" i="21"/>
  <c r="R39" i="21"/>
  <c r="S48" i="21"/>
  <c r="O19" i="38"/>
  <c r="Q50" i="17"/>
  <c r="Q38" i="17"/>
  <c r="F139" i="31"/>
  <c r="G138" i="31" s="1"/>
  <c r="G38" i="6"/>
  <c r="R22" i="28"/>
  <c r="C23" i="37" s="1"/>
  <c r="E23" i="37" s="1"/>
  <c r="G23" i="37" s="1"/>
  <c r="V32" i="21"/>
  <c r="V48" i="21" s="1"/>
  <c r="V31" i="21"/>
  <c r="R20" i="21"/>
  <c r="R19" i="21"/>
  <c r="AD18" i="21"/>
  <c r="R46" i="21"/>
  <c r="G15" i="21"/>
  <c r="G47" i="21"/>
  <c r="W48" i="21"/>
  <c r="O38" i="21"/>
  <c r="E20" i="6" s="1"/>
  <c r="D48" i="21"/>
  <c r="O14" i="21"/>
  <c r="E16" i="6" s="1"/>
  <c r="D15" i="21"/>
  <c r="Y44" i="21"/>
  <c r="Y48" i="21" s="1"/>
  <c r="Y43" i="21"/>
  <c r="Y47" i="21" s="1"/>
  <c r="Y46" i="21"/>
  <c r="E33" i="21"/>
  <c r="O31" i="21"/>
  <c r="E21" i="21"/>
  <c r="O19" i="21"/>
  <c r="J15" i="21"/>
  <c r="J47" i="21"/>
  <c r="AA10" i="21"/>
  <c r="L10" i="21"/>
  <c r="L16" i="17"/>
  <c r="L8" i="22"/>
  <c r="L7" i="39"/>
  <c r="M28" i="24"/>
  <c r="AB38" i="21"/>
  <c r="AD38" i="21" s="1"/>
  <c r="G20" i="6" s="1"/>
  <c r="AB37" i="21"/>
  <c r="T26" i="21"/>
  <c r="T25" i="21"/>
  <c r="T27" i="21" s="1"/>
  <c r="Z20" i="21"/>
  <c r="Z48" i="21" s="1"/>
  <c r="Z19" i="21"/>
  <c r="Z46" i="21"/>
  <c r="T14" i="21"/>
  <c r="T13" i="21"/>
  <c r="T46" i="21"/>
  <c r="L15" i="21"/>
  <c r="L48" i="21"/>
  <c r="M17" i="38" s="1"/>
  <c r="Y10" i="21"/>
  <c r="J10" i="21"/>
  <c r="J16" i="17"/>
  <c r="J8" i="22"/>
  <c r="K28" i="24"/>
  <c r="J7" i="39"/>
  <c r="I10" i="21"/>
  <c r="I16" i="17"/>
  <c r="X10" i="21"/>
  <c r="J28" i="24"/>
  <c r="I8" i="22"/>
  <c r="I7" i="39"/>
  <c r="F33" i="21"/>
  <c r="N33" i="21"/>
  <c r="H27" i="21"/>
  <c r="H47" i="21"/>
  <c r="F21" i="21"/>
  <c r="N21" i="21"/>
  <c r="I47" i="21"/>
  <c r="I15" i="21"/>
  <c r="V15" i="21"/>
  <c r="AB45" i="21"/>
  <c r="T21" i="21"/>
  <c r="R15" i="21"/>
  <c r="R47" i="21"/>
  <c r="R27" i="21"/>
  <c r="C47" i="39"/>
  <c r="D31" i="5"/>
  <c r="C21" i="31"/>
  <c r="D21" i="31" s="1"/>
  <c r="E21" i="31" s="1"/>
  <c r="F21" i="31" s="1"/>
  <c r="G21" i="31" s="1"/>
  <c r="H21" i="31" s="1"/>
  <c r="I21" i="31" s="1"/>
  <c r="J21" i="31" s="1"/>
  <c r="K21" i="31" s="1"/>
  <c r="L21" i="31" s="1"/>
  <c r="M21" i="31" s="1"/>
  <c r="N21" i="31" s="1"/>
  <c r="G15" i="28"/>
  <c r="H8" i="28"/>
  <c r="G16" i="28"/>
  <c r="G12" i="28"/>
  <c r="R10" i="28"/>
  <c r="C11" i="37" s="1"/>
  <c r="E11" i="37" s="1"/>
  <c r="G11" i="37" s="1"/>
  <c r="C41" i="31"/>
  <c r="D41" i="31" s="1"/>
  <c r="E41" i="31" s="1"/>
  <c r="F41" i="31" s="1"/>
  <c r="G41" i="31" s="1"/>
  <c r="H41" i="31" s="1"/>
  <c r="I41" i="31" s="1"/>
  <c r="J41" i="31" s="1"/>
  <c r="K41" i="31" s="1"/>
  <c r="L41" i="31" s="1"/>
  <c r="M41" i="31" s="1"/>
  <c r="N41" i="31" s="1"/>
  <c r="D32" i="5"/>
  <c r="D24" i="5"/>
  <c r="O30" i="22" l="1"/>
  <c r="C28" i="7" s="1"/>
  <c r="C49" i="6" s="1"/>
  <c r="O24" i="25"/>
  <c r="B23" i="38" s="1"/>
  <c r="Q32" i="17"/>
  <c r="Q26" i="17"/>
  <c r="AB23" i="38"/>
  <c r="D17" i="38"/>
  <c r="B48" i="21"/>
  <c r="Q44" i="17"/>
  <c r="K17" i="38"/>
  <c r="U47" i="21"/>
  <c r="O53" i="39"/>
  <c r="O32" i="22"/>
  <c r="C30" i="7" s="1"/>
  <c r="C51" i="6" s="1"/>
  <c r="O23" i="38"/>
  <c r="P19" i="17"/>
  <c r="O34" i="22"/>
  <c r="C32" i="7" s="1"/>
  <c r="C53" i="6" s="1"/>
  <c r="O18" i="25"/>
  <c r="B17" i="38" s="1"/>
  <c r="O51" i="39"/>
  <c r="C14" i="6"/>
  <c r="D57" i="6" s="1"/>
  <c r="T48" i="21"/>
  <c r="S17" i="38" s="1"/>
  <c r="V45" i="21"/>
  <c r="O23" i="39"/>
  <c r="T39" i="21"/>
  <c r="P43" i="17"/>
  <c r="N12" i="25"/>
  <c r="P49" i="17"/>
  <c r="D24" i="39"/>
  <c r="E48" i="39"/>
  <c r="F117" i="31"/>
  <c r="F119" i="31" s="1"/>
  <c r="F48" i="39" s="1"/>
  <c r="E28" i="22"/>
  <c r="C10" i="26"/>
  <c r="C11" i="26" s="1"/>
  <c r="C17" i="27" s="1"/>
  <c r="D44" i="6"/>
  <c r="C29" i="36"/>
  <c r="D29" i="36" s="1"/>
  <c r="C22" i="27"/>
  <c r="D22" i="6"/>
  <c r="C24" i="27"/>
  <c r="C23" i="6"/>
  <c r="C9" i="26" s="1"/>
  <c r="C24" i="36"/>
  <c r="D24" i="36" s="1"/>
  <c r="C22" i="36"/>
  <c r="D22" i="36" s="1"/>
  <c r="D23" i="6"/>
  <c r="D43" i="6"/>
  <c r="D56" i="6"/>
  <c r="D33" i="5"/>
  <c r="C61" i="31"/>
  <c r="D61" i="31" s="1"/>
  <c r="E61" i="31" s="1"/>
  <c r="F61" i="31" s="1"/>
  <c r="G61" i="31" s="1"/>
  <c r="H61" i="31" s="1"/>
  <c r="I61" i="31" s="1"/>
  <c r="J61" i="31" s="1"/>
  <c r="K61" i="31" s="1"/>
  <c r="L61" i="31" s="1"/>
  <c r="M61" i="31" s="1"/>
  <c r="N61" i="31" s="1"/>
  <c r="W19" i="38"/>
  <c r="O15" i="39"/>
  <c r="C18" i="27" s="1"/>
  <c r="B15" i="21"/>
  <c r="O55" i="17"/>
  <c r="E43" i="6"/>
  <c r="Z19" i="38"/>
  <c r="G27" i="6"/>
  <c r="G23" i="7"/>
  <c r="G147" i="31"/>
  <c r="G6" i="38"/>
  <c r="T6" i="38" s="1"/>
  <c r="G7" i="25"/>
  <c r="G13" i="31"/>
  <c r="G73" i="31"/>
  <c r="G115" i="31"/>
  <c r="G33" i="31"/>
  <c r="G53" i="31"/>
  <c r="G93" i="31"/>
  <c r="G136" i="31"/>
  <c r="J14" i="28"/>
  <c r="C101" i="31"/>
  <c r="D101" i="31" s="1"/>
  <c r="E101" i="31" s="1"/>
  <c r="F101" i="31" s="1"/>
  <c r="G101" i="31" s="1"/>
  <c r="H101" i="31" s="1"/>
  <c r="I101" i="31" s="1"/>
  <c r="J101" i="31" s="1"/>
  <c r="K101" i="31" s="1"/>
  <c r="L101" i="31" s="1"/>
  <c r="M101" i="31" s="1"/>
  <c r="N101" i="31" s="1"/>
  <c r="D35" i="5"/>
  <c r="O36" i="22"/>
  <c r="C34" i="7" s="1"/>
  <c r="X48" i="21"/>
  <c r="X17" i="38" s="1"/>
  <c r="T19" i="38"/>
  <c r="G23" i="28"/>
  <c r="AD26" i="21"/>
  <c r="G18" i="6" s="1"/>
  <c r="Q19" i="38"/>
  <c r="X19" i="38"/>
  <c r="P19" i="38"/>
  <c r="U19" i="38"/>
  <c r="G17" i="38"/>
  <c r="D147" i="31"/>
  <c r="D7" i="25"/>
  <c r="D33" i="31"/>
  <c r="D13" i="31"/>
  <c r="D53" i="31"/>
  <c r="D73" i="31"/>
  <c r="G14" i="28"/>
  <c r="D136" i="31"/>
  <c r="D6" i="38"/>
  <c r="Q6" i="38" s="1"/>
  <c r="D115" i="31"/>
  <c r="D93" i="31"/>
  <c r="D34" i="5"/>
  <c r="C81" i="31"/>
  <c r="D81" i="31" s="1"/>
  <c r="E81" i="31" s="1"/>
  <c r="F81" i="31" s="1"/>
  <c r="G81" i="31" s="1"/>
  <c r="H81" i="31" s="1"/>
  <c r="I81" i="31" s="1"/>
  <c r="J81" i="31" s="1"/>
  <c r="K81" i="31" s="1"/>
  <c r="L81" i="31" s="1"/>
  <c r="M81" i="31" s="1"/>
  <c r="N81" i="31" s="1"/>
  <c r="P31" i="17"/>
  <c r="R17" i="28"/>
  <c r="C18" i="37" s="1"/>
  <c r="E18" i="37" s="1"/>
  <c r="G18" i="37" s="1"/>
  <c r="G43" i="6"/>
  <c r="Y19" i="38"/>
  <c r="L17" i="38"/>
  <c r="G25" i="28"/>
  <c r="D25" i="39" s="1"/>
  <c r="D45" i="39" s="1"/>
  <c r="W17" i="38"/>
  <c r="O56" i="39"/>
  <c r="S19" i="38"/>
  <c r="AA19" i="38"/>
  <c r="V19" i="38"/>
  <c r="R19" i="38"/>
  <c r="B47" i="21"/>
  <c r="Q43" i="17"/>
  <c r="Q25" i="17"/>
  <c r="Q37" i="17"/>
  <c r="C55" i="6"/>
  <c r="Q19" i="17"/>
  <c r="Q31" i="17"/>
  <c r="Q49" i="17"/>
  <c r="O31" i="22"/>
  <c r="C29" i="7" s="1"/>
  <c r="C50" i="6" s="1"/>
  <c r="Q42" i="21"/>
  <c r="Q36" i="21"/>
  <c r="Q30" i="21"/>
  <c r="Q24" i="21"/>
  <c r="Q18" i="21"/>
  <c r="Q12" i="21"/>
  <c r="O11" i="25"/>
  <c r="B10" i="38" s="1"/>
  <c r="U49" i="21"/>
  <c r="S9" i="38"/>
  <c r="K147" i="31"/>
  <c r="K115" i="31"/>
  <c r="K73" i="31"/>
  <c r="K136" i="31"/>
  <c r="K13" i="31"/>
  <c r="K33" i="31"/>
  <c r="K53" i="31"/>
  <c r="N14" i="28"/>
  <c r="K6" i="38"/>
  <c r="X6" i="38" s="1"/>
  <c r="K93" i="31"/>
  <c r="K7" i="25"/>
  <c r="O21" i="21"/>
  <c r="O45" i="21"/>
  <c r="S49" i="21"/>
  <c r="Q9" i="38"/>
  <c r="AD25" i="21"/>
  <c r="V47" i="21"/>
  <c r="K10" i="38"/>
  <c r="I9" i="38"/>
  <c r="I49" i="21"/>
  <c r="J10" i="38"/>
  <c r="H49" i="21"/>
  <c r="H9" i="38"/>
  <c r="I147" i="31"/>
  <c r="I136" i="31"/>
  <c r="I53" i="31"/>
  <c r="I7" i="25"/>
  <c r="I6" i="38"/>
  <c r="V6" i="38" s="1"/>
  <c r="I33" i="31"/>
  <c r="I13" i="31"/>
  <c r="I115" i="31"/>
  <c r="I73" i="31"/>
  <c r="L14" i="28"/>
  <c r="I93" i="31"/>
  <c r="E9" i="6"/>
  <c r="P21" i="21"/>
  <c r="P20" i="21"/>
  <c r="E22" i="6"/>
  <c r="D26" i="27" s="1"/>
  <c r="G9" i="38"/>
  <c r="G49" i="21"/>
  <c r="I10" i="38"/>
  <c r="R21" i="21"/>
  <c r="AD19" i="21"/>
  <c r="F17" i="38"/>
  <c r="I17" i="38"/>
  <c r="O33" i="21"/>
  <c r="V21" i="21"/>
  <c r="AD32" i="21"/>
  <c r="G19" i="6" s="1"/>
  <c r="AA9" i="38"/>
  <c r="AC49" i="21"/>
  <c r="X27" i="21"/>
  <c r="AD27" i="21" s="1"/>
  <c r="N17" i="38"/>
  <c r="O24" i="39"/>
  <c r="U9" i="38"/>
  <c r="W49" i="21"/>
  <c r="E17" i="38"/>
  <c r="I14" i="28"/>
  <c r="F53" i="31"/>
  <c r="F115" i="31"/>
  <c r="F73" i="31"/>
  <c r="F147" i="31"/>
  <c r="F93" i="31"/>
  <c r="F136" i="31"/>
  <c r="F13" i="31"/>
  <c r="F33" i="31"/>
  <c r="F6" i="38"/>
  <c r="S6" i="38" s="1"/>
  <c r="F7" i="25"/>
  <c r="C49" i="21"/>
  <c r="E10" i="38"/>
  <c r="C9" i="38"/>
  <c r="C11" i="38" s="1"/>
  <c r="O47" i="21"/>
  <c r="D10" i="38"/>
  <c r="P45" i="21"/>
  <c r="E13" i="6"/>
  <c r="P44" i="21"/>
  <c r="T15" i="21"/>
  <c r="T47" i="21"/>
  <c r="S10" i="38" s="1"/>
  <c r="U17" i="38"/>
  <c r="R33" i="21"/>
  <c r="AD31" i="21"/>
  <c r="M10" i="38"/>
  <c r="K9" i="38"/>
  <c r="K49" i="21"/>
  <c r="D150" i="31"/>
  <c r="E149" i="31" s="1"/>
  <c r="D47" i="39"/>
  <c r="P10" i="38"/>
  <c r="M9" i="38"/>
  <c r="M49" i="21"/>
  <c r="P14" i="21"/>
  <c r="E8" i="6"/>
  <c r="P15" i="21"/>
  <c r="F10" i="38"/>
  <c r="D9" i="38"/>
  <c r="D11" i="38" s="1"/>
  <c r="D49" i="21"/>
  <c r="N147" i="31"/>
  <c r="N136" i="31"/>
  <c r="N115" i="31"/>
  <c r="N53" i="31"/>
  <c r="N13" i="31"/>
  <c r="N33" i="31"/>
  <c r="N93" i="31"/>
  <c r="N7" i="25"/>
  <c r="N73" i="31"/>
  <c r="N6" i="38"/>
  <c r="AA6" i="38" s="1"/>
  <c r="Q14" i="28"/>
  <c r="E147" i="31"/>
  <c r="E6" i="38"/>
  <c r="R6" i="38" s="1"/>
  <c r="E13" i="31"/>
  <c r="E115" i="31"/>
  <c r="E136" i="31"/>
  <c r="H14" i="28"/>
  <c r="E73" i="31"/>
  <c r="E7" i="25"/>
  <c r="E93" i="31"/>
  <c r="E53" i="31"/>
  <c r="E33" i="31"/>
  <c r="AD44" i="21"/>
  <c r="G21" i="6" s="1"/>
  <c r="E31" i="5"/>
  <c r="C25" i="31"/>
  <c r="D25" i="31" s="1"/>
  <c r="E25" i="31" s="1"/>
  <c r="F25" i="31" s="1"/>
  <c r="G25" i="31" s="1"/>
  <c r="H25" i="31" s="1"/>
  <c r="I25" i="31" s="1"/>
  <c r="J25" i="31" s="1"/>
  <c r="K25" i="31" s="1"/>
  <c r="L25" i="31" s="1"/>
  <c r="M25" i="31" s="1"/>
  <c r="N25" i="31" s="1"/>
  <c r="F31" i="5" s="1"/>
  <c r="AD13" i="21"/>
  <c r="J147" i="31"/>
  <c r="J136" i="31"/>
  <c r="J33" i="31"/>
  <c r="J115" i="31"/>
  <c r="J73" i="31"/>
  <c r="J13" i="31"/>
  <c r="J7" i="25"/>
  <c r="J6" i="38"/>
  <c r="W6" i="38" s="1"/>
  <c r="J93" i="31"/>
  <c r="J53" i="31"/>
  <c r="M14" i="28"/>
  <c r="Y45" i="21"/>
  <c r="AD20" i="21"/>
  <c r="G17" i="6" s="1"/>
  <c r="Y17" i="38"/>
  <c r="X39" i="21"/>
  <c r="J17" i="38"/>
  <c r="R48" i="21"/>
  <c r="R49" i="21" s="1"/>
  <c r="C115" i="31"/>
  <c r="C93" i="31"/>
  <c r="C13" i="31"/>
  <c r="C7" i="25"/>
  <c r="C33" i="31"/>
  <c r="C147" i="31"/>
  <c r="F14" i="28"/>
  <c r="C136" i="31"/>
  <c r="C73" i="31"/>
  <c r="C6" i="38"/>
  <c r="P6" i="38" s="1"/>
  <c r="C53" i="31"/>
  <c r="P39" i="21"/>
  <c r="P38" i="21"/>
  <c r="E12" i="6"/>
  <c r="C19" i="36"/>
  <c r="D19" i="36" s="1"/>
  <c r="C19" i="26"/>
  <c r="C17" i="26"/>
  <c r="C21" i="25"/>
  <c r="C25" i="39"/>
  <c r="E49" i="21"/>
  <c r="E9" i="38"/>
  <c r="E11" i="38" s="1"/>
  <c r="G10" i="38"/>
  <c r="AB15" i="21"/>
  <c r="AB47" i="21"/>
  <c r="Z33" i="21"/>
  <c r="N9" i="38"/>
  <c r="N49" i="21"/>
  <c r="Q10" i="38"/>
  <c r="O48" i="21"/>
  <c r="C17" i="38"/>
  <c r="AA47" i="21"/>
  <c r="E10" i="6"/>
  <c r="P26" i="21"/>
  <c r="P27" i="21"/>
  <c r="F28" i="22"/>
  <c r="C57" i="39"/>
  <c r="P9" i="38"/>
  <c r="R10" i="38"/>
  <c r="L147" i="31"/>
  <c r="L93" i="31"/>
  <c r="L7" i="25"/>
  <c r="L136" i="31"/>
  <c r="L13" i="31"/>
  <c r="O14" i="28"/>
  <c r="L33" i="31"/>
  <c r="L73" i="31"/>
  <c r="L53" i="31"/>
  <c r="L115" i="31"/>
  <c r="L6" i="38"/>
  <c r="Y6" i="38" s="1"/>
  <c r="O15" i="21"/>
  <c r="H147" i="31"/>
  <c r="H136" i="31"/>
  <c r="H115" i="31"/>
  <c r="H13" i="31"/>
  <c r="H33" i="31"/>
  <c r="H73" i="31"/>
  <c r="H53" i="31"/>
  <c r="H6" i="38"/>
  <c r="U6" i="38" s="1"/>
  <c r="K14" i="28"/>
  <c r="H93" i="31"/>
  <c r="H7" i="25"/>
  <c r="C45" i="31"/>
  <c r="D45" i="31" s="1"/>
  <c r="E45" i="31" s="1"/>
  <c r="F45" i="31" s="1"/>
  <c r="G45" i="31" s="1"/>
  <c r="H45" i="31" s="1"/>
  <c r="I45" i="31" s="1"/>
  <c r="J45" i="31" s="1"/>
  <c r="K45" i="31" s="1"/>
  <c r="L45" i="31" s="1"/>
  <c r="M45" i="31" s="1"/>
  <c r="N45" i="31" s="1"/>
  <c r="F32" i="5" s="1"/>
  <c r="E32" i="5"/>
  <c r="H15" i="28"/>
  <c r="H23" i="28" s="1"/>
  <c r="I8" i="28"/>
  <c r="H16" i="28"/>
  <c r="H12" i="28"/>
  <c r="Z21" i="21"/>
  <c r="AB39" i="21"/>
  <c r="J9" i="38"/>
  <c r="J49" i="21"/>
  <c r="L10" i="38"/>
  <c r="E11" i="6"/>
  <c r="P32" i="21"/>
  <c r="P33" i="21"/>
  <c r="AD46" i="21"/>
  <c r="V33" i="21"/>
  <c r="G139" i="31"/>
  <c r="H138" i="31" s="1"/>
  <c r="AD37" i="21"/>
  <c r="Z47" i="21"/>
  <c r="Y10" i="38" s="1"/>
  <c r="Y49" i="21"/>
  <c r="W9" i="38"/>
  <c r="M147" i="31"/>
  <c r="M115" i="31"/>
  <c r="M7" i="25"/>
  <c r="M53" i="31"/>
  <c r="M13" i="31"/>
  <c r="M6" i="38"/>
  <c r="Z6" i="38" s="1"/>
  <c r="M33" i="31"/>
  <c r="M73" i="31"/>
  <c r="M136" i="31"/>
  <c r="P14" i="28"/>
  <c r="M93" i="31"/>
  <c r="X15" i="21"/>
  <c r="X47" i="21"/>
  <c r="W10" i="38" s="1"/>
  <c r="U45" i="21"/>
  <c r="AD14" i="21"/>
  <c r="G16" i="6" s="1"/>
  <c r="H17" i="38"/>
  <c r="O39" i="21"/>
  <c r="B9" i="38"/>
  <c r="O12" i="25"/>
  <c r="L9" i="38"/>
  <c r="L49" i="21"/>
  <c r="N10" i="38"/>
  <c r="N11" i="38" s="1"/>
  <c r="AB48" i="21"/>
  <c r="Z17" i="38" s="1"/>
  <c r="F9" i="38"/>
  <c r="H10" i="38"/>
  <c r="F49" i="21"/>
  <c r="AD43" i="21"/>
  <c r="R45" i="21"/>
  <c r="O27" i="21"/>
  <c r="AB19" i="38" l="1"/>
  <c r="P31" i="21"/>
  <c r="G117" i="31"/>
  <c r="G119" i="31" s="1"/>
  <c r="P13" i="21"/>
  <c r="D21" i="25"/>
  <c r="T17" i="38"/>
  <c r="D30" i="5"/>
  <c r="AD39" i="21"/>
  <c r="V17" i="38"/>
  <c r="D59" i="6"/>
  <c r="C16" i="27"/>
  <c r="C19" i="27"/>
  <c r="D15" i="27"/>
  <c r="O17" i="38"/>
  <c r="AD45" i="21"/>
  <c r="L11" i="38"/>
  <c r="AD15" i="21"/>
  <c r="AD47" i="21"/>
  <c r="AF37" i="21" s="1"/>
  <c r="Q44" i="21"/>
  <c r="Q38" i="21"/>
  <c r="Q32" i="21"/>
  <c r="Q26" i="21"/>
  <c r="Q20" i="21"/>
  <c r="Q14" i="21"/>
  <c r="E33" i="5"/>
  <c r="C65" i="31"/>
  <c r="D65" i="31" s="1"/>
  <c r="E65" i="31" s="1"/>
  <c r="F65" i="31" s="1"/>
  <c r="G65" i="31" s="1"/>
  <c r="H65" i="31" s="1"/>
  <c r="I65" i="31" s="1"/>
  <c r="J65" i="31" s="1"/>
  <c r="K65" i="31" s="1"/>
  <c r="L65" i="31" s="1"/>
  <c r="M65" i="31" s="1"/>
  <c r="N65" i="31" s="1"/>
  <c r="F33" i="5" s="1"/>
  <c r="E35" i="5"/>
  <c r="C105" i="31"/>
  <c r="D105" i="31" s="1"/>
  <c r="E105" i="31" s="1"/>
  <c r="F105" i="31" s="1"/>
  <c r="G105" i="31" s="1"/>
  <c r="H105" i="31" s="1"/>
  <c r="I105" i="31" s="1"/>
  <c r="J105" i="31" s="1"/>
  <c r="K105" i="31" s="1"/>
  <c r="L105" i="31" s="1"/>
  <c r="M105" i="31" s="1"/>
  <c r="N105" i="31" s="1"/>
  <c r="F35" i="5" s="1"/>
  <c r="Q45" i="17"/>
  <c r="Q39" i="17"/>
  <c r="Q27" i="17"/>
  <c r="Q33" i="17"/>
  <c r="Q51" i="17"/>
  <c r="Q21" i="17"/>
  <c r="B49" i="21"/>
  <c r="M11" i="38"/>
  <c r="P43" i="21"/>
  <c r="E55" i="6"/>
  <c r="Q43" i="21"/>
  <c r="Q37" i="21"/>
  <c r="Q31" i="21"/>
  <c r="Q25" i="21"/>
  <c r="Q19" i="21"/>
  <c r="Q13" i="21"/>
  <c r="P19" i="21"/>
  <c r="E34" i="5"/>
  <c r="C85" i="31"/>
  <c r="D85" i="31" s="1"/>
  <c r="E85" i="31" s="1"/>
  <c r="F85" i="31" s="1"/>
  <c r="G85" i="31" s="1"/>
  <c r="H85" i="31" s="1"/>
  <c r="I85" i="31" s="1"/>
  <c r="J85" i="31" s="1"/>
  <c r="K85" i="31" s="1"/>
  <c r="L85" i="31" s="1"/>
  <c r="M85" i="31" s="1"/>
  <c r="N85" i="31" s="1"/>
  <c r="F34" i="5" s="1"/>
  <c r="AF36" i="21"/>
  <c r="AF18" i="21"/>
  <c r="AF30" i="21"/>
  <c r="AF12" i="21"/>
  <c r="AF42" i="21"/>
  <c r="AF24" i="21"/>
  <c r="G55" i="6"/>
  <c r="AF43" i="21"/>
  <c r="AF25" i="21"/>
  <c r="AF19" i="21"/>
  <c r="G13" i="6"/>
  <c r="AE45" i="21"/>
  <c r="AE44" i="21"/>
  <c r="G12" i="6"/>
  <c r="AE39" i="21"/>
  <c r="AE38" i="21"/>
  <c r="I15" i="28"/>
  <c r="I12" i="28"/>
  <c r="I16" i="28"/>
  <c r="J8" i="28"/>
  <c r="P11" i="38"/>
  <c r="AD33" i="21"/>
  <c r="D10" i="5"/>
  <c r="B11" i="38"/>
  <c r="O49" i="21"/>
  <c r="C58" i="39"/>
  <c r="C29" i="25"/>
  <c r="C30" i="25" s="1"/>
  <c r="C31" i="25" s="1"/>
  <c r="AE14" i="21"/>
  <c r="G8" i="6"/>
  <c r="AE15" i="21"/>
  <c r="F11" i="38"/>
  <c r="K11" i="38"/>
  <c r="J11" i="38"/>
  <c r="T9" i="38"/>
  <c r="V49" i="21"/>
  <c r="V10" i="38"/>
  <c r="U10" i="38"/>
  <c r="U11" i="38" s="1"/>
  <c r="Q17" i="38"/>
  <c r="E14" i="6"/>
  <c r="F57" i="6" s="1"/>
  <c r="G22" i="6"/>
  <c r="E26" i="27" s="1"/>
  <c r="W11" i="38"/>
  <c r="H25" i="28"/>
  <c r="P25" i="21"/>
  <c r="AA17" i="38"/>
  <c r="E150" i="31"/>
  <c r="F149" i="31" s="1"/>
  <c r="E47" i="39"/>
  <c r="T49" i="21"/>
  <c r="T10" i="38"/>
  <c r="R9" i="38"/>
  <c r="R11" i="38" s="1"/>
  <c r="AE21" i="21"/>
  <c r="AE20" i="21"/>
  <c r="G9" i="6"/>
  <c r="G11" i="38"/>
  <c r="AE26" i="21"/>
  <c r="G10" i="6"/>
  <c r="AE27" i="21"/>
  <c r="AA10" i="38"/>
  <c r="AA11" i="38" s="1"/>
  <c r="Y9" i="38"/>
  <c r="Y11" i="38" s="1"/>
  <c r="AA49" i="21"/>
  <c r="AD48" i="21"/>
  <c r="P17" i="38"/>
  <c r="O9" i="38"/>
  <c r="X49" i="21"/>
  <c r="V9" i="38"/>
  <c r="X10" i="38"/>
  <c r="X9" i="38"/>
  <c r="Z49" i="21"/>
  <c r="Z10" i="38"/>
  <c r="H139" i="31"/>
  <c r="I138" i="31" s="1"/>
  <c r="AB49" i="21"/>
  <c r="Z9" i="38"/>
  <c r="C36" i="36"/>
  <c r="D36" i="36" s="1"/>
  <c r="C20" i="26"/>
  <c r="P37" i="21"/>
  <c r="AE32" i="21"/>
  <c r="AE33" i="21"/>
  <c r="G11" i="6"/>
  <c r="O10" i="38"/>
  <c r="O11" i="38" s="1"/>
  <c r="C45" i="39"/>
  <c r="AD21" i="21"/>
  <c r="R17" i="38"/>
  <c r="H11" i="38"/>
  <c r="I11" i="38"/>
  <c r="Q11" i="38"/>
  <c r="S11" i="38"/>
  <c r="Z11" i="38" l="1"/>
  <c r="E30" i="5"/>
  <c r="AD49" i="21"/>
  <c r="AF39" i="21" s="1"/>
  <c r="AF31" i="21"/>
  <c r="AF13" i="21"/>
  <c r="AB10" i="38"/>
  <c r="AB17" i="38"/>
  <c r="F30" i="5" s="1"/>
  <c r="Q45" i="21"/>
  <c r="Q39" i="21"/>
  <c r="Q33" i="21"/>
  <c r="Q27" i="21"/>
  <c r="Q21" i="21"/>
  <c r="Q15" i="21"/>
  <c r="AE19" i="21"/>
  <c r="AF44" i="21"/>
  <c r="AF38" i="21"/>
  <c r="AF32" i="21"/>
  <c r="AF26" i="21"/>
  <c r="AF20" i="21"/>
  <c r="AF14" i="21"/>
  <c r="AF27" i="21"/>
  <c r="AF21" i="21"/>
  <c r="C64" i="39"/>
  <c r="C65" i="39" s="1"/>
  <c r="AB9" i="38"/>
  <c r="AB11" i="38" s="1"/>
  <c r="V11" i="38"/>
  <c r="AE25" i="21"/>
  <c r="H117" i="31"/>
  <c r="G28" i="22"/>
  <c r="G48" i="39"/>
  <c r="AE13" i="21"/>
  <c r="G14" i="6"/>
  <c r="H57" i="6" s="1"/>
  <c r="AE31" i="21"/>
  <c r="F150" i="31"/>
  <c r="G149" i="31" s="1"/>
  <c r="F47" i="39"/>
  <c r="E21" i="25"/>
  <c r="E25" i="39"/>
  <c r="F23" i="6"/>
  <c r="D24" i="27"/>
  <c r="D16" i="27"/>
  <c r="D18" i="27"/>
  <c r="F59" i="6"/>
  <c r="E23" i="6"/>
  <c r="F43" i="6"/>
  <c r="F56" i="6"/>
  <c r="F44" i="6"/>
  <c r="E15" i="27"/>
  <c r="D22" i="27"/>
  <c r="D19" i="27"/>
  <c r="D17" i="27"/>
  <c r="F22" i="6"/>
  <c r="T11" i="38"/>
  <c r="C32" i="25"/>
  <c r="C34" i="25" s="1"/>
  <c r="D26" i="25" s="1"/>
  <c r="I23" i="28"/>
  <c r="I25" i="28" s="1"/>
  <c r="AE43" i="21"/>
  <c r="I139" i="31"/>
  <c r="J138" i="31" s="1"/>
  <c r="X11" i="38"/>
  <c r="E10" i="5"/>
  <c r="C25" i="27"/>
  <c r="J15" i="28"/>
  <c r="J12" i="28"/>
  <c r="K8" i="28"/>
  <c r="J16" i="28"/>
  <c r="AE37" i="21"/>
  <c r="AF33" i="21" l="1"/>
  <c r="AF45" i="21"/>
  <c r="AF15" i="21"/>
  <c r="C33" i="25"/>
  <c r="D8" i="25" s="1"/>
  <c r="D31" i="25" s="1"/>
  <c r="D32" i="25" s="1"/>
  <c r="D25" i="27"/>
  <c r="F10" i="5"/>
  <c r="E25" i="27" s="1"/>
  <c r="F25" i="39"/>
  <c r="F45" i="39" s="1"/>
  <c r="F21" i="25"/>
  <c r="D55" i="39"/>
  <c r="D35" i="22"/>
  <c r="D37" i="22" s="1"/>
  <c r="D38" i="22" s="1"/>
  <c r="D29" i="25"/>
  <c r="D30" i="25" s="1"/>
  <c r="E45" i="39"/>
  <c r="G150" i="31"/>
  <c r="H149" i="31" s="1"/>
  <c r="G47" i="39"/>
  <c r="H119" i="31"/>
  <c r="J23" i="28"/>
  <c r="J25" i="28" s="1"/>
  <c r="K16" i="28"/>
  <c r="L8" i="28"/>
  <c r="K12" i="28"/>
  <c r="K15" i="28"/>
  <c r="J139" i="31"/>
  <c r="K138" i="31" s="1"/>
  <c r="E17" i="27"/>
  <c r="H43" i="6"/>
  <c r="H23" i="6"/>
  <c r="H44" i="6"/>
  <c r="E16" i="27"/>
  <c r="E24" i="27"/>
  <c r="E22" i="27"/>
  <c r="H59" i="6"/>
  <c r="H22" i="6"/>
  <c r="H56" i="6"/>
  <c r="E18" i="27"/>
  <c r="E19" i="27"/>
  <c r="G23" i="6"/>
  <c r="C59" i="39"/>
  <c r="C60" i="39" s="1"/>
  <c r="I117" i="31" l="1"/>
  <c r="H48" i="39"/>
  <c r="H28" i="22"/>
  <c r="G25" i="39"/>
  <c r="G21" i="25"/>
  <c r="K23" i="28"/>
  <c r="K25" i="28" s="1"/>
  <c r="D33" i="25"/>
  <c r="E8" i="25" s="1"/>
  <c r="D34" i="25"/>
  <c r="E26" i="25" s="1"/>
  <c r="K139" i="31"/>
  <c r="L138" i="31" s="1"/>
  <c r="H150" i="31"/>
  <c r="I149" i="31" s="1"/>
  <c r="H47" i="39"/>
  <c r="L15" i="28"/>
  <c r="L16" i="28"/>
  <c r="L12" i="28"/>
  <c r="M8" i="28"/>
  <c r="D57" i="39"/>
  <c r="D58" i="39" s="1"/>
  <c r="D64" i="39"/>
  <c r="D65" i="39" s="1"/>
  <c r="H21" i="25" l="1"/>
  <c r="H25" i="39"/>
  <c r="H45" i="39" s="1"/>
  <c r="D59" i="39"/>
  <c r="L23" i="28"/>
  <c r="L25" i="28" s="1"/>
  <c r="E55" i="39"/>
  <c r="E35" i="22"/>
  <c r="E37" i="22" s="1"/>
  <c r="E38" i="22" s="1"/>
  <c r="G45" i="39"/>
  <c r="I119" i="31"/>
  <c r="L139" i="31"/>
  <c r="M138" i="31" s="1"/>
  <c r="I150" i="31"/>
  <c r="J149" i="31" s="1"/>
  <c r="I47" i="39"/>
  <c r="M16" i="28"/>
  <c r="M15" i="28"/>
  <c r="N8" i="28"/>
  <c r="M12" i="28"/>
  <c r="M23" i="28" l="1"/>
  <c r="I28" i="22"/>
  <c r="J117" i="31"/>
  <c r="I48" i="39"/>
  <c r="D60" i="39"/>
  <c r="I21" i="25"/>
  <c r="I25" i="39"/>
  <c r="E57" i="39"/>
  <c r="E58" i="39" s="1"/>
  <c r="E64" i="39"/>
  <c r="E65" i="39" s="1"/>
  <c r="E59" i="39" s="1"/>
  <c r="E22" i="25" s="1"/>
  <c r="E29" i="25" s="1"/>
  <c r="E30" i="25" s="1"/>
  <c r="J150" i="31"/>
  <c r="K149" i="31" s="1"/>
  <c r="J47" i="39"/>
  <c r="M25" i="28"/>
  <c r="N15" i="28"/>
  <c r="O8" i="28"/>
  <c r="N12" i="28"/>
  <c r="N16" i="28"/>
  <c r="M139" i="31"/>
  <c r="N138" i="31" s="1"/>
  <c r="N23" i="28" l="1"/>
  <c r="N25" i="28" s="1"/>
  <c r="P8" i="28"/>
  <c r="O16" i="28"/>
  <c r="O12" i="28"/>
  <c r="O15" i="28"/>
  <c r="K150" i="31"/>
  <c r="L149" i="31" s="1"/>
  <c r="K47" i="39"/>
  <c r="I45" i="39"/>
  <c r="J119" i="31"/>
  <c r="N139" i="31"/>
  <c r="C141" i="31" s="1"/>
  <c r="O138" i="31"/>
  <c r="J21" i="25"/>
  <c r="J25" i="39"/>
  <c r="J45" i="39" s="1"/>
  <c r="E60" i="39"/>
  <c r="E31" i="25"/>
  <c r="K25" i="39" l="1"/>
  <c r="K45" i="39" s="1"/>
  <c r="K21" i="25"/>
  <c r="O23" i="28"/>
  <c r="O25" i="28"/>
  <c r="J48" i="39"/>
  <c r="J28" i="22"/>
  <c r="K117" i="31"/>
  <c r="K119" i="31" s="1"/>
  <c r="C142" i="31"/>
  <c r="D141" i="31" s="1"/>
  <c r="D142" i="31" s="1"/>
  <c r="E141" i="31" s="1"/>
  <c r="E142" i="31" s="1"/>
  <c r="F141" i="31" s="1"/>
  <c r="F142" i="31" s="1"/>
  <c r="G141" i="31" s="1"/>
  <c r="G142" i="31" s="1"/>
  <c r="H141" i="31" s="1"/>
  <c r="H142" i="31" s="1"/>
  <c r="I141" i="31" s="1"/>
  <c r="I142" i="31" s="1"/>
  <c r="J141" i="31" s="1"/>
  <c r="J142" i="31" s="1"/>
  <c r="K141" i="31" s="1"/>
  <c r="K142" i="31" s="1"/>
  <c r="L141" i="31" s="1"/>
  <c r="L142" i="31" s="1"/>
  <c r="M141" i="31" s="1"/>
  <c r="M142" i="31" s="1"/>
  <c r="N141" i="31" s="1"/>
  <c r="N142" i="31" s="1"/>
  <c r="C144" i="31" s="1"/>
  <c r="L150" i="31"/>
  <c r="M149" i="31" s="1"/>
  <c r="L47" i="39"/>
  <c r="P15" i="28"/>
  <c r="Q8" i="28"/>
  <c r="P16" i="28"/>
  <c r="P12" i="28"/>
  <c r="E32" i="25"/>
  <c r="E33" i="25" s="1"/>
  <c r="F8" i="25" s="1"/>
  <c r="P23" i="28" l="1"/>
  <c r="P25" i="28"/>
  <c r="M21" i="25" s="1"/>
  <c r="Q16" i="28"/>
  <c r="R16" i="28" s="1"/>
  <c r="C17" i="37" s="1"/>
  <c r="E17" i="37" s="1"/>
  <c r="G17" i="37" s="1"/>
  <c r="Q15" i="28"/>
  <c r="Q12" i="28"/>
  <c r="R8" i="28"/>
  <c r="O141" i="31"/>
  <c r="C145" i="31"/>
  <c r="D144" i="31" s="1"/>
  <c r="D145" i="31" s="1"/>
  <c r="E144" i="31" s="1"/>
  <c r="E145" i="31" s="1"/>
  <c r="F144" i="31" s="1"/>
  <c r="F145" i="31" s="1"/>
  <c r="G144" i="31" s="1"/>
  <c r="G145" i="31" s="1"/>
  <c r="H144" i="31" s="1"/>
  <c r="H145" i="31" s="1"/>
  <c r="I144" i="31" s="1"/>
  <c r="I145" i="31" s="1"/>
  <c r="J144" i="31" s="1"/>
  <c r="J145" i="31" s="1"/>
  <c r="K144" i="31" s="1"/>
  <c r="K145" i="31" s="1"/>
  <c r="L144" i="31" s="1"/>
  <c r="L145" i="31" s="1"/>
  <c r="M144" i="31" s="1"/>
  <c r="M145" i="31" s="1"/>
  <c r="N144" i="31" s="1"/>
  <c r="N145" i="31" s="1"/>
  <c r="M25" i="39"/>
  <c r="M45" i="39" s="1"/>
  <c r="M150" i="31"/>
  <c r="N149" i="31" s="1"/>
  <c r="M47" i="39"/>
  <c r="K48" i="39"/>
  <c r="L117" i="31"/>
  <c r="L119" i="31" s="1"/>
  <c r="K28" i="22"/>
  <c r="L21" i="25"/>
  <c r="L25" i="39"/>
  <c r="L45" i="39" s="1"/>
  <c r="E34" i="25"/>
  <c r="F26" i="25" s="1"/>
  <c r="C9" i="37" l="1"/>
  <c r="R12" i="28"/>
  <c r="C20" i="36"/>
  <c r="D20" i="36" s="1"/>
  <c r="N150" i="31"/>
  <c r="C152" i="31" s="1"/>
  <c r="O149" i="31"/>
  <c r="C46" i="6" s="1"/>
  <c r="N47" i="39"/>
  <c r="O47" i="39" s="1"/>
  <c r="O144" i="31"/>
  <c r="Q23" i="28"/>
  <c r="Q25" i="28" s="1"/>
  <c r="R15" i="28"/>
  <c r="M117" i="31"/>
  <c r="M119" i="31" s="1"/>
  <c r="L28" i="22"/>
  <c r="L48" i="39"/>
  <c r="F29" i="25"/>
  <c r="F35" i="22"/>
  <c r="F55" i="39"/>
  <c r="F64" i="39" s="1"/>
  <c r="N21" i="25" l="1"/>
  <c r="O21" i="25" s="1"/>
  <c r="B20" i="38" s="1"/>
  <c r="N25" i="39"/>
  <c r="N117" i="31"/>
  <c r="M28" i="22"/>
  <c r="M48" i="39"/>
  <c r="R23" i="28"/>
  <c r="R25" i="28" s="1"/>
  <c r="C16" i="37"/>
  <c r="E9" i="37"/>
  <c r="C13" i="37"/>
  <c r="C153" i="31"/>
  <c r="D152" i="31" s="1"/>
  <c r="D153" i="31" s="1"/>
  <c r="E152" i="31" s="1"/>
  <c r="E153" i="31" s="1"/>
  <c r="F152" i="31" s="1"/>
  <c r="F153" i="31" s="1"/>
  <c r="G152" i="31" s="1"/>
  <c r="G153" i="31" s="1"/>
  <c r="H152" i="31" s="1"/>
  <c r="H153" i="31" s="1"/>
  <c r="I152" i="31" s="1"/>
  <c r="I153" i="31" s="1"/>
  <c r="J152" i="31" s="1"/>
  <c r="J153" i="31" s="1"/>
  <c r="K152" i="31" s="1"/>
  <c r="K153" i="31" s="1"/>
  <c r="L152" i="31" s="1"/>
  <c r="L153" i="31" s="1"/>
  <c r="M152" i="31" s="1"/>
  <c r="M153" i="31" s="1"/>
  <c r="N152" i="31" s="1"/>
  <c r="N153" i="31" s="1"/>
  <c r="C155" i="31" s="1"/>
  <c r="F57" i="39"/>
  <c r="F65" i="39"/>
  <c r="F37" i="22"/>
  <c r="F30" i="25"/>
  <c r="C13" i="26" l="1"/>
  <c r="C24" i="6"/>
  <c r="C44" i="6" s="1"/>
  <c r="C156" i="31"/>
  <c r="D155" i="31" s="1"/>
  <c r="D156" i="31" s="1"/>
  <c r="E155" i="31" s="1"/>
  <c r="E156" i="31" s="1"/>
  <c r="F155" i="31" s="1"/>
  <c r="F156" i="31" s="1"/>
  <c r="G155" i="31" s="1"/>
  <c r="G156" i="31" s="1"/>
  <c r="H155" i="31" s="1"/>
  <c r="H156" i="31" s="1"/>
  <c r="I155" i="31" s="1"/>
  <c r="I156" i="31" s="1"/>
  <c r="J155" i="31" s="1"/>
  <c r="J156" i="31" s="1"/>
  <c r="K155" i="31" s="1"/>
  <c r="K156" i="31" s="1"/>
  <c r="L155" i="31" s="1"/>
  <c r="L156" i="31" s="1"/>
  <c r="M155" i="31" s="1"/>
  <c r="M156" i="31" s="1"/>
  <c r="N155" i="31" s="1"/>
  <c r="N156" i="31" s="1"/>
  <c r="G9" i="37"/>
  <c r="G13" i="37" s="1"/>
  <c r="E13" i="37"/>
  <c r="N45" i="39"/>
  <c r="O45" i="39" s="1"/>
  <c r="O25" i="39"/>
  <c r="O152" i="31"/>
  <c r="E46" i="6" s="1"/>
  <c r="E16" i="37"/>
  <c r="C24" i="37"/>
  <c r="C26" i="37" s="1"/>
  <c r="N119" i="31"/>
  <c r="O117" i="31"/>
  <c r="F31" i="25"/>
  <c r="F59" i="39"/>
  <c r="F38" i="22"/>
  <c r="F58" i="39"/>
  <c r="O155" i="31" l="1"/>
  <c r="G46" i="6" s="1"/>
  <c r="E24" i="37"/>
  <c r="G16" i="37"/>
  <c r="G24" i="37" s="1"/>
  <c r="G26" i="37" s="1"/>
  <c r="E26" i="37"/>
  <c r="N48" i="39"/>
  <c r="O48" i="39" s="1"/>
  <c r="C121" i="31"/>
  <c r="N28" i="22"/>
  <c r="O28" i="22" s="1"/>
  <c r="C26" i="7" s="1"/>
  <c r="O119" i="31"/>
  <c r="F60" i="39"/>
  <c r="F32" i="25"/>
  <c r="F33" i="25" s="1"/>
  <c r="G8" i="25" s="1"/>
  <c r="Q20" i="38" l="1"/>
  <c r="V20" i="38"/>
  <c r="AA20" i="38"/>
  <c r="G24" i="6"/>
  <c r="G44" i="6" s="1"/>
  <c r="P20" i="38"/>
  <c r="T20" i="38"/>
  <c r="Z20" i="38"/>
  <c r="Y20" i="38"/>
  <c r="U20" i="38"/>
  <c r="X20" i="38"/>
  <c r="S20" i="38"/>
  <c r="R20" i="38"/>
  <c r="W20" i="38"/>
  <c r="E24" i="6"/>
  <c r="E44" i="6" s="1"/>
  <c r="J20" i="38"/>
  <c r="F20" i="38"/>
  <c r="M20" i="38"/>
  <c r="C20" i="38"/>
  <c r="L20" i="38"/>
  <c r="G20" i="38"/>
  <c r="H20" i="38"/>
  <c r="K20" i="38"/>
  <c r="N20" i="38"/>
  <c r="D20" i="38"/>
  <c r="E20" i="38"/>
  <c r="I20" i="38"/>
  <c r="C123" i="31"/>
  <c r="D25" i="5"/>
  <c r="C47" i="6"/>
  <c r="F34" i="25"/>
  <c r="G26" i="25" s="1"/>
  <c r="D121" i="31" l="1"/>
  <c r="O20" i="38"/>
  <c r="AB20" i="38"/>
  <c r="G29" i="25"/>
  <c r="G35" i="22"/>
  <c r="G55" i="39"/>
  <c r="G64" i="39" s="1"/>
  <c r="D123" i="31" l="1"/>
  <c r="G65" i="39"/>
  <c r="G57" i="39"/>
  <c r="G37" i="22"/>
  <c r="G30" i="25"/>
  <c r="E121" i="31" l="1"/>
  <c r="G38" i="22"/>
  <c r="G58" i="39"/>
  <c r="G31" i="25"/>
  <c r="G59" i="39"/>
  <c r="E123" i="31" l="1"/>
  <c r="G60" i="39"/>
  <c r="G32" i="25"/>
  <c r="G34" i="25" s="1"/>
  <c r="H26" i="25" s="1"/>
  <c r="F121" i="31" l="1"/>
  <c r="H35" i="22"/>
  <c r="H55" i="39"/>
  <c r="H64" i="39" s="1"/>
  <c r="G33" i="25"/>
  <c r="H8" i="25" s="1"/>
  <c r="F123" i="31" l="1"/>
  <c r="H57" i="39"/>
  <c r="H58" i="39" s="1"/>
  <c r="H65" i="39"/>
  <c r="H37" i="22"/>
  <c r="G121" i="31" l="1"/>
  <c r="H59" i="39"/>
  <c r="H60" i="39" s="1"/>
  <c r="H38" i="22"/>
  <c r="G123" i="31" l="1"/>
  <c r="H22" i="25"/>
  <c r="H121" i="31" l="1"/>
  <c r="H123" i="31" s="1"/>
  <c r="I121" i="31" s="1"/>
  <c r="I123" i="31" s="1"/>
  <c r="J121" i="31" s="1"/>
  <c r="J123" i="31" s="1"/>
  <c r="K121" i="31" s="1"/>
  <c r="K123" i="31" s="1"/>
  <c r="L121" i="31" s="1"/>
  <c r="L123" i="31" s="1"/>
  <c r="M121" i="31" s="1"/>
  <c r="M123" i="31" s="1"/>
  <c r="N121" i="31" s="1"/>
  <c r="H29" i="25"/>
  <c r="H30" i="25" s="1"/>
  <c r="H31" i="25" s="1"/>
  <c r="N123" i="31" l="1"/>
  <c r="O121" i="31"/>
  <c r="H32" i="25"/>
  <c r="H34" i="25" s="1"/>
  <c r="I26" i="25" s="1"/>
  <c r="C125" i="31" l="1"/>
  <c r="O123" i="31"/>
  <c r="H33" i="25"/>
  <c r="I8" i="25" s="1"/>
  <c r="I29" i="25"/>
  <c r="I30" i="25" s="1"/>
  <c r="I55" i="39"/>
  <c r="I64" i="39" s="1"/>
  <c r="I35" i="22"/>
  <c r="E47" i="6" l="1"/>
  <c r="E26" i="7"/>
  <c r="E25" i="5"/>
  <c r="C127" i="31"/>
  <c r="I37" i="22"/>
  <c r="I38" i="22" s="1"/>
  <c r="I65" i="39"/>
  <c r="I57" i="39"/>
  <c r="I58" i="39" s="1"/>
  <c r="I31" i="25"/>
  <c r="D125" i="31" l="1"/>
  <c r="I59" i="39"/>
  <c r="I32" i="25"/>
  <c r="I34" i="25" s="1"/>
  <c r="J26" i="25" s="1"/>
  <c r="D127" i="31" l="1"/>
  <c r="J29" i="25"/>
  <c r="J30" i="25" s="1"/>
  <c r="J55" i="39"/>
  <c r="J64" i="39" s="1"/>
  <c r="J35" i="22"/>
  <c r="J37" i="22" s="1"/>
  <c r="J38" i="22" s="1"/>
  <c r="I33" i="25"/>
  <c r="J8" i="25" s="1"/>
  <c r="I60" i="39"/>
  <c r="E125" i="31" l="1"/>
  <c r="J31" i="25"/>
  <c r="J57" i="39"/>
  <c r="J58" i="39" s="1"/>
  <c r="J65" i="39"/>
  <c r="E127" i="31" l="1"/>
  <c r="J32" i="25"/>
  <c r="J34" i="25" s="1"/>
  <c r="K26" i="25" s="1"/>
  <c r="K35" i="22" s="1"/>
  <c r="K37" i="22" s="1"/>
  <c r="K38" i="22" s="1"/>
  <c r="J59" i="39"/>
  <c r="J60" i="39" s="1"/>
  <c r="F125" i="31" l="1"/>
  <c r="J33" i="25"/>
  <c r="K8" i="25" s="1"/>
  <c r="K55" i="39"/>
  <c r="F127" i="31" l="1"/>
  <c r="K64" i="39"/>
  <c r="K65" i="39" s="1"/>
  <c r="K59" i="39" s="1"/>
  <c r="K22" i="25" s="1"/>
  <c r="K57" i="39"/>
  <c r="K58" i="39" s="1"/>
  <c r="G125" i="31" l="1"/>
  <c r="K60" i="39"/>
  <c r="K29" i="25"/>
  <c r="K30" i="25" s="1"/>
  <c r="K31" i="25" s="1"/>
  <c r="G127" i="31" l="1"/>
  <c r="K32" i="25"/>
  <c r="K34" i="25" s="1"/>
  <c r="L26" i="25" s="1"/>
  <c r="H125" i="31" l="1"/>
  <c r="H127" i="31" s="1"/>
  <c r="I125" i="31" s="1"/>
  <c r="I127" i="31" s="1"/>
  <c r="J125" i="31" s="1"/>
  <c r="J127" i="31" s="1"/>
  <c r="K125" i="31" s="1"/>
  <c r="K127" i="31" s="1"/>
  <c r="L125" i="31" s="1"/>
  <c r="L127" i="31" s="1"/>
  <c r="M125" i="31" s="1"/>
  <c r="M127" i="31" s="1"/>
  <c r="N125" i="31" s="1"/>
  <c r="K33" i="25"/>
  <c r="L8" i="25" s="1"/>
  <c r="L35" i="22"/>
  <c r="L37" i="22" s="1"/>
  <c r="L38" i="22" s="1"/>
  <c r="L55" i="39"/>
  <c r="L64" i="39" s="1"/>
  <c r="L29" i="25"/>
  <c r="L30" i="25" s="1"/>
  <c r="N127" i="31" l="1"/>
  <c r="O127" i="31" s="1"/>
  <c r="O125" i="31"/>
  <c r="L31" i="25"/>
  <c r="L32" i="25" s="1"/>
  <c r="L34" i="25" s="1"/>
  <c r="M26" i="25" s="1"/>
  <c r="L57" i="39"/>
  <c r="L58" i="39" s="1"/>
  <c r="L65" i="39"/>
  <c r="G26" i="7" l="1"/>
  <c r="G47" i="6"/>
  <c r="F25" i="5"/>
  <c r="M29" i="25"/>
  <c r="M30" i="25" s="1"/>
  <c r="M55" i="39"/>
  <c r="M64" i="39" s="1"/>
  <c r="M35" i="22"/>
  <c r="M37" i="22" s="1"/>
  <c r="M38" i="22" s="1"/>
  <c r="L59" i="39"/>
  <c r="L33" i="25"/>
  <c r="M8" i="25" s="1"/>
  <c r="M31" i="25" l="1"/>
  <c r="M32" i="25" s="1"/>
  <c r="M34" i="25" s="1"/>
  <c r="N26" i="25" s="1"/>
  <c r="L60" i="39"/>
  <c r="M65" i="39"/>
  <c r="M57" i="39"/>
  <c r="M58" i="39" s="1"/>
  <c r="M33" i="25" l="1"/>
  <c r="N8" i="25" s="1"/>
  <c r="N35" i="22"/>
  <c r="N55" i="39"/>
  <c r="N64" i="39" s="1"/>
  <c r="O26" i="25"/>
  <c r="M59" i="39"/>
  <c r="N65" i="39" l="1"/>
  <c r="N59" i="39" s="1"/>
  <c r="O59" i="39" s="1"/>
  <c r="C58" i="6" s="1"/>
  <c r="N57" i="39"/>
  <c r="O55" i="39"/>
  <c r="C33" i="7"/>
  <c r="C35" i="7" s="1"/>
  <c r="C36" i="7" s="1"/>
  <c r="C54" i="6"/>
  <c r="C56" i="6" s="1"/>
  <c r="C57" i="6" s="1"/>
  <c r="B25" i="38"/>
  <c r="M60" i="39"/>
  <c r="N37" i="22"/>
  <c r="O35" i="22"/>
  <c r="C59" i="6" l="1"/>
  <c r="C21" i="36" s="1"/>
  <c r="D21" i="36" s="1"/>
  <c r="N22" i="25"/>
  <c r="N58" i="39"/>
  <c r="O57" i="39"/>
  <c r="N38" i="22"/>
  <c r="O38" i="22" s="1"/>
  <c r="C14" i="26" s="1"/>
  <c r="C15" i="26" s="1"/>
  <c r="C18" i="26" s="1"/>
  <c r="O37" i="22"/>
  <c r="D40" i="5"/>
  <c r="C23" i="36" l="1"/>
  <c r="D23" i="36" s="1"/>
  <c r="N60" i="39"/>
  <c r="O60" i="39" s="1"/>
  <c r="O58" i="39"/>
  <c r="D42" i="5"/>
  <c r="N29" i="25"/>
  <c r="O22" i="25"/>
  <c r="B21" i="38" s="1"/>
  <c r="N30" i="25" l="1"/>
  <c r="O29" i="25"/>
  <c r="B28" i="38" s="1"/>
  <c r="C20" i="27"/>
  <c r="O30" i="25" l="1"/>
  <c r="B29" i="38" s="1"/>
  <c r="N31" i="25"/>
  <c r="N32" i="25" l="1"/>
  <c r="N34" i="25" l="1"/>
  <c r="O32" i="25"/>
  <c r="N33" i="25"/>
  <c r="B31" i="38" l="1"/>
  <c r="C27" i="36"/>
  <c r="C7" i="38"/>
  <c r="D9" i="5"/>
  <c r="D14" i="5" s="1"/>
  <c r="D26" i="5" s="1"/>
  <c r="D36" i="5"/>
  <c r="D37" i="5" s="1"/>
  <c r="C12" i="27" s="1"/>
  <c r="C33" i="36" s="1"/>
  <c r="D33" i="36" s="1"/>
  <c r="C25" i="38"/>
  <c r="C63" i="6" s="1"/>
  <c r="C28" i="38" l="1"/>
  <c r="C29" i="38" s="1"/>
  <c r="C30" i="38" s="1"/>
  <c r="D27" i="36"/>
  <c r="C28" i="36"/>
  <c r="D28" i="36" s="1"/>
  <c r="C28" i="27"/>
  <c r="C21" i="27"/>
  <c r="C13" i="27"/>
  <c r="C16" i="36" s="1"/>
  <c r="D16" i="36" s="1"/>
  <c r="C9" i="27"/>
  <c r="C10" i="27"/>
  <c r="D43" i="5"/>
  <c r="D45" i="5" s="1"/>
  <c r="C31" i="38" l="1"/>
  <c r="C32" i="38" s="1"/>
  <c r="D7" i="38" s="1"/>
  <c r="C64" i="6"/>
  <c r="D46" i="5"/>
  <c r="C32" i="36"/>
  <c r="D32" i="36" s="1"/>
  <c r="C65" i="6" l="1"/>
  <c r="C33" i="38"/>
  <c r="D25" i="38" s="1"/>
  <c r="D63" i="6" s="1"/>
  <c r="D28" i="38" l="1"/>
  <c r="D29" i="38" s="1"/>
  <c r="D30" i="38" s="1"/>
  <c r="D64" i="6" l="1"/>
  <c r="D31" i="38"/>
  <c r="D33" i="38" l="1"/>
  <c r="E25" i="38" s="1"/>
  <c r="E63" i="6" s="1"/>
  <c r="D32" i="38"/>
  <c r="E7" i="38" s="1"/>
  <c r="D65" i="6"/>
  <c r="E64" i="6" l="1"/>
  <c r="E65" i="6" l="1"/>
  <c r="E21" i="38" l="1"/>
  <c r="E28" i="38" s="1"/>
  <c r="E29" i="38" s="1"/>
  <c r="E30" i="38" s="1"/>
  <c r="E31" i="38" l="1"/>
  <c r="E32" i="38" s="1"/>
  <c r="F7" i="38" s="1"/>
  <c r="E33" i="38" l="1"/>
  <c r="F25" i="38" s="1"/>
  <c r="F63" i="6" s="1"/>
  <c r="F28" i="38" l="1"/>
  <c r="F29" i="38" s="1"/>
  <c r="F30" i="38" s="1"/>
  <c r="F31" i="38" l="1"/>
  <c r="F64" i="6"/>
  <c r="F65" i="6" l="1"/>
  <c r="F33" i="38"/>
  <c r="G25" i="38" s="1"/>
  <c r="G63" i="6" s="1"/>
  <c r="F32" i="38"/>
  <c r="G7" i="38" s="1"/>
  <c r="G28" i="38" l="1"/>
  <c r="G29" i="38" s="1"/>
  <c r="G30" i="38" s="1"/>
  <c r="G64" i="6" l="1"/>
  <c r="G31" i="38"/>
  <c r="G32" i="38" s="1"/>
  <c r="H7" i="38" s="1"/>
  <c r="G33" i="38" l="1"/>
  <c r="H25" i="38" s="1"/>
  <c r="G65" i="6"/>
  <c r="H63" i="6" l="1"/>
  <c r="H64" i="6" s="1"/>
  <c r="H65" i="6" s="1"/>
  <c r="H21" i="38" s="1"/>
  <c r="H28" i="38" s="1"/>
  <c r="H29" i="38" s="1"/>
  <c r="H30" i="38" s="1"/>
  <c r="H31" i="38" l="1"/>
  <c r="H33" i="38" s="1"/>
  <c r="I25" i="38" s="1"/>
  <c r="I63" i="6" s="1"/>
  <c r="I28" i="38" l="1"/>
  <c r="I29" i="38" s="1"/>
  <c r="I64" i="6"/>
  <c r="I65" i="6" s="1"/>
  <c r="H32" i="38"/>
  <c r="I7" i="38" s="1"/>
  <c r="I30" i="38" l="1"/>
  <c r="I31" i="38" l="1"/>
  <c r="I33" i="38" s="1"/>
  <c r="J25" i="38" s="1"/>
  <c r="J63" i="6" s="1"/>
  <c r="I32" i="38" l="1"/>
  <c r="J7" i="38" s="1"/>
  <c r="J28" i="38"/>
  <c r="J29" i="38" s="1"/>
  <c r="J64" i="6"/>
  <c r="J65" i="6" s="1"/>
  <c r="J30" i="38" l="1"/>
  <c r="J31" i="38" s="1"/>
  <c r="J33" i="38" s="1"/>
  <c r="K25" i="38" s="1"/>
  <c r="K63" i="6" l="1"/>
  <c r="K64" i="6" s="1"/>
  <c r="K65" i="6" s="1"/>
  <c r="K21" i="38" s="1"/>
  <c r="K28" i="38" s="1"/>
  <c r="K29" i="38" s="1"/>
  <c r="J32" i="38"/>
  <c r="K7" i="38" s="1"/>
  <c r="K30" i="38" l="1"/>
  <c r="K31" i="38" s="1"/>
  <c r="K33" i="38" s="1"/>
  <c r="L25" i="38" s="1"/>
  <c r="L63" i="6" s="1"/>
  <c r="L64" i="6" l="1"/>
  <c r="L65" i="6" s="1"/>
  <c r="L28" i="38"/>
  <c r="L29" i="38" s="1"/>
  <c r="K32" i="38"/>
  <c r="L7" i="38" s="1"/>
  <c r="L30" i="38" l="1"/>
  <c r="L31" i="38" l="1"/>
  <c r="L33" i="38" s="1"/>
  <c r="M25" i="38" s="1"/>
  <c r="M63" i="6" s="1"/>
  <c r="L32" i="38" l="1"/>
  <c r="M7" i="38" s="1"/>
  <c r="M28" i="38"/>
  <c r="M29" i="38" s="1"/>
  <c r="M64" i="6"/>
  <c r="M65" i="6" s="1"/>
  <c r="M30" i="38" l="1"/>
  <c r="M31" i="38" s="1"/>
  <c r="M33" i="38" s="1"/>
  <c r="N25" i="38" s="1"/>
  <c r="N63" i="6" s="1"/>
  <c r="O25" i="38" l="1"/>
  <c r="M32" i="38"/>
  <c r="N7" i="38" s="1"/>
  <c r="E54" i="6" l="1"/>
  <c r="E56" i="6" s="1"/>
  <c r="E57" i="6" s="1"/>
  <c r="O28" i="38"/>
  <c r="O29" i="38" s="1"/>
  <c r="E33" i="7"/>
  <c r="E35" i="7" s="1"/>
  <c r="E36" i="7" s="1"/>
  <c r="N64" i="6"/>
  <c r="O63" i="6"/>
  <c r="N65" i="6" l="1"/>
  <c r="O64" i="6"/>
  <c r="O65" i="6" l="1"/>
  <c r="E58" i="6" s="1"/>
  <c r="E59" i="6" s="1"/>
  <c r="E40" i="5" s="1"/>
  <c r="E42" i="5" s="1"/>
  <c r="N21" i="38"/>
  <c r="N28" i="38" s="1"/>
  <c r="N29" i="38" s="1"/>
  <c r="N30" i="38" s="1"/>
  <c r="N31" i="38" l="1"/>
  <c r="N32" i="38" s="1"/>
  <c r="D20" i="27"/>
  <c r="P7" i="38" l="1"/>
  <c r="E9" i="5"/>
  <c r="E14" i="5" s="1"/>
  <c r="E26" i="5" s="1"/>
  <c r="N33" i="38"/>
  <c r="O31" i="38"/>
  <c r="E36" i="5" l="1"/>
  <c r="E37" i="5" s="1"/>
  <c r="D12" i="27" s="1"/>
  <c r="P25" i="38"/>
  <c r="C67" i="6" s="1"/>
  <c r="D21" i="27"/>
  <c r="D28" i="27"/>
  <c r="P28" i="38" l="1"/>
  <c r="D13" i="27"/>
  <c r="D9" i="27"/>
  <c r="E43" i="5"/>
  <c r="E45" i="5" s="1"/>
  <c r="E46" i="5" s="1"/>
  <c r="D10" i="27"/>
  <c r="C68" i="6" l="1"/>
  <c r="P29" i="38"/>
  <c r="P30" i="38" l="1"/>
  <c r="C69" i="6"/>
  <c r="P31" i="38" l="1"/>
  <c r="P33" i="38" l="1"/>
  <c r="Q25" i="38" s="1"/>
  <c r="D67" i="6" s="1"/>
  <c r="P32" i="38"/>
  <c r="Q7" i="38" s="1"/>
  <c r="Q28" i="38" l="1"/>
  <c r="D68" i="6" l="1"/>
  <c r="Q29" i="38"/>
  <c r="Q30" i="38" l="1"/>
  <c r="D69" i="6"/>
  <c r="Q31" i="38" l="1"/>
  <c r="Q32" i="38" s="1"/>
  <c r="R7" i="38" s="1"/>
  <c r="Q33" i="38" l="1"/>
  <c r="R25" i="38" s="1"/>
  <c r="E67" i="6" s="1"/>
  <c r="E68" i="6" l="1"/>
  <c r="E69" i="6" l="1"/>
  <c r="R21" i="38" l="1"/>
  <c r="R28" i="38" l="1"/>
  <c r="R29" i="38" l="1"/>
  <c r="R30" i="38" l="1"/>
  <c r="R31" i="38" s="1"/>
  <c r="R32" i="38" l="1"/>
  <c r="S7" i="38" s="1"/>
  <c r="R33" i="38"/>
  <c r="S25" i="38" s="1"/>
  <c r="F67" i="6" s="1"/>
  <c r="S28" i="38" l="1"/>
  <c r="S29" i="38" l="1"/>
  <c r="F68" i="6"/>
  <c r="F69" i="6" l="1"/>
  <c r="S30" i="38"/>
  <c r="S31" i="38" s="1"/>
  <c r="S32" i="38" l="1"/>
  <c r="T7" i="38" s="1"/>
  <c r="S33" i="38"/>
  <c r="T25" i="38" s="1"/>
  <c r="G67" i="6" s="1"/>
  <c r="T28" i="38" l="1"/>
  <c r="G68" i="6" l="1"/>
  <c r="T29" i="38"/>
  <c r="T30" i="38" l="1"/>
  <c r="G69" i="6"/>
  <c r="T31" i="38" l="1"/>
  <c r="T32" i="38" s="1"/>
  <c r="U7" i="38" s="1"/>
  <c r="T33" i="38" l="1"/>
  <c r="U25" i="38" s="1"/>
  <c r="H67" i="6" l="1"/>
  <c r="H68" i="6" s="1"/>
  <c r="H69" i="6" s="1"/>
  <c r="U21" i="38" s="1"/>
  <c r="U28" i="38" s="1"/>
  <c r="U29" i="38" s="1"/>
  <c r="U30" i="38" s="1"/>
  <c r="U31" i="38" s="1"/>
  <c r="U32" i="38" l="1"/>
  <c r="V7" i="38" s="1"/>
  <c r="U33" i="38"/>
  <c r="V25" i="38" s="1"/>
  <c r="I67" i="6" s="1"/>
  <c r="I68" i="6" l="1"/>
  <c r="I69" i="6" s="1"/>
  <c r="V28" i="38"/>
  <c r="V29" i="38" s="1"/>
  <c r="V30" i="38" s="1"/>
  <c r="V31" i="38" s="1"/>
  <c r="V32" i="38" l="1"/>
  <c r="W7" i="38" s="1"/>
  <c r="V33" i="38"/>
  <c r="W25" i="38" s="1"/>
  <c r="J67" i="6" s="1"/>
  <c r="W28" i="38" l="1"/>
  <c r="W29" i="38" s="1"/>
  <c r="W30" i="38" s="1"/>
  <c r="J68" i="6"/>
  <c r="J69" i="6" s="1"/>
  <c r="W31" i="38" l="1"/>
  <c r="W33" i="38" s="1"/>
  <c r="X25" i="38" s="1"/>
  <c r="K67" i="6" l="1"/>
  <c r="K68" i="6" s="1"/>
  <c r="K69" i="6" s="1"/>
  <c r="X21" i="38" s="1"/>
  <c r="X28" i="38" s="1"/>
  <c r="X29" i="38" s="1"/>
  <c r="W32" i="38"/>
  <c r="X7" i="38" s="1"/>
  <c r="X30" i="38" l="1"/>
  <c r="X31" i="38" s="1"/>
  <c r="X33" i="38" s="1"/>
  <c r="Y25" i="38" s="1"/>
  <c r="L67" i="6" s="1"/>
  <c r="X32" i="38" l="1"/>
  <c r="Y7" i="38" s="1"/>
  <c r="Y28" i="38"/>
  <c r="Y29" i="38" s="1"/>
  <c r="L68" i="6"/>
  <c r="L69" i="6" s="1"/>
  <c r="Y30" i="38" l="1"/>
  <c r="Y31" i="38" s="1"/>
  <c r="Y33" i="38" s="1"/>
  <c r="Z25" i="38" s="1"/>
  <c r="M67" i="6" s="1"/>
  <c r="Y32" i="38" l="1"/>
  <c r="Z7" i="38" s="1"/>
  <c r="Z28" i="38"/>
  <c r="Z29" i="38" s="1"/>
  <c r="M68" i="6"/>
  <c r="M69" i="6" s="1"/>
  <c r="Z30" i="38" l="1"/>
  <c r="Z31" i="38" s="1"/>
  <c r="Z33" i="38" s="1"/>
  <c r="AA25" i="38" s="1"/>
  <c r="N67" i="6" s="1"/>
  <c r="Z32" i="38" l="1"/>
  <c r="AA7" i="38" s="1"/>
  <c r="AB25" i="38"/>
  <c r="N68" i="6" l="1"/>
  <c r="O67" i="6"/>
  <c r="G54" i="6"/>
  <c r="G56" i="6" s="1"/>
  <c r="G57" i="6" s="1"/>
  <c r="G33" i="7"/>
  <c r="G35" i="7" s="1"/>
  <c r="G36" i="7" s="1"/>
  <c r="N69" i="6" l="1"/>
  <c r="O68" i="6"/>
  <c r="O69" i="6" l="1"/>
  <c r="G58" i="6" s="1"/>
  <c r="G59" i="6" s="1"/>
  <c r="F40" i="5" s="1"/>
  <c r="F42" i="5" s="1"/>
  <c r="AA21" i="38"/>
  <c r="AA28" i="38" l="1"/>
  <c r="AB21" i="38"/>
  <c r="E20" i="27"/>
  <c r="AA29" i="38" l="1"/>
  <c r="AB28" i="38"/>
  <c r="AB29" i="38" l="1"/>
  <c r="AA30" i="38"/>
  <c r="AA31" i="38" s="1"/>
  <c r="AA32" i="38" l="1"/>
  <c r="F9" i="5" s="1"/>
  <c r="F14" i="5" s="1"/>
  <c r="F26" i="5" s="1"/>
  <c r="AA33" i="38"/>
  <c r="F36" i="5" s="1"/>
  <c r="F37" i="5" s="1"/>
  <c r="E12" i="27" s="1"/>
  <c r="AB31" i="38"/>
  <c r="F43" i="5" l="1"/>
  <c r="F45" i="5" s="1"/>
  <c r="F46" i="5" s="1"/>
  <c r="E9" i="27"/>
  <c r="E13" i="27"/>
  <c r="E10" i="27"/>
  <c r="E21" i="27"/>
  <c r="E2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D7" authorId="0" shapeId="0" xr:uid="{00000000-0006-0000-0100-000001000000}">
      <text>
        <r>
          <rPr>
            <sz val="11"/>
            <color indexed="81"/>
            <rFont val="Gill Sans MT"/>
            <family val="2"/>
          </rPr>
          <t xml:space="preserve">Years of depreciation must be 3 or more for the calculations in this workbook to work correctly. </t>
        </r>
        <r>
          <rPr>
            <sz val="9"/>
            <color indexed="81"/>
            <rFont val="Tahoma"/>
            <family val="2"/>
          </rPr>
          <t xml:space="preserve">
</t>
        </r>
      </text>
    </comment>
    <comment ref="B29" authorId="0" shapeId="0" xr:uid="{00000000-0006-0000-0100-000002000000}">
      <text>
        <r>
          <rPr>
            <sz val="11"/>
            <color indexed="81"/>
            <rFont val="Gill Sans MT"/>
            <family val="2"/>
          </rPr>
          <t xml:space="preserve">Existing businesses should use the calculator at the bottom of this page to determine the Working Capital amount. Calculate the number, then enter it here.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Heather Hendy</author>
    <author>Joseph Clarke</author>
    <author>SCOREUSER</author>
  </authors>
  <commentList>
    <comment ref="F8" authorId="0" shapeId="0" xr:uid="{00000000-0006-0000-0200-000001000000}">
      <text>
        <r>
          <rPr>
            <sz val="10"/>
            <color indexed="81"/>
            <rFont val="Gill Sans MT"/>
            <family val="2"/>
          </rPr>
          <t xml:space="preserve">These cells have been auto-populated, but can be overwritten if your payroll expenses increase over time. To restore the auto-population, enter this formula in the cell: =F[insert row number]. For example, the first row in this section would use: =F8. </t>
        </r>
        <r>
          <rPr>
            <sz val="9"/>
            <color indexed="81"/>
            <rFont val="Tahoma"/>
            <family val="2"/>
          </rPr>
          <t xml:space="preserve">
</t>
        </r>
      </text>
    </comment>
    <comment ref="B14" authorId="0" shapeId="0" xr:uid="{00000000-0006-0000-0200-000002000000}">
      <text>
        <r>
          <rPr>
            <sz val="11"/>
            <color indexed="81"/>
            <rFont val="Gill Sans MT"/>
            <family val="2"/>
          </rPr>
          <t xml:space="preserve">The Wage Base limit is the maximum earned gross income on which a given tax may be imposed. If you are paying a salary above that amount, you'll need to factor that into your calculation. The amounts below are for 2012.
</t>
        </r>
        <r>
          <rPr>
            <sz val="9"/>
            <color indexed="81"/>
            <rFont val="Tahoma"/>
            <family val="2"/>
          </rPr>
          <t xml:space="preserve">
</t>
        </r>
      </text>
    </comment>
    <comment ref="C15" authorId="1" shapeId="0" xr:uid="{00000000-0006-0000-0200-000003000000}">
      <text>
        <r>
          <rPr>
            <sz val="9"/>
            <color indexed="81"/>
            <rFont val="Tahoma"/>
            <charset val="1"/>
          </rPr>
          <t xml:space="preserve">This number will be an approximation of the FICA taxes. If the salaries of individuals exceed the wage base limit, this number will overstate the FICA tax and should be adjusted.
</t>
        </r>
      </text>
    </comment>
    <comment ref="C17" authorId="0" shapeId="0" xr:uid="{00000000-0006-0000-0200-000004000000}">
      <text>
        <r>
          <rPr>
            <sz val="9"/>
            <color indexed="81"/>
            <rFont val="Tahoma"/>
            <family val="2"/>
          </rPr>
          <t xml:space="preserve">The Federal Unemployment tax rate was 6.2% from January 1, 2011 through June 30, 2011; and decreased to 6.0% as of July 1, 2011. It is currently still set at that rate, less a maximum credit of 5.4% for amounts paid under State unemployment insurance laws.  Accordingly, the normal net FUTA tax is 0.6%. This information is as-of November 2015. Check with the IRS for current information. 
</t>
        </r>
      </text>
    </comment>
    <comment ref="C18" authorId="1" shapeId="0" xr:uid="{00000000-0006-0000-0200-000005000000}">
      <text>
        <r>
          <rPr>
            <sz val="9"/>
            <color indexed="81"/>
            <rFont val="Tahoma"/>
            <charset val="1"/>
          </rPr>
          <t xml:space="preserve">Each state has different SUTA rates and wage base limits. Tailor this cell to reflect your state's information.
</t>
        </r>
      </text>
    </comment>
    <comment ref="E19" authorId="2" shapeId="0" xr:uid="{00000000-0006-0000-0200-000006000000}">
      <text>
        <r>
          <rPr>
            <b/>
            <sz val="11"/>
            <color indexed="81"/>
            <rFont val="Gill Sans MT"/>
            <family val="2"/>
          </rPr>
          <t xml:space="preserve">
For these benefits, the formula assumes part-time employees are included. If this is not the case, change the formula accordingly.</t>
        </r>
      </text>
    </comment>
    <comment ref="E20" authorId="2" shapeId="0" xr:uid="{00000000-0006-0000-0200-000007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1" authorId="2" shapeId="0" xr:uid="{00000000-0006-0000-0200-000008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2" authorId="2" shapeId="0" xr:uid="{00000000-0006-0000-0200-000009000000}">
      <text>
        <r>
          <rPr>
            <sz val="11"/>
            <color indexed="81"/>
            <rFont val="Gill Sans MT"/>
            <family val="2"/>
          </rPr>
          <t xml:space="preserve">
</t>
        </r>
        <r>
          <rPr>
            <b/>
            <sz val="11"/>
            <color indexed="81"/>
            <rFont val="Gill Sans MT"/>
            <family val="2"/>
          </rPr>
          <t>For these benefits, the formula assumes part-time employees are included. If this is not the case, change the formula accordingly.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C8" authorId="0" shapeId="0" xr:uid="{00000000-0006-0000-0400-000001000000}">
      <text>
        <r>
          <rPr>
            <b/>
            <sz val="14"/>
            <color indexed="81"/>
            <rFont val="Gill Sans MT"/>
            <family val="2"/>
          </rPr>
          <t>TIP: Enter these in the plural form! Ex. projects, dresses, bikes, etc.</t>
        </r>
        <r>
          <rPr>
            <sz val="9"/>
            <color indexed="81"/>
            <rFont val="Tahoma"/>
            <family val="2"/>
          </rPr>
          <t xml:space="preserve">
</t>
        </r>
      </text>
    </comment>
    <comment ref="E8" authorId="0" shapeId="0" xr:uid="{00000000-0006-0000-0400-000002000000}">
      <text>
        <r>
          <rPr>
            <b/>
            <sz val="11"/>
            <color indexed="81"/>
            <rFont val="Gill Sans MT"/>
            <family val="2"/>
          </rPr>
          <t>TIP: Click here to access a calculator that can help you determine your COGS per unit.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SCORE:</author>
    <author>SCORE</author>
    <author>Heather Hendy</author>
  </authors>
  <commentList>
    <comment ref="B9" authorId="0" shapeId="0" xr:uid="{00000000-0006-0000-0600-000001000000}">
      <text>
        <r>
          <rPr>
            <sz val="9"/>
            <color indexed="81"/>
            <rFont val="Tahoma"/>
            <family val="2"/>
          </rPr>
          <t xml:space="preserve">
</t>
        </r>
        <r>
          <rPr>
            <b/>
            <sz val="11"/>
            <color indexed="81"/>
            <rFont val="Gill Sans MT"/>
            <family val="2"/>
          </rPr>
          <t xml:space="preserve">If you are a retail business or don't have accounts receivable put 100% for each year. </t>
        </r>
      </text>
    </comment>
    <comment ref="B10" authorId="1" shapeId="0" xr:uid="{00000000-0006-0000-0600-000002000000}">
      <text>
        <r>
          <rPr>
            <sz val="9"/>
            <color indexed="81"/>
            <rFont val="Tahoma"/>
            <family val="2"/>
          </rPr>
          <t xml:space="preserve">
</t>
        </r>
        <r>
          <rPr>
            <b/>
            <sz val="11"/>
            <color indexed="81"/>
            <rFont val="Gill Sans MT"/>
            <family val="2"/>
          </rPr>
          <t>In this field put the percentage of your sales that you expect to carry as A/R. If your business sells in cash, put 0%. Otherwise, estimate the percentage that will be paid between 30 and 60 days after sale.</t>
        </r>
      </text>
    </comment>
    <comment ref="B11" authorId="1" shapeId="0" xr:uid="{00000000-0006-0000-0600-000003000000}">
      <text>
        <r>
          <rPr>
            <sz val="9"/>
            <color indexed="81"/>
            <rFont val="Tahoma"/>
            <family val="2"/>
          </rPr>
          <t xml:space="preserve">
</t>
        </r>
        <r>
          <rPr>
            <b/>
            <sz val="11"/>
            <color indexed="81"/>
            <rFont val="Arial Black"/>
            <family val="2"/>
          </rPr>
          <t>In this field put the percentage of your sales that you expect to carry as A/R but not paid for more than 60 days. If your business sells in cash, put 0%. Otherwise, estimate the percentage that will be paid more than 60 days after sale.</t>
        </r>
      </text>
    </comment>
    <comment ref="B12" authorId="0" shapeId="0" xr:uid="{00000000-0006-0000-0600-000004000000}">
      <text>
        <r>
          <rPr>
            <b/>
            <sz val="11"/>
            <color indexed="81"/>
            <rFont val="Gill Sans MT"/>
            <family val="2"/>
          </rPr>
          <t xml:space="preserve">
Allowance for bad debt is the percentage of total A/R you believe will not be collectable for whatever reason. It could be because your customer becomes insolvent or goes out of business. 
If you can find an industry average for your industry, use that percentage. If in doubt, use either 0 or 1%. Many businesses that have good collection processes may have substantially less than 1% during a strong economy. Bankers like to see a figure here because it lets them know you are realistic about discounting the total value of your A/R as collateral for a potential loan. </t>
        </r>
      </text>
    </comment>
    <comment ref="D24" authorId="2" shapeId="0" xr:uid="{00000000-0006-0000-0600-000005000000}">
      <text>
        <r>
          <rPr>
            <b/>
            <sz val="9"/>
            <color indexed="81"/>
            <rFont val="Tahoma"/>
            <family val="2"/>
          </rPr>
          <t xml:space="preserve">How low do you want to let your ending cash balance to get? The minimum should be $0, but you might want to choose $1000, $5000, etc. </t>
        </r>
        <r>
          <rPr>
            <sz val="9"/>
            <color indexed="81"/>
            <rFont val="Tahoma"/>
            <family val="2"/>
          </rPr>
          <t xml:space="preserve">
</t>
        </r>
      </text>
    </comment>
    <comment ref="B27" authorId="2" shapeId="0" xr:uid="{00000000-0006-0000-0600-000006000000}">
      <text>
        <r>
          <rPr>
            <b/>
            <sz val="9"/>
            <color indexed="81"/>
            <rFont val="Tahoma"/>
            <family val="2"/>
          </rPr>
          <t xml:space="preserve">
</t>
        </r>
        <r>
          <rPr>
            <b/>
            <sz val="11"/>
            <color indexed="81"/>
            <rFont val="Gill Sans MT"/>
            <family val="2"/>
          </rPr>
          <t>Use this space to add items purchased after the date of the starting point (Tab 1a).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Heather Hendy</author>
    <author>Joe Clarke</author>
  </authors>
  <commentList>
    <comment ref="B22" authorId="0" shapeId="0" xr:uid="{00000000-0006-0000-0900-000001000000}">
      <text>
        <r>
          <rPr>
            <sz val="11"/>
            <color indexed="81"/>
            <rFont val="Gill Sans MT"/>
            <family val="2"/>
          </rPr>
          <t xml:space="preserve">This line allows you to approximate the personal income tax of the owner(s). This is the tax on the profit for the business.  </t>
        </r>
        <r>
          <rPr>
            <sz val="9"/>
            <color indexed="81"/>
            <rFont val="Tahoma"/>
            <family val="2"/>
          </rPr>
          <t xml:space="preserve">
</t>
        </r>
      </text>
    </comment>
    <comment ref="B25" authorId="1" shapeId="0" xr:uid="{00000000-0006-0000-0900-000002000000}">
      <text>
        <r>
          <rPr>
            <b/>
            <sz val="9"/>
            <color indexed="81"/>
            <rFont val="Tahoma"/>
            <charset val="1"/>
          </rPr>
          <t>Only record owner's draws above those already listed on the payroll tabs.</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Clarke</author>
  </authors>
  <commentList>
    <comment ref="A24" authorId="0" shapeId="0" xr:uid="{00000000-0006-0000-0A00-000001000000}">
      <text>
        <r>
          <rPr>
            <b/>
            <sz val="9"/>
            <color indexed="81"/>
            <rFont val="Tahoma"/>
            <charset val="1"/>
          </rPr>
          <t xml:space="preserve">Only record owner's draws above those already listed on the payroll tabs.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5" authorId="0" shapeId="0" xr:uid="{00000000-0006-0000-0B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4" authorId="0" shapeId="0" xr:uid="{00000000-0006-0000-0C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Heather Hendy</author>
    <author>Jack Hess</author>
  </authors>
  <commentList>
    <comment ref="F7" authorId="0" shapeId="0" xr:uid="{00000000-0006-0000-0F00-000001000000}">
      <text>
        <r>
          <rPr>
            <sz val="11"/>
            <color indexed="81"/>
            <rFont val="Gill Sans MT"/>
            <family val="2"/>
          </rPr>
          <t xml:space="preserve">
With some research, you can find industry norms for each ratio. The Risk Management Association provides Annual Statement Studies with this information, for a fee. Visit your local library to see if they have a free copy you can use. You can also refer to trade magazines or other sources of industry data, such as www.bizstats.com or  http://biz.yahoo.com/p/industries.html. You may need to use a mix of sources, as one source may not provide all of the data. Speak with your mentor to ensure that the industry norms you are using are relevant to your business. 
Leave this column blank if you do not have the industry information. 
</t>
        </r>
      </text>
    </comment>
    <comment ref="C9" authorId="1" shapeId="0" xr:uid="{00000000-0006-0000-0F00-000002000000}">
      <text>
        <r>
          <rPr>
            <b/>
            <sz val="8"/>
            <color indexed="81"/>
            <rFont val="Tahoma"/>
            <family val="2"/>
          </rPr>
          <t>An indication of a company's ability to meet short-term debt obligations.</t>
        </r>
      </text>
    </comment>
    <comment ref="C10" authorId="1" shapeId="0" xr:uid="{00000000-0006-0000-0F00-000003000000}">
      <text>
        <r>
          <rPr>
            <b/>
            <sz val="8"/>
            <color indexed="81"/>
            <rFont val="Tahoma"/>
            <family val="2"/>
          </rPr>
          <t>The ratio between all assets quickly convertible into cash and current liabilities. Measures a company's liquidity. Also called acid-test ratio.</t>
        </r>
      </text>
    </comment>
    <comment ref="C12" authorId="1" shapeId="0" xr:uid="{00000000-0006-0000-0F00-000004000000}">
      <text>
        <r>
          <rPr>
            <b/>
            <sz val="8"/>
            <color indexed="81"/>
            <rFont val="Tahoma"/>
            <family val="2"/>
          </rPr>
          <t>This ratio expresses the relationship between capital contributed by creditors and that contributed by owners.</t>
        </r>
      </text>
    </comment>
    <comment ref="C13" authorId="1" shapeId="0" xr:uid="{00000000-0006-0000-0F00-000005000000}">
      <text>
        <r>
          <rPr>
            <b/>
            <sz val="8"/>
            <color indexed="81"/>
            <rFont val="Tahoma"/>
            <family val="2"/>
          </rPr>
          <t>This ratio indicates how well your cash flow covers debt and the capability of the business to take on additional debt.</t>
        </r>
      </text>
    </comment>
    <comment ref="C15" authorId="1" shapeId="0" xr:uid="{00000000-0006-0000-0F00-000006000000}">
      <text>
        <r>
          <rPr>
            <b/>
            <sz val="8"/>
            <color indexed="81"/>
            <rFont val="Tahoma"/>
            <family val="2"/>
          </rPr>
          <t>This ratio calculates the percentage of increase (or decrease) in sales between the current year and the previous year.</t>
        </r>
      </text>
    </comment>
    <comment ref="C16" authorId="1" shapeId="0" xr:uid="{00000000-0006-0000-0F00-000007000000}">
      <text>
        <r>
          <rPr>
            <b/>
            <sz val="8"/>
            <color indexed="81"/>
            <rFont val="Tahoma"/>
            <family val="2"/>
          </rPr>
          <t>The percentage of sales used to pay for the COGS (expenses which directly vary with sales) is expressed in this ratio.</t>
        </r>
      </text>
    </comment>
    <comment ref="C17" authorId="1" shapeId="0" xr:uid="{00000000-0006-0000-0F00-000008000000}">
      <text>
        <r>
          <rPr>
            <b/>
            <sz val="8"/>
            <color indexed="81"/>
            <rFont val="Tahoma"/>
            <family val="2"/>
          </rPr>
          <t>This ratio indicates how much profit is earned on your products without consideration of indirect costs, selling and administration costs.</t>
        </r>
      </text>
    </comment>
    <comment ref="C18" authorId="1" shapeId="0" xr:uid="{00000000-0006-0000-0F00-000009000000}">
      <text>
        <r>
          <rPr>
            <b/>
            <sz val="8"/>
            <color indexed="81"/>
            <rFont val="Tahoma"/>
            <family val="2"/>
          </rPr>
          <t>This ratio measures the percentage of selling, general and administrative costs to your amount of sales.</t>
        </r>
      </text>
    </comment>
    <comment ref="C19" authorId="1" shapeId="0" xr:uid="{00000000-0006-0000-0F00-00000A000000}">
      <text>
        <r>
          <rPr>
            <b/>
            <sz val="8"/>
            <color indexed="81"/>
            <rFont val="Tahoma"/>
            <family val="2"/>
          </rPr>
          <t>Net profit margin shows how much profit comes from every dollar of sales.</t>
        </r>
      </text>
    </comment>
    <comment ref="C20" authorId="1" shapeId="0" xr:uid="{00000000-0006-0000-0F00-00000B00000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C21" authorId="1" shapeId="0" xr:uid="{00000000-0006-0000-0F00-00000C000000}">
      <text>
        <r>
          <rPr>
            <b/>
            <sz val="8"/>
            <color indexed="81"/>
            <rFont val="Tahoma"/>
            <family val="2"/>
          </rPr>
          <t>This ratio measures how effectively assets are used to generate a return.</t>
        </r>
      </text>
    </comment>
    <comment ref="C22" authorId="1" shapeId="0" xr:uid="{00000000-0006-0000-0F00-00000D000000}">
      <text>
        <r>
          <rPr>
            <b/>
            <sz val="8"/>
            <color indexed="81"/>
            <rFont val="Tahoma"/>
            <family val="2"/>
          </rPr>
          <t>This ratio measures the owner's compensation as a percentage of sales.</t>
        </r>
      </text>
    </comment>
    <comment ref="C24" authorId="1" shapeId="0" xr:uid="{00000000-0006-0000-0F00-00000E000000}">
      <text>
        <r>
          <rPr>
            <b/>
            <sz val="8"/>
            <color indexed="81"/>
            <rFont val="Tahoma"/>
            <family val="2"/>
          </rPr>
          <t>Days in receivable calculates the average number of days it takes to collect your account receivable (number of days of sales in receivables).</t>
        </r>
      </text>
    </comment>
    <comment ref="C25" authorId="1" shapeId="0" xr:uid="{00000000-0006-0000-0F00-00000F000000}">
      <text>
        <r>
          <rPr>
            <b/>
            <sz val="8"/>
            <color indexed="81"/>
            <rFont val="Tahoma"/>
            <family val="2"/>
          </rPr>
          <t>This ratio tells you the number of times accounts receivable turnover during the year.</t>
        </r>
      </text>
    </comment>
    <comment ref="C26" authorId="1" shapeId="0" xr:uid="{00000000-0006-0000-0F00-000010000000}">
      <text>
        <r>
          <rPr>
            <b/>
            <sz val="8"/>
            <color indexed="81"/>
            <rFont val="Tahoma"/>
            <family val="2"/>
          </rPr>
          <t>This ratio shows the average number of days it will take to sell your inventory.</t>
        </r>
      </text>
    </comment>
    <comment ref="C27" authorId="1" shapeId="0" xr:uid="{00000000-0006-0000-0F00-000011000000}">
      <text>
        <r>
          <rPr>
            <b/>
            <sz val="8"/>
            <color indexed="81"/>
            <rFont val="Tahoma"/>
            <family val="2"/>
          </rPr>
          <t>This ratio calculates the number of times inventory is turned over (or sold) during the year.</t>
        </r>
      </text>
    </comment>
    <comment ref="C28" authorId="1" shapeId="0" xr:uid="{00000000-0006-0000-0F00-00001200000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<sst xmlns="http://schemas.openxmlformats.org/spreadsheetml/2006/main" count="737" uniqueCount="379">
  <si>
    <t>Company Name</t>
  </si>
  <si>
    <t>Amount</t>
  </si>
  <si>
    <t>Equipment</t>
  </si>
  <si>
    <t>Vehicles</t>
  </si>
  <si>
    <t>Inventory</t>
  </si>
  <si>
    <t>Supplies</t>
  </si>
  <si>
    <t>Licenses</t>
  </si>
  <si>
    <t>Total Required Funds</t>
  </si>
  <si>
    <t>Totals</t>
  </si>
  <si>
    <t>ASSETS</t>
  </si>
  <si>
    <t>Total Assets</t>
  </si>
  <si>
    <t>Total Liabilities and Equity</t>
  </si>
  <si>
    <t>Loan Rate</t>
  </si>
  <si>
    <t>Term in Months</t>
  </si>
  <si>
    <t>Advertising</t>
  </si>
  <si>
    <t>Utilities</t>
  </si>
  <si>
    <t>Other</t>
  </si>
  <si>
    <t>Total Expenses</t>
  </si>
  <si>
    <t>Balance sheet in or out of balance?</t>
  </si>
  <si>
    <t>Allowance for bad debt</t>
  </si>
  <si>
    <t>Step 2 - Read the following instructions</t>
  </si>
  <si>
    <t>Cash Inflows</t>
  </si>
  <si>
    <t>Total Cash Inflows</t>
  </si>
  <si>
    <t>Cash Outflows</t>
  </si>
  <si>
    <t>Investing Activities</t>
  </si>
  <si>
    <t>Financing Activities</t>
  </si>
  <si>
    <t>Loan Payments</t>
  </si>
  <si>
    <t>Total Cash Outflows</t>
  </si>
  <si>
    <t>Ending Cash Balance</t>
  </si>
  <si>
    <t>Cost of Goods Sold</t>
  </si>
  <si>
    <t>Owners Distribution</t>
  </si>
  <si>
    <t>Depreciation</t>
  </si>
  <si>
    <t>Notes</t>
  </si>
  <si>
    <t>Fixed Assets</t>
  </si>
  <si>
    <t>Real Estate-Land</t>
  </si>
  <si>
    <t>Leasehold Improvements</t>
  </si>
  <si>
    <t>Furniture and Fixtures</t>
  </si>
  <si>
    <t>Other Fixed Assets</t>
  </si>
  <si>
    <t>Total Fixed Assets</t>
  </si>
  <si>
    <t>Operating Capital</t>
  </si>
  <si>
    <t>Pre-Opening Salaries and Wages</t>
  </si>
  <si>
    <t>Prepaid Insurance Premiums</t>
  </si>
  <si>
    <t>Legal and Accounting Fees</t>
  </si>
  <si>
    <t>Rent Deposits</t>
  </si>
  <si>
    <t>Utility Deposits</t>
  </si>
  <si>
    <t>Advertising and Promotions</t>
  </si>
  <si>
    <t>Other Initial Start-Up Costs</t>
  </si>
  <si>
    <t>Working Capital (Cash On Hand)</t>
  </si>
  <si>
    <t>Total Operating Capital</t>
  </si>
  <si>
    <t>Sources of Funding</t>
  </si>
  <si>
    <t>Monthly Payments</t>
  </si>
  <si>
    <t>Owner's Equity</t>
  </si>
  <si>
    <t>Outside Investors</t>
  </si>
  <si>
    <t>Additional Loans or Debt</t>
  </si>
  <si>
    <t>Commercial Loan</t>
  </si>
  <si>
    <t>Commercial Mortgage</t>
  </si>
  <si>
    <t>Total Sources of Funding</t>
  </si>
  <si>
    <t>Breakeven Analysis</t>
  </si>
  <si>
    <t>Interest</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</si>
  <si>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</si>
  <si>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</si>
  <si>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</si>
  <si>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</si>
  <si>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</si>
  <si>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</si>
  <si>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</si>
  <si>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</si>
  <si>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</si>
  <si>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</si>
  <si>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Income Statement</t>
  </si>
  <si>
    <t>Gross Margin as a Percent of Sales</t>
  </si>
  <si>
    <t>Owner's Compensation Lower Limit Check</t>
  </si>
  <si>
    <t>Owner's Compensation Upper Limit Check</t>
  </si>
  <si>
    <t>Advertising Expense Levels as a Percent of Sales</t>
  </si>
  <si>
    <t>Profitability Levels</t>
  </si>
  <si>
    <t>Profitability as a Percent of Sales</t>
  </si>
  <si>
    <t>Cash Flow Statement</t>
  </si>
  <si>
    <t>Desired Operating cash Flow Levels</t>
  </si>
  <si>
    <t>Accounts Receivable Ratio to Sales</t>
  </si>
  <si>
    <t>Balance Sheet</t>
  </si>
  <si>
    <t>Debt to Equity Ratio</t>
  </si>
  <si>
    <t>Annual Totals</t>
  </si>
  <si>
    <t>Complete This Chart First:</t>
  </si>
  <si>
    <t>Line Item</t>
  </si>
  <si>
    <t>Beginning Balance</t>
  </si>
  <si>
    <t>Preparer Name</t>
  </si>
  <si>
    <t>Sales Forecast Year 1-3</t>
  </si>
  <si>
    <t>Full-Time Employees</t>
  </si>
  <si>
    <t>Part-Time Employees</t>
  </si>
  <si>
    <t>Independent Contractors</t>
  </si>
  <si>
    <t>Total Salaries and Wages</t>
  </si>
  <si>
    <t>Payroll Taxes and Benefits</t>
  </si>
  <si>
    <t>Social Security</t>
  </si>
  <si>
    <t>Medicare</t>
  </si>
  <si>
    <t>Federal Unemployment Tax (FUTA)</t>
  </si>
  <si>
    <t>State Unemployment Tax (SUTA)</t>
  </si>
  <si>
    <t>Employee Pension Programs</t>
  </si>
  <si>
    <t>Worker's Compensation</t>
  </si>
  <si>
    <t>Employee Health Insurance</t>
  </si>
  <si>
    <t>Other Employee Benefit Programs</t>
  </si>
  <si>
    <t>Total Payroll Taxes and Benefits</t>
  </si>
  <si>
    <t>Total Salaries and Related Expenses</t>
  </si>
  <si>
    <t>Cost of Goods Sold Per Unit</t>
  </si>
  <si>
    <t xml:space="preserve">Total Product Expenses </t>
  </si>
  <si>
    <t xml:space="preserve">Total Service Expenses </t>
  </si>
  <si>
    <t>Total Cost of Goods Sold</t>
  </si>
  <si>
    <t>COGS Per Unit</t>
  </si>
  <si>
    <t>Margin</t>
  </si>
  <si>
    <t>Total Units Sold</t>
  </si>
  <si>
    <t>Total Sales</t>
  </si>
  <si>
    <t>Total Margin</t>
  </si>
  <si>
    <t>Category / Total</t>
  </si>
  <si>
    <t>Labor used to produce product</t>
  </si>
  <si>
    <t>Costs associated with shipping and storing raw materials</t>
  </si>
  <si>
    <t>Production facility expenses (use fraction of total if facility is used for other items)</t>
  </si>
  <si>
    <t xml:space="preserve">Raw materials </t>
  </si>
  <si>
    <t>Number Units Sold in timeframe used</t>
  </si>
  <si>
    <t>Timeframe:</t>
  </si>
  <si>
    <t>Month</t>
  </si>
  <si>
    <t>Growth Rate 1 to 2</t>
  </si>
  <si>
    <t>Growth Rate 2 to 3</t>
  </si>
  <si>
    <t>Owner(s)</t>
  </si>
  <si>
    <t>Percentage</t>
  </si>
  <si>
    <t>Percentage of Salary/Wage</t>
  </si>
  <si>
    <t>Cash Sales</t>
  </si>
  <si>
    <t>Net Cash Flows</t>
  </si>
  <si>
    <t>Total Current Assets</t>
  </si>
  <si>
    <t>List any other variable costs associated with the delivery of your service during this timeframe.</t>
  </si>
  <si>
    <t/>
  </si>
  <si>
    <t>Project</t>
  </si>
  <si>
    <t>Prepared By:</t>
  </si>
  <si>
    <t>Company Name:</t>
  </si>
  <si>
    <t>COGS Calculator</t>
  </si>
  <si>
    <t>Growth Rate Year 1 to Year 2:</t>
  </si>
  <si>
    <t>Growth Rate Year 2 to Year 3:</t>
  </si>
  <si>
    <t xml:space="preserve">Prepared by: </t>
  </si>
  <si>
    <t>Gross Margin</t>
  </si>
  <si>
    <t>Operating Expenses</t>
  </si>
  <si>
    <t>Net Income/Loss</t>
  </si>
  <si>
    <t>Total Revenue</t>
  </si>
  <si>
    <t>Revenue</t>
  </si>
  <si>
    <t>Liabilities</t>
  </si>
  <si>
    <t>Step 1 - Enter info about your company in yellow shaded boxes below.</t>
  </si>
  <si>
    <t>Number Units Sold During Timeframe</t>
  </si>
  <si>
    <t>Other Expenses</t>
  </si>
  <si>
    <t>Total Funding Needed</t>
  </si>
  <si>
    <t>Credit Card Debt</t>
  </si>
  <si>
    <t>Vehicle Loans</t>
  </si>
  <si>
    <t>Other Bank Debt</t>
  </si>
  <si>
    <t>Car and Truck Expenses</t>
  </si>
  <si>
    <t>Commissions and Fees</t>
  </si>
  <si>
    <t xml:space="preserve">Depreciation </t>
  </si>
  <si>
    <t>Insurance (other than health)</t>
  </si>
  <si>
    <t>Legal and Professional Services</t>
  </si>
  <si>
    <t>Office Expense</t>
  </si>
  <si>
    <t>Rent or Lease -- Vehicles, Machinery, Equipment</t>
  </si>
  <si>
    <t>Rent or Lease -- Other Business Property</t>
  </si>
  <si>
    <t>Repairs and Maintenance</t>
  </si>
  <si>
    <t>Travel, Meals and Entertainment</t>
  </si>
  <si>
    <t>Depreciation (years)</t>
  </si>
  <si>
    <t>Total Other Expenses</t>
  </si>
  <si>
    <t>Total Fixed Operating Expenses</t>
  </si>
  <si>
    <t>Taxes</t>
  </si>
  <si>
    <t>Principal Amount</t>
  </si>
  <si>
    <t>Interest Rate</t>
  </si>
  <si>
    <t>Loan Term in Months</t>
  </si>
  <si>
    <t>Monthly Payment Amount</t>
  </si>
  <si>
    <t>Year One</t>
  </si>
  <si>
    <t>Principal</t>
  </si>
  <si>
    <t>Loan Balance</t>
  </si>
  <si>
    <t>Year Two</t>
  </si>
  <si>
    <t>Year Three</t>
  </si>
  <si>
    <t>Cash</t>
  </si>
  <si>
    <t>Contract Labor (Not included in payroll)</t>
  </si>
  <si>
    <t>Employee Types</t>
  </si>
  <si>
    <t>Expenses</t>
  </si>
  <si>
    <t>Line of Credit Drawdown</t>
  </si>
  <si>
    <t>Total  Liabilities</t>
  </si>
  <si>
    <t>Liquidity</t>
  </si>
  <si>
    <t>Current Ratio</t>
  </si>
  <si>
    <t>Quick Ratio</t>
  </si>
  <si>
    <t>Safety</t>
  </si>
  <si>
    <t>Profitability</t>
  </si>
  <si>
    <t xml:space="preserve">Sales Growth </t>
  </si>
  <si>
    <t>COGS to Sales</t>
  </si>
  <si>
    <t>Gross Profit Margin</t>
  </si>
  <si>
    <t>SG&amp;A to Sales</t>
  </si>
  <si>
    <t>Net Profit Margin</t>
  </si>
  <si>
    <t>Return on Assets</t>
  </si>
  <si>
    <t>Owner's Compensation to Sales</t>
  </si>
  <si>
    <t>Efficiency</t>
  </si>
  <si>
    <t>Days in Receivables</t>
  </si>
  <si>
    <t>Accounts Receivable Turnover</t>
  </si>
  <si>
    <t>Days in Inventory</t>
  </si>
  <si>
    <t>Inventory Turnover</t>
  </si>
  <si>
    <t>Sales to Total Assets</t>
  </si>
  <si>
    <t>Ratios</t>
  </si>
  <si>
    <t>Total Equity</t>
  </si>
  <si>
    <t>Line of Credit Assumptions</t>
  </si>
  <si>
    <t>Desired Minimum Cash Balance</t>
  </si>
  <si>
    <t>Line of Credit Interest Rate</t>
  </si>
  <si>
    <t>Line of Credit Balance</t>
  </si>
  <si>
    <t>Line of Credit Interest</t>
  </si>
  <si>
    <t>Line of Credit Repayments</t>
  </si>
  <si>
    <t xml:space="preserve"> Industry Norms</t>
  </si>
  <si>
    <t>Return on Equity (ROE)</t>
  </si>
  <si>
    <t>Starting Year</t>
  </si>
  <si>
    <t>Starting Month</t>
  </si>
  <si>
    <t>Year 1 Totals</t>
  </si>
  <si>
    <t>Year 2 Totals</t>
  </si>
  <si>
    <t>Year 3 Totals</t>
  </si>
  <si>
    <t>Number of Owners /Employees</t>
  </si>
  <si>
    <t>Start-up Expenses Year 1 (Starting Balance Sheet)</t>
  </si>
  <si>
    <t>Payroll</t>
  </si>
  <si>
    <t>Product Lines</t>
  </si>
  <si>
    <t>Sales Price Per Unit</t>
  </si>
  <si>
    <t>Total COGS</t>
  </si>
  <si>
    <t>Margin Per Unit</t>
  </si>
  <si>
    <t>Category Breakdown</t>
  </si>
  <si>
    <t>Widget</t>
  </si>
  <si>
    <t>Product Line:</t>
  </si>
  <si>
    <t>Amount spent on labor during timeframe</t>
  </si>
  <si>
    <t>Amount spent on materials during this timeframe</t>
  </si>
  <si>
    <t xml:space="preserve">Miscellaneous </t>
  </si>
  <si>
    <t>Total Additional Fixed Assets</t>
  </si>
  <si>
    <t>Year 2 Total</t>
  </si>
  <si>
    <t>Year 3 Total</t>
  </si>
  <si>
    <t>Breakeven Sales in Dollars (Annual)</t>
  </si>
  <si>
    <t>Monthly</t>
  </si>
  <si>
    <t>Total Operating Expenses</t>
  </si>
  <si>
    <t xml:space="preserve">Accounts Receivable </t>
  </si>
  <si>
    <t>Operating Cash Balance</t>
  </si>
  <si>
    <t>Existing Businesses ONLY -- Calculating Cash on Hand</t>
  </si>
  <si>
    <t>Total Cash on Hand</t>
  </si>
  <si>
    <t>Payroll Years 1-3</t>
  </si>
  <si>
    <t>Diagnostic Tools - Year 1</t>
  </si>
  <si>
    <t>Financial Ratios - Year 1</t>
  </si>
  <si>
    <t>Net Income Before Income Tax</t>
  </si>
  <si>
    <t>Income Tax</t>
  </si>
  <si>
    <t xml:space="preserve">Gross Margin % of Sales </t>
  </si>
  <si>
    <t>Gross Margin/Total Sales</t>
  </si>
  <si>
    <t xml:space="preserve">Total Fixed Expenses </t>
  </si>
  <si>
    <t>Operating + Payroll</t>
  </si>
  <si>
    <t>Gross Margin % of Sales</t>
  </si>
  <si>
    <t>Return to Sales Forecast Year 1</t>
  </si>
  <si>
    <t>Return to Starting Point</t>
  </si>
  <si>
    <t>Amortization &amp; Depreciation Schedule</t>
  </si>
  <si>
    <t>Starting Depreciation</t>
  </si>
  <si>
    <t>Additional Depreciation</t>
  </si>
  <si>
    <t>Ending Depreciation</t>
  </si>
  <si>
    <t>See Loan Amortization &amp; Depreciation Schedule</t>
  </si>
  <si>
    <t>Year 1</t>
  </si>
  <si>
    <t>Year 2</t>
  </si>
  <si>
    <t>Year 3</t>
  </si>
  <si>
    <t>+ Prepaid Expenses</t>
  </si>
  <si>
    <t>+ Accounts Receivable</t>
  </si>
  <si>
    <t xml:space="preserve">- Accounts Payable </t>
  </si>
  <si>
    <t>- Accrued Expenses</t>
  </si>
  <si>
    <t>Additional Fixed Assets Purchases</t>
  </si>
  <si>
    <t>Income Tax Assumptions</t>
  </si>
  <si>
    <t xml:space="preserve">Line of Credit </t>
  </si>
  <si>
    <t>Cell D 42 must equal cell C31</t>
  </si>
  <si>
    <t>Amortization of Start-Up Costs</t>
  </si>
  <si>
    <t>Wage Base Limit</t>
  </si>
  <si>
    <t>--</t>
  </si>
  <si>
    <t>Operating Activities</t>
  </si>
  <si>
    <t>Prepaid Expenses</t>
  </si>
  <si>
    <t>Dividends Paid</t>
  </si>
  <si>
    <t>Equity</t>
  </si>
  <si>
    <t>Common Stock</t>
  </si>
  <si>
    <t>Retained Earnings</t>
  </si>
  <si>
    <t>LIABILITIES &amp; EQUITY</t>
  </si>
  <si>
    <t>Real Estate -- Land</t>
  </si>
  <si>
    <t>Current Assets</t>
  </si>
  <si>
    <t xml:space="preserve">Other </t>
  </si>
  <si>
    <t>Other Expense 1</t>
  </si>
  <si>
    <t>Other Expense 2</t>
  </si>
  <si>
    <t>Accounts Payable</t>
  </si>
  <si>
    <t>Accounts Payable (A/P)</t>
  </si>
  <si>
    <t>Percent of Collections</t>
  </si>
  <si>
    <t>Paid within 30 days</t>
  </si>
  <si>
    <t>Paid between 30 and 60 days</t>
  </si>
  <si>
    <t>Paid in more than 60 days</t>
  </si>
  <si>
    <t>Percent of Disbursements</t>
  </si>
  <si>
    <t>Bad Debt Expense</t>
  </si>
  <si>
    <t>Line of Credit</t>
  </si>
  <si>
    <t>Accounts Receivable</t>
  </si>
  <si>
    <t>New Fixed Asset Purchases</t>
  </si>
  <si>
    <t>Additional Inventory</t>
  </si>
  <si>
    <t>Amortization Period in Years</t>
  </si>
  <si>
    <t>Other Initial Costs</t>
  </si>
  <si>
    <t>Total Expensed each Year</t>
  </si>
  <si>
    <t>Amount Amortized</t>
  </si>
  <si>
    <t>Amortized Start-up Expenses</t>
  </si>
  <si>
    <t>Commercial Loan Balance</t>
  </si>
  <si>
    <t>Commercial Mortgage Balance</t>
  </si>
  <si>
    <t>Credit Card Debt Balance</t>
  </si>
  <si>
    <t>Vehicle Loans Balance</t>
  </si>
  <si>
    <t>Other Bank Debt Balance</t>
  </si>
  <si>
    <t>(Less Accumulated Depreciation)</t>
  </si>
  <si>
    <t>Income Tax Calculations</t>
  </si>
  <si>
    <t>Monthly Taxable Income</t>
  </si>
  <si>
    <t>Dividends Dispersed/Owners Draw</t>
  </si>
  <si>
    <t>Estimated Pay/Month (Total)</t>
  </si>
  <si>
    <t>Estimated Taxes &amp; Benefits/Month (Total)</t>
  </si>
  <si>
    <t>Units</t>
  </si>
  <si>
    <t>This should equal 100%  ----&gt;</t>
  </si>
  <si>
    <t>Variable Costs of Products</t>
  </si>
  <si>
    <t>Variable Costs of Services</t>
  </si>
  <si>
    <t>Monthly Breakeven Amount</t>
  </si>
  <si>
    <t>Debt-Service Coverage Ratio - DSCR</t>
  </si>
  <si>
    <t>Debt-Service Coverage</t>
  </si>
  <si>
    <t>Line of Credit Drawdowns</t>
  </si>
  <si>
    <t>Does the Year 1 Balance Sheet Balance?</t>
  </si>
  <si>
    <t>Do Sales Exceed the Breakeven Level?</t>
  </si>
  <si>
    <t>Net Profit/Loss</t>
  </si>
  <si>
    <t>Month 1</t>
  </si>
  <si>
    <t>Month 2</t>
  </si>
  <si>
    <t>Month 3</t>
  </si>
  <si>
    <t>Month 4</t>
  </si>
  <si>
    <t>Month 5</t>
  </si>
  <si>
    <t>Month 6</t>
  </si>
  <si>
    <t>Month 7</t>
  </si>
  <si>
    <t>Month 8</t>
  </si>
  <si>
    <t>Month 9</t>
  </si>
  <si>
    <t>Month 10</t>
  </si>
  <si>
    <t>Month 11</t>
  </si>
  <si>
    <t>Month 12</t>
  </si>
  <si>
    <t>Total</t>
  </si>
  <si>
    <t>Sales Forecast Year 1</t>
  </si>
  <si>
    <t>Operating Expenses Year 1</t>
  </si>
  <si>
    <t>Operating Expenses Years 1-3</t>
  </si>
  <si>
    <t>Additional Inputs</t>
  </si>
  <si>
    <t>Accounts Receivable (A/R) Days Sales Outstanding</t>
  </si>
  <si>
    <t>Cash Flow Forecast Year 1</t>
  </si>
  <si>
    <t>Income Statement Years 1-3</t>
  </si>
  <si>
    <t>Income Statement Year 1</t>
  </si>
  <si>
    <t>Balance Sheet Years 1-3</t>
  </si>
  <si>
    <t>Ending Deprecation</t>
  </si>
  <si>
    <t>Total Amortized</t>
  </si>
  <si>
    <t>Cash Flow Forecast Years 1-3</t>
  </si>
  <si>
    <t>Payroll Year 1</t>
  </si>
  <si>
    <t>Estimated Hrs./Week (per person)</t>
  </si>
  <si>
    <t>Cumulative Taxable Income</t>
  </si>
  <si>
    <t>Average Hourly Pay (to 2 decimal places, ex. $15.23)</t>
  </si>
  <si>
    <t>Income Taxes</t>
  </si>
  <si>
    <t>Taxable Amount Year 2</t>
  </si>
  <si>
    <t>Taxable Amount Year 3</t>
  </si>
  <si>
    <t>Income (Before Other Expenses)</t>
  </si>
  <si>
    <t>Yearly Breakeven Amount</t>
  </si>
  <si>
    <t>Breakeven Analysis Year 1</t>
  </si>
  <si>
    <t>Real Estate-Buildings</t>
  </si>
  <si>
    <t>Real Estate</t>
  </si>
  <si>
    <t>Real Estate -- Buildings</t>
  </si>
  <si>
    <t>Not Depreciated</t>
  </si>
  <si>
    <t>Effective Income Tax Rate - Year 1</t>
  </si>
  <si>
    <t>Effective Income Tax Rate - Year 2</t>
  </si>
  <si>
    <t>Effective Income Tax Rate - Year 3</t>
  </si>
  <si>
    <t>Date Last Revised</t>
  </si>
  <si>
    <t>Revised By</t>
  </si>
  <si>
    <t>Heather Hendy</t>
  </si>
  <si>
    <t>Tab 3a, cell O55: added margin from 6th product. Tab 3b, cells O49 and AD49: added margins from 6th product. Tab 7b: added % sales for lines 23 and 59 for all three years.</t>
  </si>
  <si>
    <t xml:space="preserve">Updated Tabs 5a, 5b, 7a, and 7b to automatically carry over debt categories from Tab 1 in case they are edited. Updated Tabs 5b, 7a and 7b to carry over expense categories from tab 5a in case they are edited. </t>
  </si>
  <si>
    <t>Tab 8 Balance Sheet Cell F41 comes from E41 + tab 6b cell AB24 + tab 6b cell AB27.
However tab 6b cell AB27 did not have a sum total in the cell.
So when paying Dividends in Year 3 the total for the year is not calculated and carried over to the Balance Sheet. This has now been updated.</t>
  </si>
  <si>
    <t>Joe Clarke</t>
  </si>
  <si>
    <t>Comments were added to the calculation for Social Security taxes to clarify that salaries above the wage base limited ($117,000 currently) will cause the estimate to be overstated and will require manual calculation.</t>
  </si>
  <si>
    <t>Corrected an error (typo) in Amortization Table.</t>
  </si>
  <si>
    <t>Corrected an error in the calculation of Income Tax for Year 3 on Tab 7b and set defaults on Tab 4 to those needed by most startups.</t>
  </si>
  <si>
    <t>Corrected the calculation of income tax on Tabs 7a and 7b to realize interest expenses from all loan types as well as bad debt.</t>
  </si>
  <si>
    <t>Michael Gilman</t>
  </si>
  <si>
    <t xml:space="preserve">Tab 3 b 1-3 year sales forecast correct formula in col Q and col AF referenced the incorrect totals at the bottom of the sheet. Col Q, The incorrect formula was referencing cell O52, O53, O54, O55 needed to reference O46, O47, O48, O49. Col AF, The incorrect formula was referencing cell O52, O53, O54, O55 needed to reference AD46, AD47, AD48, AD49. </t>
  </si>
  <si>
    <t>Updated on the Amortization&amp;Depreciation tab rows 122 and 126 all the formluas were incorrectly dividing the number twice by 12 months it should have been only divided once.  I have changed it and verified everything updates correctly now.</t>
  </si>
  <si>
    <t>Updated missing forumla on Additional Input sheet P31 should be =sum(D31:O31)</t>
  </si>
  <si>
    <t>Last revised 2/2020. See revision notes on last tab.</t>
  </si>
  <si>
    <t xml:space="preserve">updated missing formulas: 1. tab 2a line 15, the cells highlighted in red are the current requirements for 2020
2. tab 3b cell AC12, highlighted in red, the formula was missing, so I have inserted the correct formula
3. tab 7b, line 57, I inserted the missing formulas that I highlighted in red
</t>
  </si>
  <si>
    <t>Lou Davenport (changes made by Sameena Usmani in sheet)</t>
  </si>
  <si>
    <t>Thomas Francis</t>
  </si>
  <si>
    <t>Project "Dogen"</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</si>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</sst>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_);[Red]\(0\)"/>
    <numFmt numFmtId="168" formatCode="&quot;$&quot;#,##0.00"/>
    <numFmt numFmtId="169" formatCode="0.0"/>
  </numFmts>
  <fonts count="66" x14ac:knownFonts="1">
    <font>
      <sz val="11"/>
      <color theme="1"/>
      <name val="Calibri"/>
      <family val="2"/>
      <scheme val="minor"/>
    </font>
    <font>
      <sz val="11"/>
      <name val="Arial"/>
      <family val="2"/>
    </font>
    <font>
      <b/>
      <sz val="18"/>
      <name val="Arial"/>
      <family val="2"/>
    </font>
    <font>
      <sz val="8"/>
      <name val="Calibri"/>
      <family val="2"/>
    </font>
    <font>
      <sz val="9"/>
      <color indexed="81"/>
      <name val="Tahoma"/>
      <family val="2"/>
    </font>
    <font>
      <b/>
      <sz val="9"/>
      <color indexed="81"/>
      <name val="Tahoma"/>
      <family val="2"/>
    </font>
    <font>
      <sz val="11"/>
      <color indexed="8"/>
      <name val="Gill Sans MT"/>
      <family val="2"/>
    </font>
    <font>
      <sz val="9"/>
      <name val="Gill Sans MT"/>
      <family val="2"/>
    </font>
    <font>
      <sz val="11"/>
      <name val="Gill Sans MT"/>
      <family val="2"/>
    </font>
    <font>
      <b/>
      <sz val="9"/>
      <name val="Gill Sans MT"/>
      <family val="2"/>
    </font>
    <font>
      <b/>
      <sz val="9"/>
      <color indexed="10"/>
      <name val="Gill Sans MT"/>
      <family val="2"/>
    </font>
    <font>
      <b/>
      <sz val="11"/>
      <color indexed="81"/>
      <name val="Gill Sans MT"/>
      <family val="2"/>
    </font>
    <font>
      <sz val="11"/>
      <color indexed="8"/>
      <name val="Calibri"/>
      <family val="2"/>
    </font>
    <font>
      <sz val="11"/>
      <color indexed="8"/>
      <name val="Gill Sans MT"/>
      <family val="2"/>
    </font>
    <font>
      <b/>
      <sz val="11"/>
      <color indexed="8"/>
      <name val="Gill Sans MT"/>
      <family val="2"/>
    </font>
    <font>
      <b/>
      <sz val="14"/>
      <color indexed="81"/>
      <name val="Gill Sans MT"/>
      <family val="2"/>
    </font>
    <font>
      <sz val="9"/>
      <color indexed="8"/>
      <name val="Gill Sans MT"/>
      <family val="2"/>
    </font>
    <font>
      <b/>
      <sz val="9"/>
      <color indexed="9"/>
      <name val="Gill Sans MT"/>
      <family val="2"/>
    </font>
    <font>
      <sz val="9"/>
      <color indexed="9"/>
      <name val="Gill Sans MT"/>
      <family val="2"/>
    </font>
    <font>
      <sz val="11"/>
      <color indexed="81"/>
      <name val="Gill Sans MT"/>
      <family val="2"/>
    </font>
    <font>
      <b/>
      <sz val="8"/>
      <color indexed="81"/>
      <name val="Tahoma"/>
      <family val="2"/>
    </font>
    <font>
      <u/>
      <sz val="11"/>
      <color theme="10"/>
      <name val="Calibri"/>
      <family val="2"/>
      <scheme val="minor"/>
    </font>
    <font>
      <b/>
      <sz val="9"/>
      <name val="Arial"/>
      <family val="2"/>
    </font>
    <font>
      <sz val="9"/>
      <name val="Arial"/>
      <family val="2"/>
    </font>
    <font>
      <b/>
      <sz val="11"/>
      <color indexed="81"/>
      <name val="Arial Black"/>
      <family val="2"/>
    </font>
    <font>
      <sz val="9"/>
      <color indexed="81"/>
      <name val="Tahoma"/>
      <charset val="1"/>
    </font>
    <font>
      <b/>
      <sz val="9"/>
      <color indexed="81"/>
      <name val="Tahoma"/>
      <charset val="1"/>
    </font>
    <font>
      <b/>
      <sz val="9"/>
      <color indexed="8"/>
      <name val="Gill Sans MT"/>
      <family val="2"/>
    </font>
    <font>
      <b/>
      <sz val="9"/>
      <color indexed="57"/>
      <name val="Gill Sans MT"/>
      <family val="2"/>
    </font>
    <font>
      <sz val="9"/>
      <color theme="1"/>
      <name val="Gill Sans MT"/>
      <family val="2"/>
    </font>
    <font>
      <b/>
      <i/>
      <sz val="9"/>
      <color indexed="8"/>
      <name val="Gill Sans MT"/>
      <family val="2"/>
    </font>
    <font>
      <u/>
      <sz val="9"/>
      <name val="Calibri"/>
      <family val="2"/>
    </font>
    <font>
      <sz val="9"/>
      <color indexed="30"/>
      <name val="Gill Sans MT"/>
      <family val="2"/>
    </font>
    <font>
      <sz val="9"/>
      <color indexed="57"/>
      <name val="Gill Sans MT"/>
      <family val="2"/>
    </font>
    <font>
      <b/>
      <sz val="7"/>
      <name val="Gill Sans MT"/>
      <family val="2"/>
    </font>
    <font>
      <sz val="9"/>
      <name val="Calibri"/>
      <family val="2"/>
      <scheme val="minor"/>
    </font>
    <font>
      <u/>
      <sz val="9"/>
      <color indexed="9"/>
      <name val="Gill Sans MT"/>
      <family val="2"/>
    </font>
    <font>
      <u/>
      <sz val="9"/>
      <name val="Gill Sans MT"/>
      <family val="2"/>
    </font>
    <font>
      <sz val="9"/>
      <color indexed="10"/>
      <name val="Gill Sans MT"/>
      <family val="2"/>
    </font>
    <font>
      <b/>
      <sz val="9"/>
      <color indexed="11"/>
      <name val="Gill Sans MT"/>
      <family val="2"/>
    </font>
    <font>
      <b/>
      <sz val="11"/>
      <name val="Gill Sans MT"/>
      <family val="2"/>
    </font>
    <font>
      <b/>
      <u/>
      <sz val="9"/>
      <color indexed="9"/>
      <name val="Gill Sans MT"/>
      <family val="2"/>
    </font>
    <font>
      <b/>
      <sz val="9"/>
      <color rgb="FF44C8F5"/>
      <name val="Gill Sans MT"/>
      <family val="2"/>
    </font>
    <font>
      <b/>
      <sz val="11"/>
      <color theme="3"/>
      <name val="Gill Sans MT"/>
      <family val="2"/>
    </font>
    <font>
      <b/>
      <sz val="9"/>
      <color theme="3"/>
      <name val="Gill Sans MT"/>
      <family val="2"/>
    </font>
    <font>
      <sz val="9"/>
      <color theme="3"/>
      <name val="Gill Sans MT"/>
      <family val="2"/>
    </font>
    <font>
      <sz val="10"/>
      <color indexed="8"/>
      <name val="Gill Sans MT"/>
      <family val="2"/>
    </font>
    <font>
      <b/>
      <sz val="10"/>
      <name val="Gill Sans MT"/>
      <family val="2"/>
    </font>
    <font>
      <b/>
      <sz val="10"/>
      <color indexed="57"/>
      <name val="Gill Sans MT"/>
      <family val="2"/>
    </font>
    <font>
      <b/>
      <sz val="10"/>
      <color indexed="8"/>
      <name val="Gill Sans MT"/>
      <family val="2"/>
    </font>
    <font>
      <sz val="10"/>
      <name val="Gill Sans MT"/>
      <family val="2"/>
    </font>
    <font>
      <b/>
      <sz val="10"/>
      <color theme="3"/>
      <name val="Gill Sans MT"/>
      <family val="2"/>
    </font>
    <font>
      <b/>
      <sz val="10"/>
      <color indexed="9"/>
      <name val="Gill Sans MT"/>
      <family val="2"/>
    </font>
    <font>
      <b/>
      <sz val="10"/>
      <color indexed="10"/>
      <name val="Gill Sans MT"/>
      <family val="2"/>
    </font>
    <font>
      <u/>
      <sz val="10"/>
      <name val="Calibri"/>
      <family val="2"/>
    </font>
    <font>
      <b/>
      <sz val="10"/>
      <color indexed="12"/>
      <name val="Gill Sans MT"/>
      <family val="2"/>
    </font>
    <font>
      <b/>
      <sz val="10"/>
      <color indexed="10"/>
      <name val="Arial"/>
      <family val="2"/>
    </font>
    <font>
      <sz val="11"/>
      <color theme="1"/>
      <name val="Calibri"/>
      <family val="2"/>
      <scheme val="minor"/>
    </font>
    <font>
      <sz val="11"/>
      <color theme="0"/>
      <name val="Gill Sans MT"/>
      <family val="2"/>
    </font>
    <font>
      <sz val="10"/>
      <color theme="0"/>
      <name val="Arial"/>
      <family val="2"/>
    </font>
    <font>
      <sz val="9"/>
      <color theme="0"/>
      <name val="Gill Sans MT"/>
      <family val="2"/>
    </font>
    <font>
      <b/>
      <sz val="9"/>
      <color theme="0"/>
      <name val="Gill Sans MT"/>
      <family val="2"/>
    </font>
    <font>
      <sz val="11"/>
      <color theme="1"/>
      <name val="Gill Sans MT"/>
      <family val="2"/>
    </font>
    <font>
      <sz val="10"/>
      <color indexed="81"/>
      <name val="Gill Sans MT"/>
      <family val="2"/>
    </font>
    <font>
      <b/>
      <sz val="11"/>
      <color theme="1"/>
      <name val="Calibri"/>
      <family val="2"/>
      <scheme val="minor"/>
    </font>
    <font>
      <i/>
      <sz val="11"/>
      <color indexed="8"/>
      <name val="Gill Sans MT"/>
      <family val="2"/>
    </font>
  </fonts>
  <fills count="13">
    <fill>
      <patternFill patternType="none"/>
    </fill>
    <fill>
      <patternFill patternType="gray125"/>
    </fill>
    <fill>
      <patternFill patternType="solid">
        <fgColor indexed="21"/>
      </patternFill>
    </fill>
    <fill>
      <patternFill patternType="solid">
        <fgColor indexed="38"/>
      </patternFill>
    </fill>
    <fill>
      <patternFill patternType="solid">
        <fgColor indexed="9"/>
        <bgColor indexed="9"/>
      </patternFill>
    </fill>
    <fill>
      <patternFill patternType="solid">
        <fgColor indexed="9"/>
        <bgColor indexed="64"/>
      </patternFill>
    </fill>
    <fill>
      <patternFill patternType="solid">
        <fgColor indexed="43"/>
        <bgColor indexed="64"/>
      </patternFill>
    </fill>
    <fill>
      <patternFill patternType="solid">
        <fgColor rgb="FF44C8F5"/>
        <bgColor indexed="64"/>
      </patternFill>
    </fill>
    <fill>
      <patternFill patternType="solid">
        <fgColor rgb="FFFFC95B"/>
        <bgColor indexed="64"/>
      </patternFill>
    </fill>
    <fill>
      <patternFill patternType="solid">
        <fgColor theme="9"/>
        <bgColor indexed="64"/>
      </patternFill>
    </fill>
    <fill>
      <patternFill patternType="solid">
        <fgColor rgb="FF8ACC9E"/>
        <bgColor indexed="64"/>
      </patternFill>
    </fill>
    <fill>
      <patternFill patternType="solid">
        <fgColor theme="4"/>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ck">
        <color theme="3"/>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medium">
        <color indexed="64"/>
      </right>
      <top style="thin">
        <color indexed="64"/>
      </top>
      <bottom style="thick">
        <color theme="3"/>
      </bottom>
      <diagonal/>
    </border>
    <border>
      <left style="thin">
        <color indexed="64"/>
      </left>
      <right style="thin">
        <color indexed="64"/>
      </right>
      <top style="thin">
        <color indexed="64"/>
      </top>
      <bottom style="thick">
        <color rgb="FF0070C0"/>
      </bottom>
      <diagonal/>
    </border>
    <border>
      <left style="thin">
        <color indexed="64"/>
      </left>
      <right/>
      <top style="thin">
        <color indexed="64"/>
      </top>
      <bottom style="thick">
        <color rgb="FF0070C0"/>
      </bottom>
      <diagonal/>
    </border>
  </borders>
  <cellStyleXfs count="13">
    <xf numFmtId="0" fontId="0" fillId="0" borderId="0"/>
    <xf numFmtId="43" fontId="12" fillId="0" borderId="0" applyFont="0" applyFill="0" applyBorder="0" applyAlignment="0" applyProtection="0"/>
    <xf numFmtId="44" fontId="12" fillId="0" borderId="0" applyFont="0" applyFill="0" applyBorder="0" applyAlignment="0" applyProtection="0"/>
    <xf numFmtId="0" fontId="21" fillId="0" borderId="0" applyNumberFormat="0" applyFill="0" applyBorder="0" applyAlignment="0" applyProtection="0"/>
    <xf numFmtId="0" fontId="1" fillId="2" borderId="0"/>
    <xf numFmtId="9" fontId="12" fillId="0" borderId="0" applyFont="0" applyFill="0" applyBorder="0" applyAlignment="0" applyProtection="0"/>
    <xf numFmtId="0" fontId="2" fillId="3" borderId="0"/>
    <xf numFmtId="49" fontId="9" fillId="10" borderId="1" applyProtection="0">
      <alignment wrapText="1"/>
    </xf>
    <xf numFmtId="1" fontId="8" fillId="11" borderId="15" applyAlignment="0" applyProtection="0"/>
    <xf numFmtId="1" fontId="40" fillId="9" borderId="15" applyAlignment="0" applyProtection="0"/>
    <xf numFmtId="43" fontId="57" fillId="0" borderId="0" applyFont="0" applyFill="0" applyBorder="0" applyAlignment="0" applyProtection="0"/>
    <xf numFmtId="44" fontId="57" fillId="0" borderId="0" applyFont="0" applyFill="0" applyBorder="0" applyAlignment="0" applyProtection="0"/>
    <xf numFmtId="9" fontId="57" fillId="0" borderId="0" applyFont="0" applyFill="0" applyBorder="0" applyAlignment="0" applyProtection="0"/>
  </cellStyleXfs>
  <cellXfs count="628">
    <xf numFmtId="0" fontId="0" fillId="0" borderId="0" xfId="0"/>
    <xf numFmtId="0" fontId="13" fillId="0" borderId="0" xfId="0" applyFont="1" applyProtection="1"/>
    <xf numFmtId="0" fontId="14" fillId="0" borderId="0" xfId="0" applyFont="1" applyProtection="1"/>
    <xf numFmtId="0" fontId="6" fillId="0" borderId="0" xfId="4" applyFont="1" applyFill="1" applyBorder="1" applyProtection="1"/>
    <xf numFmtId="0" fontId="13" fillId="0" borderId="0" xfId="0" applyFont="1" applyFill="1" applyBorder="1" applyProtection="1"/>
    <xf numFmtId="0" fontId="13" fillId="0" borderId="0" xfId="0" applyFont="1" applyBorder="1" applyProtection="1"/>
    <xf numFmtId="0" fontId="13" fillId="0" borderId="0" xfId="0" applyFont="1" applyBorder="1" applyAlignment="1" applyProtection="1">
      <alignment horizontal="right"/>
    </xf>
    <xf numFmtId="0" fontId="7" fillId="0" borderId="0" xfId="0" applyFont="1"/>
    <xf numFmtId="0" fontId="10" fillId="0" borderId="0" xfId="0" applyFont="1"/>
    <xf numFmtId="0" fontId="7" fillId="0" borderId="1" xfId="0" applyFont="1" applyFill="1" applyBorder="1"/>
    <xf numFmtId="0" fontId="7" fillId="0" borderId="0" xfId="0" applyFont="1" applyBorder="1"/>
    <xf numFmtId="0" fontId="7" fillId="0" borderId="0" xfId="0" applyFont="1" applyBorder="1" applyAlignment="1">
      <alignment vertical="center" wrapText="1"/>
    </xf>
    <xf numFmtId="0" fontId="7" fillId="0" borderId="0" xfId="0" applyFont="1" applyFill="1" applyBorder="1"/>
    <xf numFmtId="0" fontId="9" fillId="0" borderId="0" xfId="0" applyFont="1" applyFill="1" applyBorder="1"/>
    <xf numFmtId="0" fontId="9" fillId="0" borderId="0" xfId="0" applyFont="1" applyFill="1" applyBorder="1" applyAlignment="1">
      <alignment horizontal="right"/>
    </xf>
    <xf numFmtId="10" fontId="7" fillId="0" borderId="0" xfId="5" applyNumberFormat="1" applyFont="1" applyFill="1" applyBorder="1"/>
    <xf numFmtId="164" fontId="7" fillId="0" borderId="0" xfId="1" applyNumberFormat="1" applyFont="1" applyFill="1" applyBorder="1"/>
    <xf numFmtId="0" fontId="7" fillId="0" borderId="1" xfId="5" applyNumberFormat="1" applyFont="1" applyFill="1" applyBorder="1"/>
    <xf numFmtId="0" fontId="7" fillId="0" borderId="1" xfId="0" applyNumberFormat="1" applyFont="1" applyFill="1" applyBorder="1"/>
    <xf numFmtId="0" fontId="7" fillId="0" borderId="1" xfId="1" applyNumberFormat="1" applyFont="1" applyFill="1" applyBorder="1"/>
    <xf numFmtId="0" fontId="7" fillId="0" borderId="1" xfId="1" applyNumberFormat="1" applyFont="1" applyFill="1" applyBorder="1" applyAlignment="1">
      <alignment horizontal="left"/>
    </xf>
    <xf numFmtId="0" fontId="9" fillId="0" borderId="0" xfId="0" applyFont="1" applyFill="1"/>
    <xf numFmtId="0" fontId="7" fillId="0" borderId="0" xfId="0" applyFont="1" applyFill="1"/>
    <xf numFmtId="44" fontId="7" fillId="0" borderId="0" xfId="2" applyFont="1" applyBorder="1" applyAlignment="1">
      <alignment vertical="center" wrapText="1"/>
    </xf>
    <xf numFmtId="44" fontId="7" fillId="0" borderId="0" xfId="2" applyFont="1"/>
    <xf numFmtId="0" fontId="7" fillId="0" borderId="0" xfId="0" applyFont="1" applyFill="1" applyAlignment="1">
      <alignment vertical="center" wrapText="1"/>
    </xf>
    <xf numFmtId="44" fontId="7" fillId="0" borderId="0" xfId="2" applyFont="1" applyFill="1"/>
    <xf numFmtId="0" fontId="7" fillId="0" borderId="0" xfId="0" applyFont="1" applyFill="1" applyAlignment="1">
      <alignment vertical="center"/>
    </xf>
    <xf numFmtId="0" fontId="7" fillId="0" borderId="0" xfId="0" applyFont="1" applyFill="1" applyBorder="1" applyAlignment="1">
      <alignment vertical="center" wrapText="1"/>
    </xf>
    <xf numFmtId="44" fontId="7" fillId="0" borderId="0" xfId="2" applyFont="1" applyFill="1" applyBorder="1" applyAlignment="1">
      <alignment vertical="center" wrapText="1"/>
    </xf>
    <xf numFmtId="166" fontId="9" fillId="0" borderId="1" xfId="5" applyNumberFormat="1" applyFont="1" applyFill="1" applyBorder="1"/>
    <xf numFmtId="164" fontId="9" fillId="0" borderId="1" xfId="0" applyNumberFormat="1" applyFont="1" applyFill="1" applyBorder="1"/>
    <xf numFmtId="37" fontId="9" fillId="0" borderId="1" xfId="5" applyNumberFormat="1" applyFont="1" applyFill="1" applyBorder="1"/>
    <xf numFmtId="164" fontId="9" fillId="0" borderId="1" xfId="1" applyNumberFormat="1" applyFont="1" applyFill="1" applyBorder="1"/>
    <xf numFmtId="0" fontId="8" fillId="0" borderId="0" xfId="0" applyFont="1" applyProtection="1"/>
    <xf numFmtId="0" fontId="9" fillId="0" borderId="0" xfId="0" applyFont="1" applyBorder="1"/>
    <xf numFmtId="0" fontId="9" fillId="0" borderId="1" xfId="0" applyFont="1" applyBorder="1"/>
    <xf numFmtId="43" fontId="7" fillId="0" borderId="1" xfId="0" applyNumberFormat="1" applyFont="1" applyBorder="1"/>
    <xf numFmtId="8" fontId="7" fillId="0" borderId="1" xfId="0" applyNumberFormat="1" applyFont="1" applyBorder="1"/>
    <xf numFmtId="10" fontId="7" fillId="0" borderId="1" xfId="0" applyNumberFormat="1" applyFont="1" applyBorder="1"/>
    <xf numFmtId="0" fontId="7" fillId="0" borderId="1" xfId="0" applyFont="1" applyBorder="1"/>
    <xf numFmtId="41" fontId="7" fillId="0" borderId="1" xfId="0" applyNumberFormat="1" applyFont="1" applyBorder="1"/>
    <xf numFmtId="0" fontId="22" fillId="0" borderId="0" xfId="0" applyFont="1" applyFill="1" applyBorder="1"/>
    <xf numFmtId="0" fontId="23" fillId="0" borderId="0" xfId="0" applyFont="1" applyFill="1" applyBorder="1"/>
    <xf numFmtId="43" fontId="23" fillId="0" borderId="0" xfId="1" applyFont="1" applyFill="1" applyBorder="1"/>
    <xf numFmtId="164" fontId="23" fillId="0" borderId="0" xfId="1" applyNumberFormat="1" applyFont="1" applyFill="1" applyBorder="1"/>
    <xf numFmtId="44" fontId="23" fillId="0" borderId="0" xfId="2" applyFont="1" applyFill="1" applyBorder="1"/>
    <xf numFmtId="0" fontId="9" fillId="0" borderId="1" xfId="0" applyFont="1" applyFill="1" applyBorder="1"/>
    <xf numFmtId="42" fontId="9" fillId="0" borderId="1" xfId="0" applyNumberFormat="1" applyFont="1" applyFill="1" applyBorder="1"/>
    <xf numFmtId="164" fontId="7" fillId="0" borderId="1" xfId="0" applyNumberFormat="1" applyFont="1" applyFill="1" applyBorder="1" applyAlignment="1">
      <alignment horizontal="right"/>
    </xf>
    <xf numFmtId="164" fontId="7" fillId="0" borderId="1" xfId="0" applyNumberFormat="1" applyFont="1" applyFill="1" applyBorder="1"/>
    <xf numFmtId="164" fontId="7" fillId="0" borderId="0" xfId="1" applyNumberFormat="1" applyFont="1" applyFill="1"/>
    <xf numFmtId="44" fontId="7" fillId="0" borderId="1" xfId="2" applyFont="1" applyFill="1" applyBorder="1"/>
    <xf numFmtId="10" fontId="7" fillId="0" borderId="1" xfId="0" applyNumberFormat="1" applyFont="1" applyFill="1" applyBorder="1"/>
    <xf numFmtId="43" fontId="7" fillId="0" borderId="1" xfId="0" applyNumberFormat="1" applyFont="1" applyFill="1" applyBorder="1"/>
    <xf numFmtId="8" fontId="7" fillId="0" borderId="1" xfId="0" applyNumberFormat="1" applyFont="1" applyFill="1" applyBorder="1"/>
    <xf numFmtId="41" fontId="7" fillId="0" borderId="1" xfId="0" applyNumberFormat="1" applyFont="1" applyFill="1" applyBorder="1"/>
    <xf numFmtId="41" fontId="7" fillId="0" borderId="1" xfId="1" applyNumberFormat="1" applyFont="1" applyFill="1" applyBorder="1" applyAlignment="1">
      <alignment horizontal="right"/>
    </xf>
    <xf numFmtId="41" fontId="7" fillId="0" borderId="1" xfId="0" applyNumberFormat="1" applyFont="1" applyFill="1" applyBorder="1" applyAlignment="1">
      <alignment horizontal="right"/>
    </xf>
    <xf numFmtId="0" fontId="9" fillId="0" borderId="1" xfId="0" applyFont="1" applyFill="1" applyBorder="1" applyAlignment="1">
      <alignment horizontal="center"/>
    </xf>
    <xf numFmtId="0" fontId="7" fillId="0" borderId="1" xfId="0" applyFont="1" applyFill="1" applyBorder="1" applyAlignment="1">
      <alignment horizontal="left" indent="2"/>
    </xf>
    <xf numFmtId="0" fontId="9" fillId="0" borderId="1" xfId="0" applyFont="1" applyFill="1" applyBorder="1" applyAlignment="1">
      <alignment horizontal="left" indent="2"/>
    </xf>
    <xf numFmtId="0" fontId="9" fillId="0" borderId="0" xfId="0" applyFont="1" applyBorder="1" applyAlignment="1"/>
    <xf numFmtId="0" fontId="16" fillId="0" borderId="0" xfId="0" applyFont="1" applyFill="1"/>
    <xf numFmtId="0" fontId="7" fillId="0" borderId="0" xfId="0" applyFont="1" applyBorder="1" applyAlignment="1"/>
    <xf numFmtId="0" fontId="16" fillId="0" borderId="0" xfId="0" applyFont="1" applyFill="1" applyBorder="1"/>
    <xf numFmtId="0" fontId="9" fillId="0" borderId="1" xfId="0" applyFont="1" applyFill="1" applyBorder="1" applyAlignment="1">
      <alignment horizontal="left"/>
    </xf>
    <xf numFmtId="42" fontId="7" fillId="0" borderId="2" xfId="1" applyNumberFormat="1" applyFont="1" applyFill="1" applyBorder="1"/>
    <xf numFmtId="164" fontId="7" fillId="0" borderId="1" xfId="1" applyNumberFormat="1" applyFont="1" applyFill="1" applyBorder="1"/>
    <xf numFmtId="42" fontId="7" fillId="0" borderId="2" xfId="0" applyNumberFormat="1" applyFont="1" applyFill="1" applyBorder="1"/>
    <xf numFmtId="0" fontId="16" fillId="0" borderId="1" xfId="0" applyFont="1" applyBorder="1"/>
    <xf numFmtId="0" fontId="16" fillId="0" borderId="0" xfId="0" applyFont="1"/>
    <xf numFmtId="0" fontId="16" fillId="0" borderId="1" xfId="0" applyFont="1" applyFill="1" applyBorder="1"/>
    <xf numFmtId="0" fontId="28" fillId="0" borderId="0" xfId="0" applyFont="1" applyBorder="1" applyAlignment="1">
      <alignment horizontal="left" vertical="center"/>
    </xf>
    <xf numFmtId="42" fontId="7" fillId="0" borderId="1" xfId="1" applyNumberFormat="1" applyFont="1" applyFill="1" applyBorder="1"/>
    <xf numFmtId="41" fontId="7" fillId="8" borderId="2" xfId="1" applyNumberFormat="1" applyFont="1" applyFill="1" applyBorder="1" applyProtection="1">
      <protection locked="0"/>
    </xf>
    <xf numFmtId="0" fontId="9" fillId="0" borderId="0" xfId="0" applyFont="1" applyFill="1" applyBorder="1" applyAlignment="1">
      <alignment horizontal="left"/>
    </xf>
    <xf numFmtId="0" fontId="28" fillId="0" borderId="0" xfId="0" applyFont="1" applyFill="1" applyBorder="1" applyAlignment="1">
      <alignment vertical="center"/>
    </xf>
    <xf numFmtId="0" fontId="28" fillId="0" borderId="0" xfId="0" applyFont="1" applyFill="1" applyBorder="1" applyAlignment="1">
      <alignment horizontal="left"/>
    </xf>
    <xf numFmtId="0" fontId="9" fillId="0" borderId="0" xfId="0" applyFont="1" applyFill="1" applyBorder="1" applyAlignment="1">
      <alignment vertical="center"/>
    </xf>
    <xf numFmtId="0" fontId="7" fillId="0" borderId="0" xfId="0" applyFont="1" applyFill="1" applyBorder="1" applyAlignment="1">
      <alignment horizontal="left"/>
    </xf>
    <xf numFmtId="0" fontId="7" fillId="0" borderId="0" xfId="0" applyFont="1" applyFill="1" applyBorder="1" applyAlignment="1">
      <alignment vertical="center"/>
    </xf>
    <xf numFmtId="42" fontId="7" fillId="0" borderId="1" xfId="0" applyNumberFormat="1" applyFont="1" applyFill="1" applyBorder="1"/>
    <xf numFmtId="42" fontId="7" fillId="0" borderId="1" xfId="2" applyNumberFormat="1" applyFont="1" applyFill="1" applyBorder="1"/>
    <xf numFmtId="167" fontId="9" fillId="0" borderId="1" xfId="0" applyNumberFormat="1" applyFont="1" applyFill="1" applyBorder="1"/>
    <xf numFmtId="0" fontId="9" fillId="5" borderId="1" xfId="0" applyFont="1" applyFill="1" applyBorder="1"/>
    <xf numFmtId="0" fontId="7" fillId="5" borderId="1" xfId="0" applyFont="1" applyFill="1" applyBorder="1" applyAlignment="1">
      <alignment horizontal="center"/>
    </xf>
    <xf numFmtId="0" fontId="7" fillId="5" borderId="1" xfId="0" applyFont="1" applyFill="1" applyBorder="1"/>
    <xf numFmtId="0" fontId="16" fillId="5" borderId="1" xfId="0" applyFont="1" applyFill="1" applyBorder="1"/>
    <xf numFmtId="44" fontId="7" fillId="5" borderId="1" xfId="2" applyFont="1" applyFill="1" applyBorder="1"/>
    <xf numFmtId="0" fontId="9" fillId="0" borderId="1" xfId="0" applyFont="1" applyFill="1" applyBorder="1" applyAlignment="1">
      <alignment horizontal="center" wrapText="1"/>
    </xf>
    <xf numFmtId="10" fontId="7" fillId="0" borderId="1" xfId="5" applyNumberFormat="1" applyFont="1" applyFill="1" applyBorder="1" applyProtection="1">
      <protection locked="0"/>
    </xf>
    <xf numFmtId="42" fontId="7" fillId="0" borderId="1" xfId="5" applyNumberFormat="1" applyFont="1" applyFill="1" applyBorder="1" applyProtection="1"/>
    <xf numFmtId="10" fontId="7" fillId="0" borderId="1" xfId="0" applyNumberFormat="1" applyFont="1" applyFill="1" applyBorder="1" applyProtection="1">
      <protection locked="0"/>
    </xf>
    <xf numFmtId="10" fontId="7" fillId="0" borderId="1" xfId="0" applyNumberFormat="1" applyFont="1" applyFill="1" applyBorder="1" applyAlignment="1">
      <alignment horizontal="center"/>
    </xf>
    <xf numFmtId="0" fontId="7" fillId="0" borderId="1" xfId="0" applyFont="1" applyFill="1" applyBorder="1" applyAlignment="1">
      <alignment horizontal="center"/>
    </xf>
    <xf numFmtId="0" fontId="18" fillId="0" borderId="0" xfId="0" applyFont="1" applyFill="1" applyBorder="1"/>
    <xf numFmtId="0" fontId="27" fillId="0" borderId="0" xfId="0" applyFont="1" applyFill="1" applyBorder="1"/>
    <xf numFmtId="9" fontId="16" fillId="0" borderId="0" xfId="0" applyNumberFormat="1" applyFont="1" applyFill="1" applyBorder="1" applyAlignment="1" applyProtection="1">
      <alignment horizontal="center" vertical="center"/>
      <protection locked="0"/>
    </xf>
    <xf numFmtId="42" fontId="16" fillId="0" borderId="0" xfId="0" applyNumberFormat="1" applyFont="1" applyFill="1" applyBorder="1"/>
    <xf numFmtId="0" fontId="29" fillId="0" borderId="0" xfId="0" applyFont="1" applyFill="1" applyBorder="1"/>
    <xf numFmtId="0" fontId="17" fillId="0" borderId="0" xfId="0" applyFont="1" applyFill="1" applyBorder="1" applyAlignment="1">
      <alignment horizontal="center" vertical="center"/>
    </xf>
    <xf numFmtId="41" fontId="7" fillId="0" borderId="0" xfId="2" applyNumberFormat="1" applyFont="1" applyFill="1" applyBorder="1" applyProtection="1">
      <protection locked="0"/>
    </xf>
    <xf numFmtId="42" fontId="18" fillId="0" borderId="0" xfId="2" applyNumberFormat="1" applyFont="1" applyFill="1" applyBorder="1"/>
    <xf numFmtId="0" fontId="17" fillId="0" borderId="0" xfId="0" applyFont="1" applyFill="1" applyBorder="1"/>
    <xf numFmtId="41" fontId="7" fillId="0" borderId="1" xfId="1" applyNumberFormat="1" applyFont="1" applyFill="1" applyBorder="1" applyProtection="1"/>
    <xf numFmtId="44" fontId="7" fillId="0" borderId="0" xfId="2" applyFont="1" applyFill="1" applyBorder="1"/>
    <xf numFmtId="166" fontId="7" fillId="0" borderId="1" xfId="0" applyNumberFormat="1" applyFont="1" applyFill="1" applyBorder="1" applyProtection="1">
      <protection locked="0"/>
    </xf>
    <xf numFmtId="42" fontId="7" fillId="0" borderId="1" xfId="1" applyNumberFormat="1" applyFont="1" applyFill="1" applyBorder="1" applyProtection="1"/>
    <xf numFmtId="0" fontId="9" fillId="0" borderId="1" xfId="0" applyFont="1" applyFill="1" applyBorder="1" applyAlignment="1">
      <alignment horizontal="left" vertical="center"/>
    </xf>
    <xf numFmtId="165" fontId="18" fillId="0" borderId="0" xfId="0" applyNumberFormat="1" applyFont="1" applyFill="1" applyBorder="1"/>
    <xf numFmtId="42" fontId="18" fillId="0" borderId="0" xfId="0" applyNumberFormat="1" applyFont="1" applyFill="1" applyBorder="1"/>
    <xf numFmtId="44" fontId="18" fillId="0" borderId="0" xfId="0" applyNumberFormat="1" applyFont="1" applyFill="1" applyBorder="1"/>
    <xf numFmtId="44" fontId="17" fillId="0" borderId="0" xfId="0" applyNumberFormat="1" applyFont="1" applyFill="1" applyBorder="1"/>
    <xf numFmtId="42" fontId="9" fillId="0" borderId="1" xfId="1" applyNumberFormat="1" applyFont="1" applyFill="1" applyBorder="1" applyProtection="1"/>
    <xf numFmtId="166" fontId="7" fillId="0" borderId="0" xfId="0" applyNumberFormat="1" applyFont="1" applyFill="1" applyBorder="1" applyProtection="1"/>
    <xf numFmtId="41" fontId="7" fillId="0" borderId="0" xfId="1" applyNumberFormat="1" applyFont="1" applyFill="1" applyBorder="1" applyProtection="1"/>
    <xf numFmtId="0" fontId="17" fillId="0" borderId="0" xfId="0" applyFont="1" applyFill="1" applyBorder="1" applyAlignment="1">
      <alignment horizontal="center" vertical="center" wrapText="1"/>
    </xf>
    <xf numFmtId="167" fontId="7" fillId="0" borderId="0" xfId="0" applyNumberFormat="1" applyFont="1" applyFill="1" applyBorder="1" applyProtection="1">
      <protection locked="0"/>
    </xf>
    <xf numFmtId="42" fontId="18" fillId="0" borderId="0" xfId="2" applyNumberFormat="1" applyFont="1" applyFill="1" applyBorder="1" applyAlignment="1">
      <alignment horizontal="center"/>
    </xf>
    <xf numFmtId="42" fontId="18" fillId="0" borderId="0" xfId="0" applyNumberFormat="1" applyFont="1" applyFill="1" applyBorder="1" applyProtection="1"/>
    <xf numFmtId="0" fontId="7" fillId="0" borderId="0" xfId="0" applyFont="1" applyFill="1" applyBorder="1" applyAlignment="1">
      <alignment horizontal="center"/>
    </xf>
    <xf numFmtId="0" fontId="17" fillId="0" borderId="0" xfId="0" applyFont="1" applyFill="1" applyBorder="1" applyAlignment="1">
      <alignment horizontal="center" wrapText="1"/>
    </xf>
    <xf numFmtId="10" fontId="7" fillId="0" borderId="0" xfId="5" applyNumberFormat="1" applyFont="1" applyFill="1" applyBorder="1" applyProtection="1">
      <protection locked="0"/>
    </xf>
    <xf numFmtId="10" fontId="18" fillId="0" borderId="0" xfId="0" applyNumberFormat="1" applyFont="1" applyFill="1" applyBorder="1" applyAlignment="1">
      <alignment horizontal="center"/>
    </xf>
    <xf numFmtId="0" fontId="18" fillId="0" borderId="0" xfId="0" applyFont="1" applyFill="1" applyBorder="1" applyAlignment="1">
      <alignment horizontal="center"/>
    </xf>
    <xf numFmtId="0" fontId="16" fillId="0" borderId="0" xfId="0" applyFont="1" applyFill="1" applyProtection="1"/>
    <xf numFmtId="0" fontId="16" fillId="0" borderId="0" xfId="0" applyFont="1" applyFill="1" applyProtection="1">
      <protection locked="0"/>
    </xf>
    <xf numFmtId="9" fontId="18" fillId="0" borderId="0" xfId="0" applyNumberFormat="1" applyFont="1" applyFill="1" applyBorder="1"/>
    <xf numFmtId="0" fontId="27" fillId="0" borderId="1" xfId="0" applyFont="1" applyFill="1" applyBorder="1" applyAlignment="1" applyProtection="1">
      <alignment horizontal="right" vertical="center"/>
    </xf>
    <xf numFmtId="0" fontId="9" fillId="0" borderId="1" xfId="0" applyFont="1" applyFill="1" applyBorder="1" applyAlignment="1">
      <alignment horizontal="right" vertical="center"/>
    </xf>
    <xf numFmtId="0" fontId="16" fillId="0" borderId="1" xfId="0" applyFont="1" applyFill="1" applyBorder="1" applyAlignment="1" applyProtection="1">
      <alignment horizontal="right" vertical="center"/>
    </xf>
    <xf numFmtId="164" fontId="9" fillId="0" borderId="5" xfId="0" applyNumberFormat="1" applyFont="1" applyFill="1" applyBorder="1" applyAlignment="1">
      <alignment horizontal="right" vertical="center"/>
    </xf>
    <xf numFmtId="9" fontId="9" fillId="0" borderId="1" xfId="0" applyNumberFormat="1" applyFont="1" applyFill="1" applyBorder="1" applyAlignment="1">
      <alignment horizontal="right" vertical="center"/>
    </xf>
    <xf numFmtId="0" fontId="16" fillId="0" borderId="5" xfId="0" quotePrefix="1" applyFont="1" applyFill="1" applyBorder="1" applyAlignment="1" applyProtection="1">
      <alignment horizontal="right" vertical="center"/>
    </xf>
    <xf numFmtId="42" fontId="9" fillId="0" borderId="5" xfId="0" applyNumberFormat="1" applyFont="1" applyFill="1" applyBorder="1" applyAlignment="1">
      <alignment horizontal="right" vertical="center"/>
    </xf>
    <xf numFmtId="0" fontId="16" fillId="0" borderId="1" xfId="0" quotePrefix="1" applyFont="1" applyFill="1" applyBorder="1" applyAlignment="1" applyProtection="1">
      <alignment horizontal="right" vertical="center"/>
    </xf>
    <xf numFmtId="0" fontId="16" fillId="5" borderId="2" xfId="0" quotePrefix="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protection locked="0"/>
    </xf>
    <xf numFmtId="0" fontId="9" fillId="0" borderId="9" xfId="0" applyFont="1" applyFill="1" applyBorder="1" applyAlignment="1">
      <alignment horizontal="right" vertical="center"/>
    </xf>
    <xf numFmtId="0" fontId="27" fillId="0" borderId="6" xfId="0" applyFont="1" applyFill="1" applyBorder="1" applyAlignment="1" applyProtection="1">
      <alignment horizontal="right" vertical="center"/>
    </xf>
    <xf numFmtId="43" fontId="16" fillId="5" borderId="6" xfId="1" applyNumberFormat="1" applyFont="1" applyFill="1" applyBorder="1" applyAlignment="1" applyProtection="1">
      <alignment horizontal="right" vertical="center"/>
      <protection locked="0"/>
    </xf>
    <xf numFmtId="0" fontId="9" fillId="0" borderId="6" xfId="0" applyFont="1" applyFill="1" applyBorder="1" applyAlignment="1">
      <alignment horizontal="right" vertical="center"/>
    </xf>
    <xf numFmtId="0" fontId="7" fillId="0" borderId="1" xfId="0" quotePrefix="1" applyFont="1" applyFill="1" applyBorder="1" applyAlignment="1" applyProtection="1">
      <alignment horizontal="right" vertical="center"/>
    </xf>
    <xf numFmtId="42" fontId="9" fillId="0" borderId="1" xfId="0" applyNumberFormat="1" applyFont="1" applyFill="1" applyBorder="1" applyAlignment="1">
      <alignment horizontal="right" vertical="center"/>
    </xf>
    <xf numFmtId="43" fontId="16" fillId="5" borderId="6" xfId="0" applyNumberFormat="1" applyFont="1" applyFill="1" applyBorder="1" applyAlignment="1" applyProtection="1">
      <alignment horizontal="right" vertical="center"/>
    </xf>
    <xf numFmtId="43" fontId="16" fillId="5" borderId="6" xfId="0" applyNumberFormat="1" applyFont="1" applyFill="1" applyBorder="1" applyAlignment="1">
      <alignment horizontal="right" vertical="center"/>
    </xf>
    <xf numFmtId="0" fontId="16" fillId="0" borderId="2" xfId="0" quotePrefix="1" applyFont="1" applyFill="1" applyBorder="1" applyAlignment="1" applyProtection="1">
      <alignment horizontal="right" vertical="center"/>
    </xf>
    <xf numFmtId="43" fontId="16" fillId="5" borderId="8" xfId="0" applyNumberFormat="1" applyFont="1" applyFill="1" applyBorder="1" applyAlignment="1">
      <alignment horizontal="right" vertical="center"/>
    </xf>
    <xf numFmtId="43" fontId="16" fillId="0" borderId="8" xfId="1" applyNumberFormat="1" applyFont="1" applyFill="1" applyBorder="1" applyAlignment="1" applyProtection="1">
      <alignment horizontal="right" vertical="center"/>
      <protection locked="0"/>
    </xf>
    <xf numFmtId="43" fontId="16" fillId="0" borderId="6" xfId="1" applyNumberFormat="1" applyFont="1" applyFill="1" applyBorder="1" applyAlignment="1" applyProtection="1">
      <alignment horizontal="right" vertical="center"/>
      <protection locked="0"/>
    </xf>
    <xf numFmtId="0" fontId="7" fillId="0" borderId="5" xfId="0" quotePrefix="1" applyFont="1" applyFill="1" applyBorder="1" applyAlignment="1" applyProtection="1">
      <alignment horizontal="right" vertical="center"/>
    </xf>
    <xf numFmtId="0" fontId="9" fillId="0" borderId="5" xfId="0" quotePrefix="1" applyFont="1" applyFill="1" applyBorder="1" applyAlignment="1" applyProtection="1">
      <alignment horizontal="right" vertical="center"/>
    </xf>
    <xf numFmtId="0" fontId="9" fillId="0" borderId="5" xfId="0" applyFont="1" applyFill="1" applyBorder="1" applyAlignment="1" applyProtection="1">
      <alignment horizontal="right" vertical="center"/>
    </xf>
    <xf numFmtId="42" fontId="9" fillId="0" borderId="5" xfId="0" applyNumberFormat="1" applyFont="1" applyFill="1" applyBorder="1" applyAlignment="1">
      <alignment horizontal="left" vertical="center"/>
    </xf>
    <xf numFmtId="0" fontId="9" fillId="0" borderId="1" xfId="0" applyFont="1" applyFill="1" applyBorder="1" applyAlignment="1" applyProtection="1">
      <alignment horizontal="right" vertical="center"/>
    </xf>
    <xf numFmtId="42" fontId="9" fillId="0" borderId="1" xfId="1" applyNumberFormat="1" applyFont="1" applyFill="1" applyBorder="1" applyAlignment="1">
      <alignment horizontal="left" vertical="center"/>
    </xf>
    <xf numFmtId="42" fontId="9" fillId="0" borderId="1" xfId="0" applyNumberFormat="1" applyFont="1" applyFill="1" applyBorder="1" applyAlignment="1">
      <alignment horizontal="left" vertical="center"/>
    </xf>
    <xf numFmtId="0" fontId="7" fillId="8" borderId="1" xfId="0" applyFont="1" applyFill="1" applyBorder="1" applyAlignment="1" applyProtection="1">
      <alignment horizontal="right" vertical="center"/>
      <protection locked="0"/>
    </xf>
    <xf numFmtId="44" fontId="7" fillId="8" borderId="1" xfId="0" applyNumberFormat="1" applyFont="1" applyFill="1" applyBorder="1" applyAlignment="1" applyProtection="1">
      <alignment horizontal="right" vertical="center"/>
      <protection locked="0"/>
    </xf>
    <xf numFmtId="44" fontId="16" fillId="8" borderId="1" xfId="0" applyNumberFormat="1" applyFont="1" applyFill="1" applyBorder="1" applyProtection="1">
      <protection locked="0"/>
    </xf>
    <xf numFmtId="0" fontId="30" fillId="0" borderId="0" xfId="0" applyFont="1" applyFill="1" applyBorder="1" applyAlignment="1" applyProtection="1">
      <alignment vertical="center"/>
    </xf>
    <xf numFmtId="0" fontId="9" fillId="0" borderId="0" xfId="0" applyFont="1" applyFill="1" applyBorder="1" applyAlignment="1" applyProtection="1">
      <alignment horizontal="right" vertical="center"/>
    </xf>
    <xf numFmtId="0" fontId="16" fillId="0" borderId="0" xfId="0" applyFont="1" applyProtection="1"/>
    <xf numFmtId="10" fontId="7" fillId="8" borderId="0" xfId="0" applyNumberFormat="1" applyFont="1" applyFill="1" applyBorder="1" applyAlignment="1" applyProtection="1">
      <alignment horizontal="left" vertical="center"/>
      <protection locked="0"/>
    </xf>
    <xf numFmtId="37" fontId="16" fillId="8" borderId="1" xfId="1" applyNumberFormat="1" applyFont="1" applyFill="1" applyBorder="1" applyAlignment="1" applyProtection="1">
      <alignment horizontal="right" vertical="center"/>
      <protection locked="0"/>
    </xf>
    <xf numFmtId="37" fontId="16" fillId="8" borderId="1" xfId="0" applyNumberFormat="1" applyFont="1" applyFill="1" applyBorder="1" applyAlignment="1" applyProtection="1">
      <alignment horizontal="right" vertical="center"/>
      <protection locked="0"/>
    </xf>
    <xf numFmtId="166" fontId="7" fillId="8" borderId="1" xfId="0" applyNumberFormat="1" applyFont="1" applyFill="1" applyBorder="1" applyProtection="1">
      <protection locked="0"/>
    </xf>
    <xf numFmtId="41" fontId="7" fillId="8" borderId="1" xfId="2" applyNumberFormat="1" applyFont="1" applyFill="1" applyBorder="1" applyProtection="1">
      <protection locked="0"/>
    </xf>
    <xf numFmtId="10" fontId="7" fillId="8" borderId="1" xfId="5" applyNumberFormat="1" applyFont="1" applyFill="1" applyBorder="1" applyProtection="1">
      <protection locked="0"/>
    </xf>
    <xf numFmtId="0" fontId="7" fillId="0" borderId="1" xfId="0" quotePrefix="1" applyFont="1" applyFill="1" applyBorder="1" applyAlignment="1">
      <alignment horizontal="right"/>
    </xf>
    <xf numFmtId="42" fontId="7" fillId="0" borderId="1" xfId="0" applyNumberFormat="1" applyFont="1" applyFill="1" applyBorder="1" applyAlignment="1">
      <alignment horizontal="right"/>
    </xf>
    <xf numFmtId="0" fontId="32" fillId="0" borderId="0" xfId="0" applyFont="1" applyFill="1"/>
    <xf numFmtId="0" fontId="16" fillId="0" borderId="0" xfId="0" applyFont="1" applyFill="1" applyBorder="1" applyAlignment="1">
      <alignment vertical="center"/>
    </xf>
    <xf numFmtId="0" fontId="16" fillId="0" borderId="0" xfId="0" applyFont="1" applyFill="1" applyAlignment="1"/>
    <xf numFmtId="0" fontId="27" fillId="0" borderId="0" xfId="0" applyFont="1" applyFill="1" applyBorder="1" applyAlignment="1">
      <alignment vertical="center"/>
    </xf>
    <xf numFmtId="0" fontId="16" fillId="0" borderId="0" xfId="0" applyFont="1" applyFill="1" applyAlignment="1" applyProtection="1">
      <alignment horizontal="right"/>
    </xf>
    <xf numFmtId="0" fontId="9" fillId="0" borderId="1" xfId="0" applyFont="1" applyFill="1" applyBorder="1" applyAlignment="1">
      <alignment horizontal="right"/>
    </xf>
    <xf numFmtId="0" fontId="9" fillId="0" borderId="6" xfId="0" applyFont="1" applyFill="1" applyBorder="1"/>
    <xf numFmtId="41" fontId="18" fillId="0" borderId="6" xfId="5" applyNumberFormat="1" applyFont="1" applyFill="1" applyBorder="1" applyProtection="1">
      <protection locked="0"/>
    </xf>
    <xf numFmtId="0" fontId="9" fillId="0" borderId="6" xfId="0" applyFont="1" applyFill="1" applyBorder="1" applyAlignment="1">
      <alignment horizontal="center" vertical="center"/>
    </xf>
    <xf numFmtId="0" fontId="16" fillId="0" borderId="1" xfId="0" applyFont="1" applyFill="1" applyBorder="1" applyAlignment="1" applyProtection="1">
      <alignment horizontal="left" indent="3"/>
      <protection locked="0"/>
    </xf>
    <xf numFmtId="41" fontId="7" fillId="8" borderId="1" xfId="1" applyNumberFormat="1" applyFont="1" applyFill="1" applyBorder="1" applyProtection="1">
      <protection locked="0"/>
    </xf>
    <xf numFmtId="42" fontId="9" fillId="0" borderId="1" xfId="0" applyNumberFormat="1" applyFont="1" applyFill="1" applyBorder="1" applyProtection="1"/>
    <xf numFmtId="0" fontId="27" fillId="0" borderId="1" xfId="0" applyFont="1" applyFill="1" applyBorder="1"/>
    <xf numFmtId="0" fontId="16" fillId="0" borderId="1" xfId="0" applyFont="1" applyBorder="1" applyAlignment="1">
      <alignment horizontal="left" indent="3"/>
    </xf>
    <xf numFmtId="0" fontId="16" fillId="0" borderId="1" xfId="0" applyFont="1" applyBorder="1" applyAlignment="1">
      <alignment horizontal="left" indent="6"/>
    </xf>
    <xf numFmtId="0" fontId="27" fillId="0" borderId="1" xfId="0" applyFont="1" applyBorder="1"/>
    <xf numFmtId="44" fontId="16" fillId="0" borderId="0" xfId="0" applyNumberFormat="1" applyFont="1"/>
    <xf numFmtId="0" fontId="16" fillId="0" borderId="0" xfId="0" applyFont="1" applyFill="1" applyAlignment="1">
      <alignment horizontal="right"/>
    </xf>
    <xf numFmtId="0" fontId="33" fillId="0" borderId="0" xfId="0" applyFont="1" applyBorder="1" applyAlignment="1">
      <alignment vertical="center"/>
    </xf>
    <xf numFmtId="0" fontId="9" fillId="0" borderId="0" xfId="0" applyFont="1" applyBorder="1" applyAlignment="1">
      <alignment horizontal="left" vertical="center"/>
    </xf>
    <xf numFmtId="0" fontId="7" fillId="0" borderId="0" xfId="0" applyFont="1" applyFill="1" applyAlignment="1">
      <alignment horizontal="left"/>
    </xf>
    <xf numFmtId="0" fontId="16" fillId="0" borderId="0" xfId="0" applyFont="1" applyFill="1" applyAlignment="1">
      <alignment horizontal="center"/>
    </xf>
    <xf numFmtId="41" fontId="16" fillId="0" borderId="1" xfId="0" applyNumberFormat="1" applyFont="1" applyFill="1" applyBorder="1"/>
    <xf numFmtId="166" fontId="7" fillId="0" borderId="1" xfId="0" applyNumberFormat="1" applyFont="1" applyFill="1" applyBorder="1" applyProtection="1"/>
    <xf numFmtId="43" fontId="16" fillId="0" borderId="1" xfId="0" applyNumberFormat="1" applyFont="1" applyFill="1" applyBorder="1"/>
    <xf numFmtId="41" fontId="16" fillId="0" borderId="1" xfId="0" applyNumberFormat="1" applyFont="1" applyBorder="1"/>
    <xf numFmtId="41" fontId="7" fillId="0" borderId="6" xfId="1" applyNumberFormat="1" applyFont="1" applyFill="1" applyBorder="1" applyProtection="1"/>
    <xf numFmtId="41" fontId="16" fillId="0" borderId="6" xfId="0" applyNumberFormat="1" applyFont="1" applyBorder="1"/>
    <xf numFmtId="0" fontId="16" fillId="0" borderId="1" xfId="0" applyFont="1" applyBorder="1" applyAlignment="1">
      <alignment horizontal="left"/>
    </xf>
    <xf numFmtId="0" fontId="28" fillId="0" borderId="0" xfId="0" applyFont="1" applyBorder="1" applyAlignment="1"/>
    <xf numFmtId="0" fontId="7" fillId="0" borderId="0" xfId="0" applyFont="1" applyFill="1" applyBorder="1" applyAlignment="1">
      <alignment horizontal="left" vertical="center"/>
    </xf>
    <xf numFmtId="0" fontId="16" fillId="0" borderId="0" xfId="4" applyFont="1" applyFill="1"/>
    <xf numFmtId="0" fontId="16" fillId="4" borderId="1" xfId="4" applyFont="1" applyFill="1" applyBorder="1"/>
    <xf numFmtId="9" fontId="16" fillId="8" borderId="1" xfId="5" applyFont="1" applyFill="1" applyBorder="1" applyProtection="1">
      <protection locked="0"/>
    </xf>
    <xf numFmtId="0" fontId="16" fillId="4" borderId="1" xfId="0" applyFont="1" applyFill="1" applyBorder="1"/>
    <xf numFmtId="0" fontId="16" fillId="6" borderId="1" xfId="0" applyFont="1" applyFill="1" applyBorder="1" applyProtection="1">
      <protection locked="0"/>
    </xf>
    <xf numFmtId="0" fontId="7" fillId="0" borderId="2" xfId="0" applyFont="1" applyFill="1" applyBorder="1"/>
    <xf numFmtId="9" fontId="16" fillId="0" borderId="1" xfId="5" applyFont="1" applyFill="1" applyBorder="1" applyProtection="1"/>
    <xf numFmtId="10" fontId="16" fillId="8" borderId="1" xfId="0" applyNumberFormat="1" applyFont="1" applyFill="1" applyBorder="1" applyProtection="1">
      <protection locked="0"/>
    </xf>
    <xf numFmtId="41" fontId="7" fillId="8" borderId="7" xfId="1" applyNumberFormat="1" applyFont="1" applyFill="1" applyBorder="1" applyProtection="1">
      <protection locked="0"/>
    </xf>
    <xf numFmtId="0" fontId="7" fillId="0" borderId="1" xfId="0" applyFont="1" applyFill="1" applyBorder="1" applyAlignment="1">
      <alignment horizontal="left"/>
    </xf>
    <xf numFmtId="0" fontId="27" fillId="0" borderId="1" xfId="0" applyFont="1" applyBorder="1" applyAlignment="1">
      <alignment horizontal="right"/>
    </xf>
    <xf numFmtId="9" fontId="27" fillId="0" borderId="1" xfId="0" applyNumberFormat="1" applyFont="1" applyFill="1" applyBorder="1"/>
    <xf numFmtId="9" fontId="27" fillId="0" borderId="1" xfId="0" applyNumberFormat="1" applyFont="1" applyBorder="1"/>
    <xf numFmtId="0" fontId="28" fillId="0" borderId="0" xfId="0" quotePrefix="1" applyFont="1" applyBorder="1" applyAlignment="1"/>
    <xf numFmtId="0" fontId="27" fillId="0" borderId="0" xfId="0" quotePrefix="1" applyFont="1" applyFill="1" applyAlignment="1"/>
    <xf numFmtId="0" fontId="27" fillId="0" borderId="0" xfId="0" applyFont="1" applyFill="1"/>
    <xf numFmtId="0" fontId="7" fillId="0" borderId="1" xfId="0" applyFont="1" applyFill="1" applyBorder="1" applyAlignment="1">
      <alignment horizontal="left" indent="3"/>
    </xf>
    <xf numFmtId="41" fontId="7" fillId="0" borderId="1" xfId="1" quotePrefix="1" applyNumberFormat="1" applyFont="1" applyFill="1" applyBorder="1" applyProtection="1"/>
    <xf numFmtId="41" fontId="7" fillId="0" borderId="1" xfId="1" applyNumberFormat="1" applyFont="1" applyFill="1" applyBorder="1"/>
    <xf numFmtId="0" fontId="7" fillId="0" borderId="1" xfId="0" applyFont="1" applyFill="1" applyBorder="1" applyAlignment="1">
      <alignment horizontal="left" indent="6"/>
    </xf>
    <xf numFmtId="0" fontId="9" fillId="5" borderId="1" xfId="0" applyFont="1" applyFill="1" applyBorder="1" applyAlignment="1">
      <alignment horizontal="left"/>
    </xf>
    <xf numFmtId="42" fontId="7" fillId="5" borderId="1" xfId="1" applyNumberFormat="1" applyFont="1" applyFill="1" applyBorder="1" applyProtection="1"/>
    <xf numFmtId="0" fontId="7" fillId="0" borderId="1" xfId="0" applyFont="1" applyFill="1" applyBorder="1" applyAlignment="1">
      <alignment horizontal="left" indent="5"/>
    </xf>
    <xf numFmtId="42" fontId="9" fillId="0" borderId="1" xfId="1" applyNumberFormat="1" applyFont="1" applyFill="1" applyBorder="1"/>
    <xf numFmtId="0" fontId="9" fillId="0" borderId="0" xfId="0" quotePrefix="1" applyFont="1" applyBorder="1" applyAlignment="1"/>
    <xf numFmtId="42" fontId="9" fillId="0" borderId="1" xfId="0" applyNumberFormat="1" applyFont="1" applyFill="1" applyBorder="1" applyAlignment="1">
      <alignment horizontal="left" indent="3"/>
    </xf>
    <xf numFmtId="0" fontId="35" fillId="0" borderId="0" xfId="0" applyFont="1" applyFill="1"/>
    <xf numFmtId="0" fontId="9" fillId="0" borderId="0" xfId="0" applyFont="1" applyBorder="1" applyAlignment="1">
      <alignment horizontal="left"/>
    </xf>
    <xf numFmtId="0" fontId="7" fillId="0" borderId="0" xfId="0" applyFont="1" applyAlignment="1"/>
    <xf numFmtId="0" fontId="9" fillId="0" borderId="0" xfId="0" applyFont="1" applyBorder="1" applyAlignment="1">
      <alignment vertical="center"/>
    </xf>
    <xf numFmtId="0" fontId="7" fillId="0" borderId="0" xfId="0" applyFont="1" applyBorder="1" applyAlignment="1">
      <alignment vertical="center"/>
    </xf>
    <xf numFmtId="0" fontId="7" fillId="0"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xf>
    <xf numFmtId="42" fontId="9" fillId="0" borderId="1" xfId="0" applyNumberFormat="1" applyFont="1" applyBorder="1"/>
    <xf numFmtId="42" fontId="9" fillId="5" borderId="1" xfId="0" applyNumberFormat="1" applyFont="1" applyFill="1" applyBorder="1" applyAlignment="1">
      <alignment horizontal="left"/>
    </xf>
    <xf numFmtId="0" fontId="7" fillId="0" borderId="1" xfId="0" applyFont="1" applyFill="1" applyBorder="1" applyAlignment="1" applyProtection="1">
      <alignment horizontal="left" indent="3"/>
      <protection locked="0"/>
    </xf>
    <xf numFmtId="0" fontId="9" fillId="4" borderId="1" xfId="0" applyFont="1" applyFill="1" applyBorder="1" applyAlignment="1" applyProtection="1">
      <alignment horizontal="left"/>
    </xf>
    <xf numFmtId="0" fontId="9" fillId="0" borderId="1" xfId="0" applyFont="1" applyFill="1" applyBorder="1" applyAlignment="1" applyProtection="1">
      <alignment horizontal="left"/>
    </xf>
    <xf numFmtId="0" fontId="7" fillId="4" borderId="1" xfId="0" applyFont="1" applyFill="1" applyBorder="1" applyAlignment="1" applyProtection="1">
      <alignment horizontal="left" indent="3"/>
    </xf>
    <xf numFmtId="0" fontId="7" fillId="4" borderId="1" xfId="0" applyFont="1" applyFill="1" applyBorder="1" applyAlignment="1" applyProtection="1">
      <alignment horizontal="left" indent="6"/>
    </xf>
    <xf numFmtId="42" fontId="7" fillId="0" borderId="1" xfId="0" applyNumberFormat="1" applyFont="1" applyFill="1" applyBorder="1" applyProtection="1"/>
    <xf numFmtId="0" fontId="29" fillId="0" borderId="0" xfId="0" applyFont="1" applyFill="1"/>
    <xf numFmtId="9" fontId="29" fillId="0" borderId="0" xfId="0" applyNumberFormat="1" applyFont="1" applyFill="1" applyAlignment="1">
      <alignment horizontal="center"/>
    </xf>
    <xf numFmtId="9" fontId="29" fillId="0" borderId="0" xfId="0" applyNumberFormat="1" applyFont="1" applyFill="1"/>
    <xf numFmtId="9" fontId="28" fillId="0" borderId="0" xfId="0" applyNumberFormat="1" applyFont="1" applyBorder="1" applyAlignment="1">
      <alignment horizontal="center"/>
    </xf>
    <xf numFmtId="9" fontId="28" fillId="0" borderId="0" xfId="0" applyNumberFormat="1" applyFont="1" applyBorder="1" applyAlignment="1"/>
    <xf numFmtId="0" fontId="29" fillId="0" borderId="0" xfId="0" applyFont="1"/>
    <xf numFmtId="0" fontId="28" fillId="0" borderId="0" xfId="0" applyFont="1" applyBorder="1" applyAlignment="1">
      <alignment horizontal="left"/>
    </xf>
    <xf numFmtId="9" fontId="9" fillId="0" borderId="0" xfId="0" applyNumberFormat="1" applyFont="1" applyBorder="1" applyAlignment="1">
      <alignment horizontal="center" vertical="center"/>
    </xf>
    <xf numFmtId="9" fontId="9" fillId="0" borderId="0" xfId="0" applyNumberFormat="1" applyFont="1" applyBorder="1" applyAlignment="1">
      <alignment vertical="center"/>
    </xf>
    <xf numFmtId="9" fontId="7" fillId="0" borderId="0" xfId="0" applyNumberFormat="1" applyFont="1" applyBorder="1" applyAlignment="1">
      <alignment horizontal="center" vertical="center"/>
    </xf>
    <xf numFmtId="9" fontId="7" fillId="0" borderId="0" xfId="0" applyNumberFormat="1" applyFont="1" applyBorder="1" applyAlignment="1">
      <alignment vertical="center"/>
    </xf>
    <xf numFmtId="0" fontId="9" fillId="0" borderId="2" xfId="0" applyFont="1" applyFill="1" applyBorder="1" applyAlignment="1">
      <alignment horizontal="left"/>
    </xf>
    <xf numFmtId="0" fontId="7" fillId="0" borderId="2" xfId="0" applyFont="1" applyFill="1" applyBorder="1" applyAlignment="1">
      <alignment horizontal="left" vertical="center"/>
    </xf>
    <xf numFmtId="9" fontId="7" fillId="0" borderId="1" xfId="0" applyNumberFormat="1" applyFont="1" applyFill="1" applyBorder="1" applyAlignment="1">
      <alignment horizontal="center"/>
    </xf>
    <xf numFmtId="9" fontId="7" fillId="0" borderId="1" xfId="0" applyNumberFormat="1" applyFont="1" applyFill="1" applyBorder="1" applyAlignment="1">
      <alignment horizontal="right"/>
    </xf>
    <xf numFmtId="9" fontId="7" fillId="0" borderId="1" xfId="1" applyNumberFormat="1" applyFont="1" applyFill="1" applyBorder="1" applyAlignment="1">
      <alignment horizontal="center"/>
    </xf>
    <xf numFmtId="9" fontId="7" fillId="0" borderId="1" xfId="1" applyNumberFormat="1" applyFont="1" applyFill="1" applyBorder="1" applyAlignment="1">
      <alignment horizontal="right"/>
    </xf>
    <xf numFmtId="9" fontId="9" fillId="0" borderId="1" xfId="1" applyNumberFormat="1" applyFont="1" applyFill="1" applyBorder="1" applyAlignment="1">
      <alignment horizontal="center"/>
    </xf>
    <xf numFmtId="9" fontId="9" fillId="0" borderId="1" xfId="1" applyNumberFormat="1" applyFont="1" applyFill="1" applyBorder="1"/>
    <xf numFmtId="165" fontId="7" fillId="0" borderId="1" xfId="1" applyNumberFormat="1" applyFont="1" applyFill="1" applyBorder="1"/>
    <xf numFmtId="9" fontId="7" fillId="0" borderId="1" xfId="1" applyNumberFormat="1" applyFont="1" applyFill="1" applyBorder="1"/>
    <xf numFmtId="9" fontId="7" fillId="0" borderId="1" xfId="0" applyNumberFormat="1" applyFont="1" applyFill="1" applyBorder="1"/>
    <xf numFmtId="9" fontId="9" fillId="0" borderId="1" xfId="0" applyNumberFormat="1" applyFont="1" applyFill="1" applyBorder="1" applyAlignment="1">
      <alignment horizontal="center"/>
    </xf>
    <xf numFmtId="9" fontId="7" fillId="0" borderId="1" xfId="0" applyNumberFormat="1" applyFont="1" applyFill="1" applyBorder="1" applyProtection="1"/>
    <xf numFmtId="9" fontId="7" fillId="0" borderId="1" xfId="0" applyNumberFormat="1" applyFont="1" applyFill="1" applyBorder="1" applyAlignment="1" applyProtection="1">
      <alignment horizontal="center"/>
    </xf>
    <xf numFmtId="9" fontId="7" fillId="0" borderId="1" xfId="1" applyNumberFormat="1" applyFont="1" applyFill="1" applyBorder="1" applyAlignment="1" applyProtection="1">
      <alignment horizontal="center"/>
    </xf>
    <xf numFmtId="0" fontId="9" fillId="0" borderId="2" xfId="0" applyFont="1" applyFill="1" applyBorder="1" applyAlignment="1" applyProtection="1">
      <alignment horizontal="left"/>
    </xf>
    <xf numFmtId="40" fontId="7" fillId="0" borderId="1" xfId="0" applyNumberFormat="1" applyFont="1" applyFill="1" applyBorder="1" applyProtection="1"/>
    <xf numFmtId="0" fontId="7" fillId="0" borderId="1" xfId="0" applyFont="1" applyFill="1" applyBorder="1" applyAlignment="1" applyProtection="1">
      <alignment horizontal="left" indent="3"/>
    </xf>
    <xf numFmtId="0" fontId="7" fillId="0" borderId="2" xfId="0" applyFont="1" applyFill="1" applyBorder="1" applyAlignment="1" applyProtection="1">
      <alignment horizontal="left" indent="3"/>
    </xf>
    <xf numFmtId="0" fontId="7" fillId="0" borderId="2" xfId="0" applyFont="1" applyFill="1" applyBorder="1" applyAlignment="1" applyProtection="1">
      <alignment horizontal="left" indent="6"/>
    </xf>
    <xf numFmtId="0" fontId="7" fillId="0" borderId="1" xfId="0" applyFont="1" applyFill="1" applyBorder="1" applyAlignment="1" applyProtection="1">
      <alignment horizontal="left" indent="6"/>
    </xf>
    <xf numFmtId="9" fontId="29" fillId="0" borderId="0" xfId="0" applyNumberFormat="1" applyFont="1" applyAlignment="1">
      <alignment horizontal="center"/>
    </xf>
    <xf numFmtId="9" fontId="29" fillId="0" borderId="0" xfId="0" applyNumberFormat="1" applyFont="1"/>
    <xf numFmtId="165" fontId="7" fillId="0" borderId="1" xfId="1" applyNumberFormat="1" applyFont="1" applyFill="1" applyBorder="1" applyProtection="1"/>
    <xf numFmtId="0" fontId="7" fillId="0" borderId="1" xfId="0" applyFont="1" applyFill="1" applyBorder="1" applyAlignment="1">
      <alignment horizontal="left" vertical="center" indent="3"/>
    </xf>
    <xf numFmtId="0" fontId="38" fillId="0" borderId="0" xfId="0" applyFont="1" applyFill="1"/>
    <xf numFmtId="41" fontId="7" fillId="0" borderId="1" xfId="2" applyNumberFormat="1" applyFont="1" applyFill="1" applyBorder="1" applyProtection="1"/>
    <xf numFmtId="42" fontId="9" fillId="0" borderId="1" xfId="2" applyNumberFormat="1" applyFont="1" applyFill="1" applyBorder="1" applyProtection="1"/>
    <xf numFmtId="6" fontId="7" fillId="0" borderId="1" xfId="0" applyNumberFormat="1" applyFont="1" applyFill="1" applyBorder="1"/>
    <xf numFmtId="0" fontId="9" fillId="0" borderId="0" xfId="0" applyFont="1" applyFill="1" applyBorder="1" applyAlignment="1">
      <alignment horizontal="left" vertical="center"/>
    </xf>
    <xf numFmtId="0" fontId="39" fillId="0" borderId="0" xfId="0" applyFont="1" applyFill="1" applyBorder="1" applyAlignment="1">
      <alignment horizontal="left" vertical="center"/>
    </xf>
    <xf numFmtId="0" fontId="39" fillId="0" borderId="0" xfId="0" applyFont="1" applyFill="1" applyBorder="1" applyAlignment="1">
      <alignment vertical="center"/>
    </xf>
    <xf numFmtId="41" fontId="16" fillId="6" borderId="1" xfId="0" applyNumberFormat="1" applyFont="1" applyFill="1" applyBorder="1" applyProtection="1">
      <protection locked="0"/>
    </xf>
    <xf numFmtId="0" fontId="7" fillId="0" borderId="1" xfId="0" applyFont="1" applyFill="1" applyBorder="1" applyAlignment="1">
      <alignment wrapText="1"/>
    </xf>
    <xf numFmtId="0" fontId="18" fillId="0" borderId="0" xfId="0" applyFont="1" applyFill="1" applyBorder="1" applyAlignment="1">
      <alignment wrapText="1"/>
    </xf>
    <xf numFmtId="0" fontId="29" fillId="5" borderId="0" xfId="0" applyFont="1" applyFill="1"/>
    <xf numFmtId="0" fontId="16" fillId="0" borderId="1" xfId="0" applyFont="1" applyBorder="1" applyAlignment="1">
      <alignment wrapText="1"/>
    </xf>
    <xf numFmtId="0" fontId="7" fillId="8" borderId="1" xfId="0" applyFont="1" applyFill="1" applyBorder="1" applyAlignment="1" applyProtection="1">
      <alignment vertical="center"/>
      <protection locked="0"/>
    </xf>
    <xf numFmtId="0" fontId="9" fillId="0" borderId="1" xfId="0" applyFont="1" applyFill="1" applyBorder="1" applyAlignment="1">
      <alignment wrapText="1"/>
    </xf>
    <xf numFmtId="0" fontId="28" fillId="0" borderId="0" xfId="0" applyFont="1" applyFill="1" applyBorder="1" applyAlignment="1">
      <alignment horizontal="center"/>
    </xf>
    <xf numFmtId="0" fontId="9" fillId="0" borderId="0" xfId="0" applyFont="1" applyFill="1" applyAlignment="1">
      <alignment horizontal="left" vertical="center"/>
    </xf>
    <xf numFmtId="0" fontId="7" fillId="0" borderId="0" xfId="0" applyFont="1" applyFill="1" applyAlignment="1">
      <alignment horizontal="left" vertical="center"/>
    </xf>
    <xf numFmtId="1" fontId="7" fillId="0" borderId="1" xfId="0" applyNumberFormat="1" applyFont="1" applyFill="1" applyBorder="1"/>
    <xf numFmtId="44" fontId="9" fillId="0" borderId="0" xfId="2" applyFont="1" applyFill="1" applyBorder="1" applyAlignment="1">
      <alignment horizontal="right" vertical="center"/>
    </xf>
    <xf numFmtId="1" fontId="18" fillId="0" borderId="0" xfId="1" applyNumberFormat="1" applyFont="1" applyFill="1" applyBorder="1" applyAlignment="1">
      <alignment horizontal="left" vertical="center"/>
    </xf>
    <xf numFmtId="44" fontId="17" fillId="0" borderId="0" xfId="2" applyFont="1" applyFill="1" applyBorder="1" applyAlignment="1">
      <alignment horizontal="center"/>
    </xf>
    <xf numFmtId="44" fontId="7" fillId="0" borderId="1" xfId="0" applyNumberFormat="1" applyFont="1" applyFill="1" applyBorder="1" applyAlignment="1">
      <alignment horizontal="left" vertical="center" wrapText="1"/>
    </xf>
    <xf numFmtId="42" fontId="9" fillId="0" borderId="1" xfId="0" applyNumberFormat="1" applyFont="1" applyFill="1" applyBorder="1" applyAlignment="1">
      <alignment vertical="center"/>
    </xf>
    <xf numFmtId="42" fontId="7" fillId="0" borderId="0" xfId="2" applyNumberFormat="1" applyFont="1" applyFill="1" applyBorder="1" applyAlignment="1">
      <alignment vertical="center"/>
    </xf>
    <xf numFmtId="44" fontId="7" fillId="0" borderId="0" xfId="0" applyNumberFormat="1" applyFont="1" applyFill="1" applyBorder="1" applyAlignment="1">
      <alignment horizontal="left"/>
    </xf>
    <xf numFmtId="44" fontId="7" fillId="0" borderId="0" xfId="0" applyNumberFormat="1" applyFont="1" applyFill="1" applyBorder="1" applyAlignment="1">
      <alignment horizontal="left" vertical="center" wrapText="1"/>
    </xf>
    <xf numFmtId="42" fontId="7" fillId="0" borderId="0" xfId="0" applyNumberFormat="1" applyFont="1" applyFill="1" applyBorder="1" applyAlignment="1">
      <alignment horizontal="left" vertical="center"/>
    </xf>
    <xf numFmtId="0" fontId="9" fillId="0" borderId="0" xfId="0" applyFont="1" applyFill="1" applyBorder="1" applyAlignment="1">
      <alignment vertical="center" wrapText="1"/>
    </xf>
    <xf numFmtId="42" fontId="7" fillId="0" borderId="0" xfId="0" applyNumberFormat="1" applyFont="1" applyFill="1" applyBorder="1" applyAlignment="1">
      <alignment vertical="center"/>
    </xf>
    <xf numFmtId="44" fontId="7" fillId="0" borderId="0" xfId="2" applyFont="1" applyFill="1" applyBorder="1" applyAlignment="1">
      <alignment vertical="center"/>
    </xf>
    <xf numFmtId="41" fontId="7" fillId="0" borderId="0" xfId="0" applyNumberFormat="1" applyFont="1" applyFill="1" applyBorder="1" applyAlignment="1">
      <alignment vertical="center"/>
    </xf>
    <xf numFmtId="41" fontId="7" fillId="0" borderId="0" xfId="2" applyNumberFormat="1" applyFont="1" applyFill="1" applyBorder="1" applyAlignment="1">
      <alignment vertical="center"/>
    </xf>
    <xf numFmtId="41" fontId="16" fillId="0" borderId="0" xfId="5" applyNumberFormat="1" applyFont="1" applyFill="1" applyBorder="1" applyProtection="1">
      <protection locked="0"/>
    </xf>
    <xf numFmtId="42" fontId="7" fillId="0" borderId="0" xfId="0" applyNumberFormat="1" applyFont="1" applyFill="1" applyBorder="1" applyAlignment="1">
      <alignment vertical="center" wrapText="1"/>
    </xf>
    <xf numFmtId="42" fontId="7" fillId="0" borderId="0" xfId="2" applyNumberFormat="1" applyFont="1" applyFill="1" applyBorder="1" applyAlignment="1">
      <alignment vertical="center" wrapText="1"/>
    </xf>
    <xf numFmtId="4" fontId="7" fillId="0" borderId="0" xfId="0" applyNumberFormat="1" applyFont="1" applyFill="1" applyBorder="1" applyAlignment="1">
      <alignment vertical="center" wrapText="1"/>
    </xf>
    <xf numFmtId="42" fontId="7" fillId="0" borderId="0" xfId="0" applyNumberFormat="1" applyFont="1" applyFill="1" applyBorder="1"/>
    <xf numFmtId="0" fontId="9" fillId="0" borderId="1" xfId="0" applyFont="1" applyFill="1" applyBorder="1" applyAlignment="1">
      <alignment vertical="center" wrapText="1"/>
    </xf>
    <xf numFmtId="0" fontId="16" fillId="0" borderId="0" xfId="0" applyFont="1" applyBorder="1"/>
    <xf numFmtId="166" fontId="9" fillId="0" borderId="1" xfId="1" applyNumberFormat="1" applyFont="1" applyFill="1" applyBorder="1"/>
    <xf numFmtId="0" fontId="7" fillId="0" borderId="1" xfId="0" applyFont="1" applyFill="1" applyBorder="1" applyAlignment="1">
      <alignment horizontal="left" indent="4"/>
    </xf>
    <xf numFmtId="169" fontId="7" fillId="0" borderId="1" xfId="1" applyNumberFormat="1" applyFont="1" applyFill="1" applyBorder="1"/>
    <xf numFmtId="169" fontId="7" fillId="0" borderId="1" xfId="0" applyNumberFormat="1" applyFont="1" applyFill="1" applyBorder="1"/>
    <xf numFmtId="43" fontId="7" fillId="0" borderId="1" xfId="1" applyNumberFormat="1" applyFont="1" applyFill="1" applyBorder="1"/>
    <xf numFmtId="166" fontId="7" fillId="0" borderId="1" xfId="1" applyNumberFormat="1" applyFont="1" applyFill="1" applyBorder="1"/>
    <xf numFmtId="166" fontId="7" fillId="0" borderId="1" xfId="0" applyNumberFormat="1" applyFont="1" applyFill="1" applyBorder="1"/>
    <xf numFmtId="0" fontId="36" fillId="0" borderId="0" xfId="3" applyFont="1" applyFill="1" applyAlignment="1">
      <alignment horizontal="center" vertical="center" wrapText="1"/>
    </xf>
    <xf numFmtId="0" fontId="31" fillId="0" borderId="0" xfId="3" applyFont="1" applyFill="1" applyAlignment="1">
      <alignment horizontal="center" vertical="center" wrapText="1"/>
    </xf>
    <xf numFmtId="42" fontId="9" fillId="0" borderId="1" xfId="2" applyNumberFormat="1" applyFont="1" applyFill="1" applyBorder="1"/>
    <xf numFmtId="0" fontId="7" fillId="0" borderId="0" xfId="0" applyFont="1" applyFill="1" applyBorder="1" applyAlignment="1">
      <alignment vertical="center"/>
    </xf>
    <xf numFmtId="0" fontId="7" fillId="0" borderId="0" xfId="0" applyFont="1" applyFill="1" applyAlignment="1">
      <alignment horizontal="left"/>
    </xf>
    <xf numFmtId="0" fontId="7" fillId="0" borderId="0" xfId="0" applyFont="1" applyBorder="1" applyAlignment="1">
      <alignment vertical="center"/>
    </xf>
    <xf numFmtId="0" fontId="16" fillId="5" borderId="8" xfId="0" quotePrefix="1" applyFont="1" applyFill="1" applyBorder="1" applyAlignment="1" applyProtection="1">
      <alignment horizontal="right" vertical="center"/>
    </xf>
    <xf numFmtId="0" fontId="16" fillId="0" borderId="8" xfId="0" quotePrefix="1" applyFont="1" applyFill="1" applyBorder="1" applyAlignment="1" applyProtection="1">
      <alignment horizontal="right" vertical="center"/>
    </xf>
    <xf numFmtId="42" fontId="16" fillId="0" borderId="1" xfId="0" applyNumberFormat="1" applyFont="1" applyFill="1" applyBorder="1" applyAlignment="1" applyProtection="1">
      <alignment horizontal="right" vertical="center"/>
    </xf>
    <xf numFmtId="42" fontId="7" fillId="0" borderId="5" xfId="0" quotePrefix="1" applyNumberFormat="1" applyFont="1" applyFill="1" applyBorder="1" applyAlignment="1" applyProtection="1">
      <alignment horizontal="right" vertical="center"/>
    </xf>
    <xf numFmtId="42" fontId="16" fillId="0" borderId="1" xfId="0" quotePrefix="1" applyNumberFormat="1" applyFont="1" applyFill="1" applyBorder="1" applyAlignment="1" applyProtection="1">
      <alignment horizontal="right" vertical="center"/>
    </xf>
    <xf numFmtId="42" fontId="7" fillId="0" borderId="1" xfId="0" quotePrefix="1" applyNumberFormat="1" applyFont="1" applyFill="1" applyBorder="1" applyAlignment="1" applyProtection="1">
      <alignment horizontal="right" vertical="center"/>
    </xf>
    <xf numFmtId="42" fontId="16" fillId="0" borderId="5" xfId="0" quotePrefix="1" applyNumberFormat="1" applyFont="1" applyFill="1" applyBorder="1" applyAlignment="1" applyProtection="1">
      <alignment horizontal="right" vertical="center"/>
    </xf>
    <xf numFmtId="42" fontId="9" fillId="0" borderId="5" xfId="0" applyNumberFormat="1" applyFont="1" applyFill="1" applyBorder="1" applyAlignment="1" applyProtection="1">
      <alignment horizontal="right" vertical="center"/>
    </xf>
    <xf numFmtId="42" fontId="9" fillId="0" borderId="1" xfId="0" applyNumberFormat="1" applyFont="1" applyFill="1" applyBorder="1" applyAlignment="1" applyProtection="1">
      <alignment horizontal="right" vertical="center"/>
    </xf>
    <xf numFmtId="37" fontId="16" fillId="8" borderId="1" xfId="1" applyNumberFormat="1" applyFont="1" applyFill="1" applyBorder="1" applyAlignment="1" applyProtection="1">
      <alignment horizontal="right" vertical="center"/>
    </xf>
    <xf numFmtId="37" fontId="16" fillId="8" borderId="1" xfId="0" applyNumberFormat="1" applyFont="1" applyFill="1" applyBorder="1" applyAlignment="1" applyProtection="1">
      <alignment horizontal="right" vertical="center"/>
    </xf>
    <xf numFmtId="41" fontId="16" fillId="8" borderId="1" xfId="1" applyNumberFormat="1" applyFont="1" applyFill="1" applyBorder="1" applyAlignment="1" applyProtection="1">
      <alignment horizontal="right" vertical="center"/>
    </xf>
    <xf numFmtId="41" fontId="16" fillId="8" borderId="1" xfId="0" applyNumberFormat="1" applyFont="1" applyFill="1" applyBorder="1" applyAlignment="1" applyProtection="1">
      <alignment horizontal="right" vertical="center"/>
    </xf>
    <xf numFmtId="9" fontId="9" fillId="0" borderId="0" xfId="0" applyNumberFormat="1" applyFont="1" applyFill="1" applyBorder="1" applyAlignment="1">
      <alignment horizontal="center"/>
    </xf>
    <xf numFmtId="9" fontId="9" fillId="0" borderId="0" xfId="0" applyNumberFormat="1" applyFont="1" applyFill="1" applyBorder="1"/>
    <xf numFmtId="43" fontId="9" fillId="0" borderId="0" xfId="0" applyNumberFormat="1" applyFont="1" applyFill="1" applyBorder="1" applyAlignment="1">
      <alignment horizontal="center" vertical="center"/>
    </xf>
    <xf numFmtId="42" fontId="7" fillId="0" borderId="0" xfId="0" applyNumberFormat="1" applyFont="1" applyFill="1" applyBorder="1" applyProtection="1"/>
    <xf numFmtId="9" fontId="7" fillId="0" borderId="0" xfId="0" applyNumberFormat="1" applyFont="1" applyAlignment="1">
      <alignment horizontal="center"/>
    </xf>
    <xf numFmtId="9" fontId="7" fillId="0" borderId="0" xfId="0" applyNumberFormat="1" applyFont="1"/>
    <xf numFmtId="41" fontId="7" fillId="0" borderId="1" xfId="2" applyNumberFormat="1" applyFont="1" applyFill="1" applyBorder="1"/>
    <xf numFmtId="166" fontId="9" fillId="0" borderId="1" xfId="0" applyNumberFormat="1" applyFont="1" applyFill="1" applyBorder="1" applyAlignment="1">
      <alignment horizontal="right" vertical="center"/>
    </xf>
    <xf numFmtId="166" fontId="9" fillId="0" borderId="1" xfId="0" applyNumberFormat="1" applyFont="1" applyFill="1" applyBorder="1"/>
    <xf numFmtId="41" fontId="16" fillId="5" borderId="5" xfId="1" applyNumberFormat="1" applyFont="1" applyFill="1" applyBorder="1" applyAlignment="1" applyProtection="1">
      <alignment horizontal="right" vertical="center"/>
    </xf>
    <xf numFmtId="41" fontId="16" fillId="5" borderId="1" xfId="1" applyNumberFormat="1" applyFont="1" applyFill="1" applyBorder="1" applyAlignment="1" applyProtection="1">
      <alignment horizontal="right" vertical="center"/>
    </xf>
    <xf numFmtId="41" fontId="7" fillId="5" borderId="1" xfId="1" applyNumberFormat="1" applyFont="1" applyFill="1" applyBorder="1" applyAlignment="1" applyProtection="1">
      <alignment horizontal="right" vertical="center"/>
    </xf>
    <xf numFmtId="41" fontId="16" fillId="0" borderId="1" xfId="1" applyNumberFormat="1" applyFont="1" applyFill="1" applyBorder="1" applyAlignment="1" applyProtection="1">
      <alignment horizontal="right" vertical="center"/>
    </xf>
    <xf numFmtId="41" fontId="7" fillId="0" borderId="1" xfId="1" applyNumberFormat="1" applyFont="1" applyFill="1" applyBorder="1" applyAlignment="1" applyProtection="1">
      <alignment horizontal="right" vertical="center"/>
    </xf>
    <xf numFmtId="37" fontId="9" fillId="0" borderId="5" xfId="1" applyNumberFormat="1" applyFont="1" applyFill="1" applyBorder="1" applyAlignment="1" applyProtection="1">
      <alignment horizontal="right" vertical="center"/>
    </xf>
    <xf numFmtId="37" fontId="9" fillId="0" borderId="5" xfId="0" applyNumberFormat="1" applyFont="1" applyFill="1" applyBorder="1" applyAlignment="1">
      <alignment horizontal="right" vertical="center"/>
    </xf>
    <xf numFmtId="37" fontId="9" fillId="0" borderId="1" xfId="0" applyNumberFormat="1" applyFont="1" applyFill="1" applyBorder="1" applyAlignment="1">
      <alignment horizontal="right" vertical="center"/>
    </xf>
    <xf numFmtId="41" fontId="7" fillId="8" borderId="1" xfId="1" applyNumberFormat="1" applyFont="1" applyFill="1" applyBorder="1" applyAlignment="1" applyProtection="1">
      <alignment horizontal="right" vertical="center"/>
    </xf>
    <xf numFmtId="42" fontId="16" fillId="0" borderId="1" xfId="0" applyNumberFormat="1" applyFont="1" applyBorder="1"/>
    <xf numFmtId="0" fontId="16" fillId="0" borderId="1" xfId="0" applyFont="1" applyFill="1" applyBorder="1" applyAlignment="1" applyProtection="1">
      <alignment horizontal="left"/>
      <protection locked="0"/>
    </xf>
    <xf numFmtId="42" fontId="16" fillId="0" borderId="6" xfId="0" applyNumberFormat="1" applyFont="1" applyBorder="1"/>
    <xf numFmtId="42" fontId="7" fillId="0" borderId="6" xfId="1" applyNumberFormat="1" applyFont="1" applyFill="1" applyBorder="1" applyProtection="1"/>
    <xf numFmtId="42" fontId="9" fillId="0" borderId="6" xfId="0" applyNumberFormat="1" applyFont="1" applyFill="1" applyBorder="1" applyProtection="1"/>
    <xf numFmtId="41" fontId="7" fillId="0" borderId="6" xfId="1" applyNumberFormat="1" applyFont="1" applyFill="1" applyBorder="1" applyAlignment="1" applyProtection="1">
      <alignment horizontal="right"/>
    </xf>
    <xf numFmtId="42" fontId="16" fillId="0" borderId="1" xfId="0" applyNumberFormat="1" applyFont="1" applyFill="1" applyBorder="1" applyProtection="1"/>
    <xf numFmtId="42" fontId="16" fillId="0" borderId="5" xfId="0" applyNumberFormat="1" applyFont="1" applyFill="1" applyBorder="1" applyProtection="1"/>
    <xf numFmtId="41" fontId="7" fillId="8" borderId="1" xfId="1" applyNumberFormat="1" applyFont="1" applyFill="1" applyBorder="1" applyAlignment="1" applyProtection="1">
      <alignment horizontal="center"/>
      <protection locked="0"/>
    </xf>
    <xf numFmtId="41" fontId="16" fillId="8" borderId="1" xfId="0" applyNumberFormat="1" applyFont="1" applyFill="1" applyBorder="1" applyProtection="1">
      <protection locked="0"/>
    </xf>
    <xf numFmtId="41" fontId="7" fillId="8" borderId="5" xfId="1" applyNumberFormat="1" applyFont="1" applyFill="1" applyBorder="1" applyAlignment="1" applyProtection="1">
      <alignment horizontal="center"/>
      <protection locked="0"/>
    </xf>
    <xf numFmtId="41" fontId="16" fillId="8" borderId="5" xfId="0" applyNumberFormat="1" applyFont="1" applyFill="1" applyBorder="1" applyProtection="1">
      <protection locked="0"/>
    </xf>
    <xf numFmtId="42" fontId="16" fillId="8" borderId="1" xfId="0" applyNumberFormat="1" applyFont="1" applyFill="1" applyBorder="1" applyProtection="1">
      <protection locked="0"/>
    </xf>
    <xf numFmtId="41" fontId="7" fillId="0" borderId="1" xfId="0" applyNumberFormat="1" applyFont="1" applyFill="1" applyBorder="1" applyProtection="1"/>
    <xf numFmtId="42" fontId="7" fillId="0" borderId="0" xfId="0" applyNumberFormat="1" applyFont="1" applyFill="1" applyBorder="1" applyAlignment="1">
      <alignment horizontal="center"/>
    </xf>
    <xf numFmtId="166" fontId="9" fillId="0" borderId="1" xfId="0" applyNumberFormat="1" applyFont="1" applyFill="1" applyBorder="1" applyAlignment="1">
      <alignment horizontal="right"/>
    </xf>
    <xf numFmtId="42" fontId="7" fillId="0" borderId="1" xfId="0" applyNumberFormat="1" applyFont="1" applyFill="1" applyBorder="1" applyAlignment="1">
      <alignment horizontal="left" vertical="center" wrapText="1"/>
    </xf>
    <xf numFmtId="42" fontId="7" fillId="0" borderId="1" xfId="1" applyNumberFormat="1" applyFont="1" applyFill="1" applyBorder="1" applyAlignment="1">
      <alignment horizontal="right"/>
    </xf>
    <xf numFmtId="41" fontId="9" fillId="0" borderId="1" xfId="0" applyNumberFormat="1" applyFont="1" applyFill="1" applyBorder="1"/>
    <xf numFmtId="0" fontId="31" fillId="0" borderId="0" xfId="3" applyFont="1" applyFill="1" applyBorder="1" applyAlignment="1">
      <alignment vertical="center"/>
    </xf>
    <xf numFmtId="0" fontId="41" fillId="0" borderId="0" xfId="0" applyFont="1" applyFill="1" applyBorder="1" applyAlignment="1">
      <alignment horizontal="center"/>
    </xf>
    <xf numFmtId="0" fontId="31" fillId="0" borderId="0" xfId="3" applyFont="1" applyFill="1" applyAlignment="1">
      <alignment vertical="center"/>
    </xf>
    <xf numFmtId="0" fontId="7" fillId="0" borderId="1" xfId="0" applyFont="1" applyFill="1" applyBorder="1" applyAlignment="1" applyProtection="1">
      <alignment horizontal="left"/>
      <protection locked="0"/>
    </xf>
    <xf numFmtId="0" fontId="40" fillId="8" borderId="6" xfId="0" applyFont="1" applyFill="1" applyBorder="1" applyAlignment="1" applyProtection="1">
      <alignment horizontal="center"/>
      <protection locked="0"/>
    </xf>
    <xf numFmtId="0" fontId="40" fillId="8" borderId="6" xfId="0" applyNumberFormat="1" applyFont="1" applyFill="1" applyBorder="1" applyAlignment="1" applyProtection="1">
      <alignment horizontal="center"/>
      <protection locked="0"/>
    </xf>
    <xf numFmtId="0" fontId="7" fillId="0" borderId="6" xfId="0" applyFont="1" applyFill="1" applyBorder="1"/>
    <xf numFmtId="42" fontId="7" fillId="0" borderId="6" xfId="0" applyNumberFormat="1" applyFont="1" applyFill="1" applyBorder="1"/>
    <xf numFmtId="41" fontId="7" fillId="8" borderId="6" xfId="2" applyNumberFormat="1" applyFont="1" applyFill="1" applyBorder="1" applyProtection="1">
      <protection locked="0"/>
    </xf>
    <xf numFmtId="42" fontId="7" fillId="0" borderId="6" xfId="2" applyNumberFormat="1" applyFont="1" applyFill="1" applyBorder="1"/>
    <xf numFmtId="10" fontId="7" fillId="8" borderId="6" xfId="5" applyNumberFormat="1" applyFont="1" applyFill="1" applyBorder="1" applyProtection="1">
      <protection locked="0"/>
    </xf>
    <xf numFmtId="10" fontId="7" fillId="0" borderId="6" xfId="5" applyNumberFormat="1" applyFont="1" applyFill="1" applyBorder="1" applyProtection="1">
      <protection locked="0"/>
    </xf>
    <xf numFmtId="42" fontId="7" fillId="0" borderId="6" xfId="5" applyNumberFormat="1" applyFont="1" applyFill="1" applyBorder="1" applyProtection="1"/>
    <xf numFmtId="41" fontId="7" fillId="0" borderId="6" xfId="2" applyNumberFormat="1" applyFont="1" applyFill="1" applyBorder="1"/>
    <xf numFmtId="166" fontId="7" fillId="8" borderId="6" xfId="0" applyNumberFormat="1" applyFont="1" applyFill="1" applyBorder="1" applyProtection="1">
      <protection locked="0"/>
    </xf>
    <xf numFmtId="164" fontId="16" fillId="0" borderId="6" xfId="1" applyNumberFormat="1" applyFont="1" applyFill="1" applyBorder="1" applyAlignment="1" applyProtection="1">
      <alignment horizontal="right" vertical="center"/>
      <protection locked="0"/>
    </xf>
    <xf numFmtId="0" fontId="9" fillId="0" borderId="6" xfId="4" applyFont="1" applyFill="1" applyBorder="1"/>
    <xf numFmtId="0" fontId="9" fillId="0" borderId="6" xfId="0" applyFont="1" applyFill="1" applyBorder="1" applyAlignment="1" applyProtection="1">
      <alignment horizontal="center"/>
    </xf>
    <xf numFmtId="0" fontId="16" fillId="8" borderId="6" xfId="0" applyFont="1" applyFill="1" applyBorder="1" applyProtection="1">
      <protection locked="0"/>
    </xf>
    <xf numFmtId="0" fontId="9" fillId="0" borderId="4" xfId="0" applyFont="1" applyFill="1" applyBorder="1" applyAlignment="1">
      <alignment horizontal="center" vertical="center"/>
    </xf>
    <xf numFmtId="0" fontId="34"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166" fontId="7" fillId="8" borderId="6" xfId="5" applyNumberFormat="1" applyFont="1" applyFill="1" applyBorder="1" applyProtection="1">
      <protection locked="0"/>
    </xf>
    <xf numFmtId="0" fontId="16" fillId="0" borderId="6" xfId="0" applyFont="1" applyFill="1" applyBorder="1"/>
    <xf numFmtId="0" fontId="16" fillId="8" borderId="6" xfId="0" applyFont="1" applyFill="1" applyBorder="1"/>
    <xf numFmtId="49" fontId="43" fillId="12" borderId="16" xfId="7" applyFont="1" applyFill="1" applyBorder="1" applyAlignment="1" applyProtection="1">
      <alignment horizontal="center" wrapText="1"/>
    </xf>
    <xf numFmtId="0" fontId="9" fillId="0" borderId="6" xfId="0" applyFont="1" applyBorder="1"/>
    <xf numFmtId="41" fontId="7" fillId="0" borderId="6" xfId="0" applyNumberFormat="1" applyFont="1" applyFill="1" applyBorder="1"/>
    <xf numFmtId="49" fontId="44" fillId="12" borderId="16" xfId="7" applyFont="1" applyFill="1" applyBorder="1">
      <alignment wrapText="1"/>
    </xf>
    <xf numFmtId="49" fontId="44" fillId="12" borderId="16" xfId="7" applyFont="1" applyFill="1" applyBorder="1" applyProtection="1">
      <alignment wrapText="1"/>
    </xf>
    <xf numFmtId="49" fontId="44" fillId="12" borderId="16" xfId="7" applyFont="1" applyFill="1" applyBorder="1" applyProtection="1">
      <alignment wrapText="1"/>
      <protection locked="0"/>
    </xf>
    <xf numFmtId="0" fontId="9" fillId="0" borderId="6" xfId="0" applyFont="1" applyFill="1" applyBorder="1" applyAlignment="1">
      <alignment horizontal="center" wrapText="1"/>
    </xf>
    <xf numFmtId="0" fontId="42" fillId="0" borderId="6" xfId="3" applyFont="1" applyFill="1" applyBorder="1" applyAlignment="1">
      <alignment horizontal="center" vertical="center" wrapText="1"/>
    </xf>
    <xf numFmtId="0" fontId="9" fillId="0" borderId="6" xfId="0" applyFont="1" applyFill="1" applyBorder="1" applyAlignment="1">
      <alignment horizontal="left"/>
    </xf>
    <xf numFmtId="42" fontId="7" fillId="0" borderId="6" xfId="1" applyNumberFormat="1" applyFont="1" applyFill="1" applyBorder="1"/>
    <xf numFmtId="164" fontId="7" fillId="0" borderId="6" xfId="1" applyNumberFormat="1" applyFont="1" applyFill="1" applyBorder="1"/>
    <xf numFmtId="164" fontId="9" fillId="0" borderId="6" xfId="1" applyNumberFormat="1" applyFont="1" applyFill="1" applyBorder="1"/>
    <xf numFmtId="0" fontId="7" fillId="0" borderId="4" xfId="0" applyFont="1" applyFill="1" applyBorder="1" applyAlignment="1">
      <alignment horizontal="left" vertical="center"/>
    </xf>
    <xf numFmtId="9" fontId="7" fillId="0" borderId="6" xfId="0" applyNumberFormat="1" applyFont="1" applyFill="1" applyBorder="1" applyAlignment="1">
      <alignment horizontal="center"/>
    </xf>
    <xf numFmtId="9" fontId="7" fillId="0" borderId="6" xfId="0" applyNumberFormat="1" applyFont="1" applyFill="1" applyBorder="1" applyAlignment="1">
      <alignment horizontal="right"/>
    </xf>
    <xf numFmtId="9" fontId="7" fillId="0" borderId="6" xfId="0" applyNumberFormat="1" applyFont="1" applyFill="1" applyBorder="1"/>
    <xf numFmtId="9" fontId="7" fillId="0" borderId="6" xfId="1" applyNumberFormat="1" applyFont="1" applyFill="1" applyBorder="1" applyAlignment="1" applyProtection="1">
      <alignment horizontal="center"/>
    </xf>
    <xf numFmtId="41" fontId="7" fillId="0" borderId="6" xfId="1" applyNumberFormat="1" applyFont="1" applyFill="1" applyBorder="1"/>
    <xf numFmtId="9" fontId="7" fillId="0" borderId="6" xfId="1" applyNumberFormat="1" applyFont="1" applyFill="1" applyBorder="1"/>
    <xf numFmtId="9" fontId="7" fillId="0" borderId="6" xfId="1" applyNumberFormat="1" applyFont="1" applyFill="1" applyBorder="1" applyAlignment="1">
      <alignment horizontal="center"/>
    </xf>
    <xf numFmtId="9" fontId="7" fillId="0" borderId="6" xfId="0" applyNumberFormat="1" applyFont="1" applyFill="1" applyBorder="1" applyAlignment="1" applyProtection="1">
      <alignment horizontal="center"/>
    </xf>
    <xf numFmtId="9" fontId="7" fillId="0" borderId="6" xfId="0" applyNumberFormat="1" applyFont="1" applyFill="1" applyBorder="1" applyProtection="1"/>
    <xf numFmtId="0" fontId="9" fillId="0" borderId="7" xfId="0" applyFont="1" applyFill="1" applyBorder="1" applyAlignment="1" applyProtection="1">
      <alignment horizontal="left"/>
    </xf>
    <xf numFmtId="42" fontId="9" fillId="0" borderId="5" xfId="0" applyNumberFormat="1" applyFont="1" applyFill="1" applyBorder="1" applyProtection="1"/>
    <xf numFmtId="9" fontId="9" fillId="0" borderId="5" xfId="0" applyNumberFormat="1" applyFont="1" applyFill="1" applyBorder="1" applyAlignment="1">
      <alignment horizontal="center"/>
    </xf>
    <xf numFmtId="0" fontId="9" fillId="12" borderId="1" xfId="0" applyFont="1" applyFill="1" applyBorder="1" applyAlignment="1" applyProtection="1">
      <alignment horizontal="left"/>
    </xf>
    <xf numFmtId="42" fontId="9" fillId="12" borderId="1" xfId="0" applyNumberFormat="1" applyFont="1" applyFill="1" applyBorder="1" applyProtection="1"/>
    <xf numFmtId="9" fontId="9" fillId="12" borderId="1" xfId="0" applyNumberFormat="1" applyFont="1" applyFill="1" applyBorder="1" applyAlignment="1">
      <alignment horizontal="center"/>
    </xf>
    <xf numFmtId="0" fontId="7" fillId="0" borderId="6" xfId="0" applyFont="1" applyFill="1" applyBorder="1" applyAlignment="1" applyProtection="1">
      <alignment horizontal="left" indent="3"/>
    </xf>
    <xf numFmtId="41" fontId="7" fillId="0" borderId="6" xfId="0" applyNumberFormat="1" applyFont="1" applyFill="1" applyBorder="1" applyProtection="1"/>
    <xf numFmtId="0" fontId="44" fillId="0" borderId="21" xfId="0" applyFont="1" applyFill="1" applyBorder="1" applyAlignment="1" applyProtection="1">
      <alignment horizontal="left"/>
    </xf>
    <xf numFmtId="40" fontId="45" fillId="0" borderId="16" xfId="0" applyNumberFormat="1" applyFont="1" applyFill="1" applyBorder="1" applyProtection="1"/>
    <xf numFmtId="9" fontId="45" fillId="0" borderId="16" xfId="0" applyNumberFormat="1" applyFont="1" applyFill="1" applyBorder="1" applyAlignment="1" applyProtection="1">
      <alignment horizontal="center"/>
    </xf>
    <xf numFmtId="9" fontId="45" fillId="0" borderId="16" xfId="0" applyNumberFormat="1" applyFont="1" applyFill="1" applyBorder="1" applyProtection="1"/>
    <xf numFmtId="40" fontId="7" fillId="0" borderId="6" xfId="1" applyNumberFormat="1" applyFont="1" applyFill="1" applyBorder="1"/>
    <xf numFmtId="0" fontId="7" fillId="0" borderId="6" xfId="0" applyFont="1" applyFill="1" applyBorder="1" applyAlignment="1">
      <alignment horizontal="left" vertical="center"/>
    </xf>
    <xf numFmtId="165" fontId="7" fillId="0" borderId="6" xfId="1" applyNumberFormat="1" applyFont="1" applyFill="1" applyBorder="1"/>
    <xf numFmtId="0" fontId="7" fillId="0" borderId="6" xfId="0" applyFont="1" applyFill="1" applyBorder="1" applyAlignment="1">
      <alignment horizontal="left" indent="3"/>
    </xf>
    <xf numFmtId="42" fontId="7" fillId="0" borderId="6" xfId="0" applyNumberFormat="1" applyFont="1" applyFill="1" applyBorder="1" applyAlignment="1">
      <alignment horizontal="right"/>
    </xf>
    <xf numFmtId="44" fontId="7" fillId="0" borderId="6" xfId="0" applyNumberFormat="1" applyFont="1" applyFill="1" applyBorder="1" applyAlignment="1">
      <alignment horizontal="left" vertical="center" wrapText="1"/>
    </xf>
    <xf numFmtId="166" fontId="7" fillId="0" borderId="6" xfId="0" applyNumberFormat="1" applyFont="1" applyFill="1" applyBorder="1" applyAlignment="1">
      <alignment horizontal="right" vertical="center" wrapText="1"/>
    </xf>
    <xf numFmtId="0" fontId="7" fillId="0" borderId="6" xfId="0" applyFont="1" applyFill="1" applyBorder="1" applyAlignment="1">
      <alignment horizontal="left" indent="2"/>
    </xf>
    <xf numFmtId="165" fontId="7" fillId="0" borderId="6" xfId="2" applyNumberFormat="1" applyFont="1" applyFill="1" applyBorder="1"/>
    <xf numFmtId="10" fontId="7" fillId="0" borderId="6" xfId="5" applyNumberFormat="1" applyFont="1" applyFill="1" applyBorder="1"/>
    <xf numFmtId="166" fontId="9" fillId="0" borderId="6" xfId="5" applyNumberFormat="1" applyFont="1" applyFill="1" applyBorder="1"/>
    <xf numFmtId="0" fontId="7" fillId="0" borderId="6" xfId="5" applyNumberFormat="1" applyFont="1" applyFill="1" applyBorder="1"/>
    <xf numFmtId="0" fontId="7" fillId="0" borderId="6" xfId="0" applyNumberFormat="1" applyFont="1" applyFill="1" applyBorder="1"/>
    <xf numFmtId="0" fontId="7" fillId="0" borderId="6" xfId="1" applyNumberFormat="1" applyFont="1" applyFill="1" applyBorder="1"/>
    <xf numFmtId="42" fontId="9" fillId="0" borderId="6" xfId="1" applyNumberFormat="1" applyFont="1" applyFill="1" applyBorder="1"/>
    <xf numFmtId="42" fontId="9" fillId="0" borderId="6" xfId="2" applyNumberFormat="1" applyFont="1" applyFill="1" applyBorder="1"/>
    <xf numFmtId="0" fontId="7" fillId="8" borderId="6" xfId="0" applyFont="1" applyFill="1" applyBorder="1" applyAlignment="1" applyProtection="1">
      <alignment vertical="center"/>
      <protection locked="0"/>
    </xf>
    <xf numFmtId="165" fontId="7" fillId="0" borderId="6" xfId="2" applyNumberFormat="1" applyFont="1" applyBorder="1"/>
    <xf numFmtId="44" fontId="7" fillId="0" borderId="6" xfId="2" applyFont="1" applyFill="1" applyBorder="1"/>
    <xf numFmtId="168" fontId="7" fillId="0" borderId="6" xfId="0" applyNumberFormat="1" applyFont="1" applyFill="1" applyBorder="1"/>
    <xf numFmtId="0" fontId="9" fillId="0" borderId="6" xfId="0" applyFont="1" applyFill="1" applyBorder="1" applyAlignment="1" applyProtection="1">
      <alignment horizontal="left"/>
    </xf>
    <xf numFmtId="41" fontId="7" fillId="0" borderId="6" xfId="2" applyNumberFormat="1" applyFont="1" applyFill="1" applyBorder="1" applyProtection="1"/>
    <xf numFmtId="0" fontId="46" fillId="0" borderId="0" xfId="0" applyFont="1" applyFill="1"/>
    <xf numFmtId="0" fontId="46" fillId="0" borderId="0" xfId="0" applyFont="1"/>
    <xf numFmtId="0" fontId="48" fillId="0" borderId="0" xfId="0" applyFont="1" applyBorder="1" applyAlignment="1">
      <alignment horizontal="left" vertical="center"/>
    </xf>
    <xf numFmtId="0" fontId="47" fillId="0" borderId="0" xfId="0" applyFont="1" applyBorder="1" applyAlignment="1"/>
    <xf numFmtId="0" fontId="49" fillId="0" borderId="0" xfId="0" applyFont="1" applyBorder="1"/>
    <xf numFmtId="0" fontId="46" fillId="0" borderId="0" xfId="0" applyFont="1" applyFill="1" applyBorder="1"/>
    <xf numFmtId="0" fontId="50" fillId="0" borderId="0" xfId="0" applyFont="1" applyBorder="1" applyAlignment="1"/>
    <xf numFmtId="0" fontId="50" fillId="0" borderId="0" xfId="0" applyFont="1" applyFill="1"/>
    <xf numFmtId="49" fontId="51" fillId="12" borderId="16" xfId="7" applyFont="1" applyFill="1" applyBorder="1" applyAlignment="1">
      <alignment horizontal="center" wrapText="1"/>
    </xf>
    <xf numFmtId="0" fontId="52" fillId="0" borderId="3" xfId="0" applyFont="1" applyFill="1" applyBorder="1" applyAlignment="1">
      <alignment vertical="center"/>
    </xf>
    <xf numFmtId="0" fontId="47" fillId="0" borderId="4" xfId="0" applyFont="1" applyFill="1" applyBorder="1" applyAlignment="1"/>
    <xf numFmtId="0" fontId="50" fillId="0" borderId="6" xfId="0" applyFont="1" applyBorder="1"/>
    <xf numFmtId="0" fontId="50" fillId="0" borderId="3" xfId="0" applyFont="1" applyFill="1" applyBorder="1" applyAlignment="1" applyProtection="1">
      <protection locked="0"/>
    </xf>
    <xf numFmtId="0" fontId="47" fillId="0" borderId="1" xfId="0" applyFont="1" applyFill="1" applyBorder="1" applyAlignment="1">
      <alignment horizontal="left"/>
    </xf>
    <xf numFmtId="41" fontId="50" fillId="8" borderId="4" xfId="2" applyNumberFormat="1" applyFont="1" applyFill="1" applyBorder="1" applyProtection="1">
      <protection locked="0"/>
    </xf>
    <xf numFmtId="41" fontId="50" fillId="8" borderId="2" xfId="1" applyNumberFormat="1" applyFont="1" applyFill="1" applyBorder="1" applyProtection="1">
      <protection locked="0"/>
    </xf>
    <xf numFmtId="41" fontId="50" fillId="8" borderId="1" xfId="1" applyNumberFormat="1" applyFont="1" applyFill="1" applyBorder="1" applyProtection="1">
      <protection locked="0"/>
    </xf>
    <xf numFmtId="43" fontId="50" fillId="0" borderId="3" xfId="1" applyNumberFormat="1" applyFont="1" applyFill="1" applyBorder="1" applyAlignment="1" applyProtection="1">
      <protection locked="0"/>
    </xf>
    <xf numFmtId="0" fontId="47" fillId="0" borderId="1" xfId="0" applyFont="1" applyFill="1" applyBorder="1"/>
    <xf numFmtId="42" fontId="50" fillId="0" borderId="1" xfId="1" applyNumberFormat="1" applyFont="1" applyFill="1" applyBorder="1"/>
    <xf numFmtId="42" fontId="50" fillId="0" borderId="8" xfId="1" applyNumberFormat="1" applyFont="1" applyFill="1" applyBorder="1"/>
    <xf numFmtId="43" fontId="50" fillId="0" borderId="3" xfId="1" applyFont="1" applyFill="1" applyBorder="1" applyAlignment="1" applyProtection="1">
      <protection locked="0"/>
    </xf>
    <xf numFmtId="0" fontId="46" fillId="0" borderId="3" xfId="0" applyFont="1" applyFill="1" applyBorder="1"/>
    <xf numFmtId="0" fontId="51" fillId="0" borderId="25" xfId="0" applyFont="1" applyFill="1" applyBorder="1" applyAlignment="1">
      <alignment horizontal="center"/>
    </xf>
    <xf numFmtId="164" fontId="51" fillId="0" borderId="24" xfId="1" applyNumberFormat="1" applyFont="1" applyFill="1" applyBorder="1" applyAlignment="1">
      <alignment horizontal="center"/>
    </xf>
    <xf numFmtId="0" fontId="47" fillId="0" borderId="6" xfId="0" applyFont="1" applyFill="1" applyBorder="1"/>
    <xf numFmtId="41" fontId="50" fillId="8" borderId="4" xfId="1" applyNumberFormat="1" applyFont="1" applyFill="1" applyBorder="1" applyProtection="1">
      <protection locked="0"/>
    </xf>
    <xf numFmtId="0" fontId="53" fillId="0" borderId="0" xfId="0" applyFont="1" applyFill="1" applyBorder="1" applyAlignment="1">
      <alignment wrapText="1"/>
    </xf>
    <xf numFmtId="0" fontId="47" fillId="0" borderId="2" xfId="0" applyFont="1" applyFill="1" applyBorder="1" applyAlignment="1"/>
    <xf numFmtId="42" fontId="50" fillId="0" borderId="2" xfId="0" applyNumberFormat="1" applyFont="1" applyFill="1" applyBorder="1"/>
    <xf numFmtId="42" fontId="47" fillId="0" borderId="2" xfId="0" applyNumberFormat="1" applyFont="1" applyFill="1" applyBorder="1"/>
    <xf numFmtId="0" fontId="47" fillId="0" borderId="0" xfId="0" applyFont="1" applyFill="1" applyBorder="1"/>
    <xf numFmtId="165" fontId="50" fillId="0" borderId="0" xfId="0" applyNumberFormat="1" applyFont="1" applyFill="1" applyBorder="1"/>
    <xf numFmtId="0" fontId="50" fillId="0" borderId="0" xfId="0" applyFont="1" applyFill="1" applyBorder="1"/>
    <xf numFmtId="0" fontId="50" fillId="0" borderId="0" xfId="0" applyFont="1" applyFill="1" applyBorder="1" applyProtection="1">
      <protection locked="0"/>
    </xf>
    <xf numFmtId="0" fontId="50" fillId="0" borderId="0" xfId="0" applyFont="1" applyFill="1" applyProtection="1">
      <protection locked="0"/>
    </xf>
    <xf numFmtId="0" fontId="47" fillId="0" borderId="6" xfId="0" applyFont="1" applyBorder="1"/>
    <xf numFmtId="0" fontId="47" fillId="0" borderId="6" xfId="0" applyFont="1" applyBorder="1" applyAlignment="1">
      <alignment horizontal="right"/>
    </xf>
    <xf numFmtId="0" fontId="46" fillId="0" borderId="6" xfId="0" applyFont="1" applyFill="1" applyBorder="1"/>
    <xf numFmtId="0" fontId="47" fillId="0" borderId="1" xfId="0" applyFont="1" applyBorder="1"/>
    <xf numFmtId="0" fontId="50" fillId="0" borderId="1" xfId="0" applyFont="1" applyBorder="1"/>
    <xf numFmtId="0" fontId="46" fillId="0" borderId="1" xfId="0" applyFont="1" applyFill="1" applyBorder="1"/>
    <xf numFmtId="0" fontId="47" fillId="0" borderId="1" xfId="0" applyFont="1" applyBorder="1" applyAlignment="1">
      <alignment horizontal="left" indent="1"/>
    </xf>
    <xf numFmtId="10" fontId="50" fillId="8" borderId="1" xfId="5" applyNumberFormat="1" applyFont="1" applyFill="1" applyBorder="1" applyProtection="1">
      <protection locked="0"/>
    </xf>
    <xf numFmtId="38" fontId="50" fillId="8" borderId="1" xfId="1" applyNumberFormat="1" applyFont="1" applyFill="1" applyBorder="1" applyProtection="1">
      <protection locked="0"/>
    </xf>
    <xf numFmtId="41" fontId="50" fillId="0" borderId="1" xfId="0" applyNumberFormat="1" applyFont="1" applyBorder="1"/>
    <xf numFmtId="0" fontId="46" fillId="0" borderId="5" xfId="0" applyFont="1" applyFill="1" applyBorder="1"/>
    <xf numFmtId="42" fontId="47" fillId="0" borderId="1" xfId="0" applyNumberFormat="1" applyFont="1" applyFill="1" applyBorder="1"/>
    <xf numFmtId="42" fontId="50" fillId="0" borderId="2" xfId="0" applyNumberFormat="1" applyFont="1" applyBorder="1"/>
    <xf numFmtId="0" fontId="46" fillId="0" borderId="1" xfId="0" applyFont="1" applyBorder="1"/>
    <xf numFmtId="0" fontId="46" fillId="0" borderId="6" xfId="0" applyFont="1" applyBorder="1"/>
    <xf numFmtId="0" fontId="55" fillId="0" borderId="0" xfId="0" applyFont="1" applyFill="1"/>
    <xf numFmtId="0" fontId="47" fillId="0" borderId="0" xfId="0" applyFont="1" applyFill="1"/>
    <xf numFmtId="0" fontId="50" fillId="0" borderId="0" xfId="0" applyFont="1"/>
    <xf numFmtId="0" fontId="50" fillId="0" borderId="6" xfId="0" applyFont="1" applyFill="1" applyBorder="1"/>
    <xf numFmtId="41" fontId="50" fillId="0" borderId="6" xfId="0" applyNumberFormat="1" applyFont="1" applyFill="1" applyBorder="1"/>
    <xf numFmtId="0" fontId="53" fillId="0" borderId="0" xfId="0" applyFont="1"/>
    <xf numFmtId="0" fontId="50" fillId="0" borderId="0" xfId="0" applyFont="1" applyProtection="1">
      <protection locked="0"/>
    </xf>
    <xf numFmtId="0" fontId="50" fillId="0" borderId="1" xfId="0" quotePrefix="1" applyFont="1" applyFill="1" applyBorder="1"/>
    <xf numFmtId="41" fontId="50" fillId="0" borderId="1" xfId="0" applyNumberFormat="1" applyFont="1" applyFill="1" applyBorder="1"/>
    <xf numFmtId="0" fontId="56" fillId="0" borderId="0" xfId="0" applyFont="1"/>
    <xf numFmtId="41" fontId="7" fillId="0" borderId="6" xfId="0" applyNumberFormat="1" applyFont="1" applyFill="1" applyBorder="1" applyAlignment="1">
      <alignment horizontal="right"/>
    </xf>
    <xf numFmtId="44" fontId="9" fillId="0" borderId="1" xfId="0" applyNumberFormat="1" applyFont="1" applyFill="1" applyBorder="1"/>
    <xf numFmtId="0" fontId="58" fillId="0" borderId="0" xfId="0" applyFont="1" applyProtection="1"/>
    <xf numFmtId="0" fontId="58" fillId="0" borderId="0" xfId="0" applyFont="1" applyProtection="1">
      <protection hidden="1"/>
    </xf>
    <xf numFmtId="0" fontId="44" fillId="12" borderId="16" xfId="7" applyNumberFormat="1" applyFont="1" applyFill="1" applyBorder="1">
      <alignment wrapText="1"/>
    </xf>
    <xf numFmtId="0" fontId="59" fillId="0" borderId="0" xfId="0" applyFont="1" applyFill="1" applyBorder="1" applyAlignment="1" applyProtection="1">
      <alignment vertical="center" wrapText="1"/>
      <protection hidden="1"/>
    </xf>
    <xf numFmtId="10" fontId="50" fillId="0" borderId="6" xfId="5" applyNumberFormat="1" applyFont="1" applyBorder="1"/>
    <xf numFmtId="10" fontId="50" fillId="0" borderId="1" xfId="5" applyNumberFormat="1" applyFont="1" applyBorder="1"/>
    <xf numFmtId="10" fontId="50" fillId="0" borderId="1" xfId="5" applyNumberFormat="1" applyFont="1" applyFill="1" applyBorder="1"/>
    <xf numFmtId="0" fontId="60" fillId="0" borderId="0" xfId="0" applyFont="1"/>
    <xf numFmtId="0" fontId="61" fillId="0" borderId="0" xfId="0" applyFont="1" applyFill="1" applyBorder="1" applyProtection="1">
      <protection hidden="1"/>
    </xf>
    <xf numFmtId="0" fontId="60" fillId="0" borderId="0" xfId="0" applyFont="1" applyFill="1" applyBorder="1" applyProtection="1">
      <protection hidden="1"/>
    </xf>
    <xf numFmtId="42" fontId="60" fillId="0" borderId="0" xfId="0" applyNumberFormat="1" applyFont="1" applyFill="1" applyBorder="1" applyProtection="1">
      <protection hidden="1"/>
    </xf>
    <xf numFmtId="42" fontId="9" fillId="0" borderId="1" xfId="0" applyNumberFormat="1" applyFont="1" applyFill="1" applyBorder="1" applyAlignment="1">
      <alignment horizontal="right" vertical="center" wrapText="1"/>
    </xf>
    <xf numFmtId="167" fontId="7" fillId="8" borderId="6" xfId="0" applyNumberFormat="1" applyFont="1" applyFill="1" applyBorder="1" applyProtection="1">
      <protection locked="0"/>
    </xf>
    <xf numFmtId="2" fontId="7" fillId="8" borderId="6" xfId="2" applyNumberFormat="1" applyFont="1" applyFill="1" applyBorder="1" applyProtection="1">
      <protection locked="0"/>
    </xf>
    <xf numFmtId="167" fontId="7" fillId="8" borderId="1" xfId="0" applyNumberFormat="1" applyFont="1" applyFill="1" applyBorder="1" applyProtection="1">
      <protection locked="0"/>
    </xf>
    <xf numFmtId="2" fontId="7" fillId="8" borderId="1" xfId="2" applyNumberFormat="1" applyFont="1" applyFill="1" applyBorder="1" applyProtection="1">
      <protection locked="0"/>
    </xf>
    <xf numFmtId="9" fontId="60" fillId="0" borderId="0" xfId="0" applyNumberFormat="1" applyFont="1" applyAlignment="1">
      <alignment horizontal="center"/>
    </xf>
    <xf numFmtId="9" fontId="60" fillId="0" borderId="0" xfId="0" applyNumberFormat="1" applyFont="1"/>
    <xf numFmtId="0" fontId="60" fillId="0" borderId="0" xfId="0" applyFont="1" applyFill="1"/>
    <xf numFmtId="0" fontId="61" fillId="0" borderId="0" xfId="0" applyFont="1" applyAlignment="1" applyProtection="1">
      <alignment horizontal="center"/>
      <protection hidden="1"/>
    </xf>
    <xf numFmtId="9" fontId="61" fillId="0" borderId="0" xfId="0" applyNumberFormat="1" applyFont="1" applyAlignment="1" applyProtection="1">
      <alignment horizontal="center"/>
      <protection hidden="1"/>
    </xf>
    <xf numFmtId="0" fontId="60" fillId="0" borderId="0" xfId="0" applyFont="1" applyProtection="1">
      <protection hidden="1"/>
    </xf>
    <xf numFmtId="42" fontId="60" fillId="0" borderId="0" xfId="0" applyNumberFormat="1" applyFont="1" applyProtection="1">
      <protection hidden="1"/>
    </xf>
    <xf numFmtId="42" fontId="60" fillId="0" borderId="0" xfId="0" applyNumberFormat="1" applyFont="1" applyAlignment="1" applyProtection="1">
      <alignment horizontal="center"/>
      <protection hidden="1"/>
    </xf>
    <xf numFmtId="0" fontId="60" fillId="0" borderId="0" xfId="0" applyFont="1" applyFill="1" applyBorder="1"/>
    <xf numFmtId="42" fontId="60" fillId="0" borderId="0" xfId="0" applyNumberFormat="1" applyFont="1" applyFill="1" applyBorder="1"/>
    <xf numFmtId="42" fontId="60" fillId="0" borderId="0" xfId="0" applyNumberFormat="1" applyFont="1" applyFill="1" applyBorder="1" applyProtection="1"/>
    <xf numFmtId="42" fontId="60" fillId="0" borderId="0" xfId="0" applyNumberFormat="1" applyFont="1" applyFill="1" applyBorder="1" applyAlignment="1">
      <alignment horizontal="center"/>
    </xf>
    <xf numFmtId="0" fontId="62" fillId="0" borderId="0" xfId="0" applyFont="1" applyProtection="1"/>
    <xf numFmtId="41" fontId="50" fillId="0" borderId="1" xfId="2" applyNumberFormat="1" applyFont="1" applyFill="1" applyBorder="1" applyAlignment="1" applyProtection="1">
      <alignment horizontal="right"/>
      <protection locked="0"/>
    </xf>
    <xf numFmtId="44" fontId="7" fillId="0" borderId="1" xfId="2" applyNumberFormat="1" applyFont="1" applyFill="1" applyBorder="1" applyAlignment="1">
      <alignment horizontal="center"/>
    </xf>
    <xf numFmtId="37" fontId="7" fillId="0" borderId="1" xfId="0" applyNumberFormat="1" applyFont="1" applyFill="1" applyBorder="1"/>
    <xf numFmtId="37" fontId="7" fillId="8" borderId="6" xfId="1" applyNumberFormat="1" applyFont="1" applyFill="1" applyBorder="1" applyProtection="1">
      <protection locked="0"/>
    </xf>
    <xf numFmtId="37" fontId="7" fillId="8" borderId="1" xfId="1" applyNumberFormat="1" applyFont="1" applyFill="1" applyBorder="1" applyProtection="1">
      <protection locked="0"/>
    </xf>
    <xf numFmtId="14" fontId="0" fillId="0" borderId="0" xfId="0" applyNumberFormat="1"/>
    <xf numFmtId="0" fontId="0" fillId="0" borderId="0" xfId="0" applyAlignment="1">
      <alignment wrapText="1"/>
    </xf>
    <xf numFmtId="0" fontId="16" fillId="0" borderId="6" xfId="0" applyFont="1" applyFill="1" applyBorder="1" applyAlignment="1" applyProtection="1">
      <alignment horizontal="left" indent="3"/>
    </xf>
    <xf numFmtId="0" fontId="7" fillId="0" borderId="6" xfId="0" applyFont="1" applyFill="1" applyBorder="1" applyAlignment="1" applyProtection="1">
      <alignment horizontal="left"/>
    </xf>
    <xf numFmtId="0" fontId="65" fillId="0" borderId="0" xfId="0" applyFont="1" applyProtection="1"/>
    <xf numFmtId="0" fontId="0" fillId="0" borderId="0" xfId="0"/>
    <xf numFmtId="14" fontId="0" fillId="0" borderId="0" xfId="0" applyNumberFormat="1"/>
    <xf numFmtId="0" fontId="0" fillId="0" borderId="0" xfId="0" applyAlignment="1">
      <alignment wrapText="1"/>
    </xf>
    <xf numFmtId="0" fontId="64" fillId="0" borderId="0" xfId="0" applyFont="1"/>
    <xf numFmtId="0" fontId="14" fillId="0" borderId="0" xfId="0" applyFont="1" applyAlignment="1" applyProtection="1">
      <alignment horizontal="left" vertical="center"/>
    </xf>
    <xf numFmtId="49" fontId="51" fillId="12" borderId="16" xfId="7" applyFont="1" applyFill="1" applyBorder="1">
      <alignment wrapText="1"/>
    </xf>
    <xf numFmtId="0" fontId="50" fillId="0" borderId="10" xfId="0" applyFont="1" applyFill="1" applyBorder="1" applyAlignment="1" applyProtection="1">
      <alignment horizontal="center"/>
      <protection locked="0"/>
    </xf>
    <xf numFmtId="0" fontId="50" fillId="0" borderId="8" xfId="0" applyFont="1" applyFill="1" applyBorder="1" applyAlignment="1" applyProtection="1">
      <alignment horizontal="center"/>
      <protection locked="0"/>
    </xf>
    <xf numFmtId="0" fontId="50" fillId="0" borderId="11" xfId="0" applyFont="1" applyFill="1" applyBorder="1" applyAlignment="1" applyProtection="1">
      <alignment horizontal="center"/>
      <protection locked="0"/>
    </xf>
    <xf numFmtId="49" fontId="51" fillId="12" borderId="16" xfId="7" applyFont="1" applyFill="1" applyBorder="1" applyAlignment="1">
      <alignment horizontal="center" wrapText="1"/>
    </xf>
    <xf numFmtId="0" fontId="50" fillId="0" borderId="4" xfId="0" applyFont="1" applyFill="1" applyBorder="1" applyAlignment="1" applyProtection="1">
      <alignment horizontal="center"/>
      <protection locked="0"/>
    </xf>
    <xf numFmtId="0" fontId="50" fillId="0" borderId="17" xfId="0" applyFont="1" applyFill="1" applyBorder="1" applyAlignment="1" applyProtection="1">
      <alignment horizontal="center"/>
      <protection locked="0"/>
    </xf>
    <xf numFmtId="0" fontId="50" fillId="0" borderId="2" xfId="0" applyFont="1" applyFill="1" applyBorder="1" applyAlignment="1" applyProtection="1">
      <alignment horizontal="center"/>
      <protection locked="0"/>
    </xf>
    <xf numFmtId="0" fontId="50" fillId="0" borderId="9" xfId="0" applyFont="1" applyFill="1" applyBorder="1" applyAlignment="1" applyProtection="1">
      <alignment horizontal="center"/>
      <protection locked="0"/>
    </xf>
    <xf numFmtId="43" fontId="50" fillId="0" borderId="2" xfId="1" applyNumberFormat="1" applyFont="1" applyFill="1" applyBorder="1" applyAlignment="1" applyProtection="1">
      <alignment horizontal="center"/>
      <protection locked="0"/>
    </xf>
    <xf numFmtId="43" fontId="50" fillId="0" borderId="9" xfId="1" applyNumberFormat="1" applyFont="1" applyFill="1" applyBorder="1" applyAlignment="1" applyProtection="1">
      <alignment horizontal="center"/>
      <protection locked="0"/>
    </xf>
    <xf numFmtId="0" fontId="51" fillId="0" borderId="21" xfId="0" applyFont="1" applyFill="1" applyBorder="1" applyAlignment="1" applyProtection="1">
      <alignment horizontal="center"/>
      <protection locked="0"/>
    </xf>
    <xf numFmtId="0" fontId="51" fillId="0" borderId="22" xfId="0" applyFont="1" applyFill="1" applyBorder="1" applyAlignment="1" applyProtection="1">
      <alignment horizontal="center"/>
      <protection locked="0"/>
    </xf>
    <xf numFmtId="0" fontId="51" fillId="0" borderId="23" xfId="0" applyFont="1" applyFill="1" applyBorder="1" applyAlignment="1" applyProtection="1">
      <alignment horizontal="center"/>
      <protection locked="0"/>
    </xf>
    <xf numFmtId="43" fontId="50" fillId="0" borderId="10" xfId="1" applyFont="1" applyFill="1" applyBorder="1" applyAlignment="1" applyProtection="1">
      <alignment horizontal="center"/>
      <protection locked="0"/>
    </xf>
    <xf numFmtId="43" fontId="50" fillId="0" borderId="9" xfId="1" applyFont="1" applyFill="1" applyBorder="1" applyAlignment="1" applyProtection="1">
      <alignment horizontal="center"/>
      <protection locked="0"/>
    </xf>
    <xf numFmtId="0" fontId="47" fillId="0" borderId="2" xfId="0" applyFont="1" applyFill="1" applyBorder="1" applyAlignment="1">
      <alignment horizontal="center"/>
    </xf>
    <xf numFmtId="0" fontId="47" fillId="0" borderId="8" xfId="0" applyFont="1" applyFill="1" applyBorder="1" applyAlignment="1">
      <alignment horizontal="center"/>
    </xf>
    <xf numFmtId="0" fontId="47" fillId="0" borderId="9" xfId="0" applyFont="1" applyFill="1" applyBorder="1" applyAlignment="1">
      <alignment horizontal="center"/>
    </xf>
    <xf numFmtId="0" fontId="47" fillId="0" borderId="2" xfId="0" applyFont="1" applyBorder="1" applyAlignment="1">
      <alignment horizontal="center"/>
    </xf>
    <xf numFmtId="0" fontId="47" fillId="0" borderId="8" xfId="0" applyFont="1" applyBorder="1" applyAlignment="1">
      <alignment horizontal="center"/>
    </xf>
    <xf numFmtId="0" fontId="47" fillId="0" borderId="9" xfId="0" applyFont="1" applyBorder="1" applyAlignment="1">
      <alignment horizontal="center"/>
    </xf>
    <xf numFmtId="0" fontId="50" fillId="0" borderId="18" xfId="0" applyFont="1" applyFill="1" applyBorder="1" applyAlignment="1" applyProtection="1">
      <alignment horizontal="center"/>
      <protection locked="0"/>
    </xf>
    <xf numFmtId="0" fontId="50" fillId="0" borderId="19" xfId="0" applyFont="1" applyFill="1" applyBorder="1" applyAlignment="1" applyProtection="1">
      <alignment horizontal="center"/>
      <protection locked="0"/>
    </xf>
    <xf numFmtId="0" fontId="50" fillId="0" borderId="20" xfId="0" applyFont="1" applyFill="1" applyBorder="1" applyAlignment="1" applyProtection="1">
      <alignment horizontal="center"/>
      <protection locked="0"/>
    </xf>
    <xf numFmtId="0" fontId="51" fillId="0" borderId="2" xfId="0" applyFont="1" applyFill="1" applyBorder="1" applyAlignment="1">
      <alignment horizontal="center"/>
    </xf>
    <xf numFmtId="0" fontId="51" fillId="0" borderId="9" xfId="0" applyFont="1" applyFill="1" applyBorder="1" applyAlignment="1">
      <alignment horizontal="center"/>
    </xf>
    <xf numFmtId="0" fontId="54" fillId="7" borderId="0" xfId="3" applyFont="1" applyFill="1" applyAlignment="1">
      <alignment horizontal="center" vertical="center" wrapText="1"/>
    </xf>
    <xf numFmtId="0" fontId="47" fillId="0" borderId="0" xfId="0" applyFont="1" applyBorder="1" applyAlignment="1">
      <alignment horizontal="left" vertical="center"/>
    </xf>
    <xf numFmtId="0" fontId="50" fillId="0" borderId="12" xfId="0" applyFont="1" applyFill="1" applyBorder="1" applyAlignment="1" applyProtection="1">
      <alignment horizontal="center"/>
      <protection locked="0"/>
    </xf>
    <xf numFmtId="0" fontId="50" fillId="0" borderId="13" xfId="0" applyFont="1" applyFill="1" applyBorder="1" applyAlignment="1" applyProtection="1">
      <alignment horizontal="center"/>
      <protection locked="0"/>
    </xf>
    <xf numFmtId="0" fontId="50" fillId="0" borderId="14" xfId="0" applyFont="1" applyFill="1" applyBorder="1" applyAlignment="1" applyProtection="1">
      <alignment horizontal="center"/>
      <protection locked="0"/>
    </xf>
    <xf numFmtId="0" fontId="9" fillId="0" borderId="0" xfId="0" applyFont="1" applyFill="1" applyBorder="1" applyAlignment="1">
      <alignment vertical="center"/>
    </xf>
    <xf numFmtId="0" fontId="7" fillId="0" borderId="0" xfId="0" applyFont="1" applyFill="1" applyBorder="1" applyAlignment="1">
      <alignment vertical="center"/>
    </xf>
    <xf numFmtId="0" fontId="30" fillId="0" borderId="0" xfId="0" applyFont="1" applyFill="1" applyBorder="1" applyAlignment="1" applyProtection="1">
      <alignment horizontal="center" vertical="center"/>
    </xf>
    <xf numFmtId="0" fontId="9" fillId="0" borderId="0" xfId="0" applyFont="1" applyFill="1" applyBorder="1" applyAlignment="1">
      <alignment horizontal="left" vertical="center"/>
    </xf>
    <xf numFmtId="0" fontId="44" fillId="0" borderId="16" xfId="0" applyFont="1" applyFill="1" applyBorder="1" applyAlignment="1">
      <alignment horizontal="left"/>
    </xf>
    <xf numFmtId="49" fontId="44" fillId="12" borderId="16" xfId="7" applyFont="1" applyFill="1" applyBorder="1">
      <alignment wrapText="1"/>
    </xf>
    <xf numFmtId="0" fontId="7" fillId="0" borderId="4" xfId="0" applyFont="1" applyFill="1" applyBorder="1" applyAlignment="1">
      <alignment horizontal="left"/>
    </xf>
    <xf numFmtId="0" fontId="7" fillId="0" borderId="17" xfId="0" applyFont="1" applyFill="1" applyBorder="1" applyAlignment="1">
      <alignment horizontal="left"/>
    </xf>
    <xf numFmtId="0" fontId="7" fillId="0" borderId="2" xfId="0" applyFont="1" applyFill="1" applyBorder="1" applyAlignment="1">
      <alignment horizontal="left"/>
    </xf>
    <xf numFmtId="0" fontId="7" fillId="0" borderId="9" xfId="0" applyFont="1" applyFill="1" applyBorder="1" applyAlignment="1">
      <alignment horizontal="left"/>
    </xf>
    <xf numFmtId="0" fontId="27" fillId="0" borderId="0" xfId="0" applyFont="1" applyFill="1" applyBorder="1" applyAlignment="1">
      <alignment horizontal="left" vertical="center"/>
    </xf>
    <xf numFmtId="0" fontId="7" fillId="0" borderId="0" xfId="0" applyFont="1" applyFill="1" applyAlignment="1">
      <alignment horizontal="left"/>
    </xf>
    <xf numFmtId="0" fontId="9" fillId="0" borderId="0" xfId="0" quotePrefix="1" applyFont="1" applyBorder="1" applyAlignment="1">
      <alignment horizontal="left"/>
    </xf>
    <xf numFmtId="0" fontId="9" fillId="0" borderId="0" xfId="0" applyFont="1" applyBorder="1" applyAlignment="1">
      <alignment horizontal="left"/>
    </xf>
    <xf numFmtId="0" fontId="9" fillId="0" borderId="0" xfId="0" applyFont="1" applyBorder="1" applyAlignment="1">
      <alignment vertical="center"/>
    </xf>
    <xf numFmtId="0" fontId="7" fillId="0" borderId="0" xfId="0" applyFont="1" applyBorder="1" applyAlignment="1">
      <alignment vertical="center"/>
    </xf>
    <xf numFmtId="0" fontId="37" fillId="0" borderId="0" xfId="3" applyFont="1" applyFill="1" applyAlignment="1">
      <alignment horizontal="center" vertical="center"/>
    </xf>
    <xf numFmtId="0" fontId="9" fillId="0" borderId="1" xfId="0" applyFont="1" applyFill="1" applyBorder="1" applyAlignment="1">
      <alignment horizontal="center"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37" fillId="7" borderId="0" xfId="3" applyFont="1" applyFill="1" applyAlignment="1">
      <alignment horizontal="center" vertical="center"/>
    </xf>
    <xf numFmtId="0" fontId="9" fillId="0" borderId="0" xfId="0" applyFont="1" applyFill="1" applyBorder="1" applyAlignment="1">
      <alignment horizontal="left"/>
    </xf>
    <xf numFmtId="0" fontId="31" fillId="7" borderId="0" xfId="3" applyFont="1" applyFill="1" applyAlignment="1">
      <alignment horizontal="center" vertical="center"/>
    </xf>
  </cellXfs>
  <cellStyles count="13">
    <cellStyle name="Calculation" xfId="9" builtinId="22" customBuiltin="1"/>
    <cellStyle name="Comma" xfId="1" builtinId="3"/>
    <cellStyle name="Comma 2" xfId="10" xr:uid="{00000000-0005-0000-0000-000002000000}"/>
    <cellStyle name="Currency" xfId="2" builtinId="4"/>
    <cellStyle name="Currency 2" xfId="11" xr:uid="{00000000-0005-0000-0000-000004000000}"/>
    <cellStyle name="Heading 1" xfId="7" builtinId="16" customBuiltin="1"/>
    <cellStyle name="Hyperlink" xfId="3" builtinId="8"/>
    <cellStyle name="Input" xfId="8" builtinId="20" customBuiltin="1"/>
    <cellStyle name="Normal" xfId="0" builtinId="0"/>
    <cellStyle name="Normal 2" xfId="4" xr:uid="{00000000-0005-0000-0000-000009000000}"/>
    <cellStyle name="Percent" xfId="5" builtinId="5"/>
    <cellStyle name="Percent 2" xfId="12" xr:uid="{00000000-0005-0000-0000-00000B000000}"/>
    <cellStyle name="Title 2" xfId="6" xr:uid="{00000000-0005-0000-0000-00000C000000}"/>
  </cellStyles>
  <dxfs count="93">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ill>
        <patternFill>
          <bgColor rgb="FFFFD200"/>
        </patternFill>
      </fill>
    </dxf>
    <dxf>
      <fill>
        <patternFill patternType="none">
          <bgColor indexed="65"/>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E043"/>
        </patternFill>
      </fill>
    </dxf>
    <dxf>
      <font>
        <color theme="0" tint="-0.24994659260841701"/>
      </font>
    </dxf>
    <dxf>
      <fill>
        <patternFill>
          <bgColor rgb="FFFFE043"/>
        </patternFill>
      </fill>
    </dxf>
    <dxf>
      <font>
        <color theme="4" tint="0.59996337778862885"/>
        <name val="Cambria"/>
        <scheme val="none"/>
      </font>
    </dxf>
    <dxf>
      <fill>
        <patternFill>
          <bgColor rgb="FFF89E53"/>
        </patternFill>
      </fill>
    </dxf>
    <dxf>
      <fill>
        <patternFill>
          <bgColor rgb="FFF89E53"/>
        </patternFill>
      </fill>
    </dxf>
    <dxf>
      <font>
        <color theme="4" tint="0.59996337778862885"/>
        <name val="Cambria"/>
        <scheme val="none"/>
      </font>
    </dxf>
    <dxf>
      <font>
        <color theme="4" tint="0.59996337778862885"/>
        <name val="Cambria"/>
        <scheme val="none"/>
      </font>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E04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89E53"/>
        </patternFill>
      </fill>
    </dxf>
    <dxf>
      <numFmt numFmtId="30" formatCode="@"/>
      <fill>
        <patternFill>
          <bgColor rgb="FFFF0000"/>
        </patternFill>
      </fill>
    </dxf>
    <dxf>
      <font>
        <color rgb="FFFF0000"/>
      </font>
    </dxf>
    <dxf>
      <font>
        <color rgb="FF6A9F42"/>
      </font>
    </dxf>
    <dxf>
      <font>
        <color rgb="FFFF0000"/>
      </font>
    </dxf>
    <dxf>
      <fill>
        <patternFill>
          <bgColor rgb="FFF89E53"/>
        </patternFill>
      </fill>
    </dxf>
    <dxf>
      <fill>
        <patternFill>
          <bgColor rgb="FFF89E53"/>
        </patternFill>
      </fill>
    </dxf>
  </dxfs>
  <tableStyles count="1" defaultTableStyle="TableStyleMedium9" defaultPivotStyle="PivotStyleLight16">
    <tableStyle name="MySqlDefault"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95B"/>
      <color rgb="FF8ACC9E"/>
      <color rgb="FF339966"/>
      <color rgb="FF44C8F5"/>
      <color rgb="FFF89E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140970</xdr:rowOff>
    </xdr:from>
    <xdr:to>
      <xdr:col>4</xdr:col>
      <xdr:colOff>400050</xdr:colOff>
      <xdr:row>33</xdr:row>
      <xdr:rowOff>47626</xdr:rowOff>
    </xdr:to>
    <xdr:sp macro="" textlink="">
      <xdr:nvSpPr>
        <xdr:cNvPr id="80897" name="TextBox 2">
          <a:extLst>
            <a:ext uri="{FF2B5EF4-FFF2-40B4-BE49-F238E27FC236}">
              <a16:creationId xmlns:a16="http://schemas.microsoft.com/office/drawing/2014/main" id="{00000000-0008-0000-0000-0000013C0100}"/>
            </a:ext>
          </a:extLst>
        </xdr:cNvPr>
        <xdr:cNvSpPr txBox="1">
          <a:spLocks noChangeArrowheads="1"/>
        </xdr:cNvSpPr>
      </xdr:nvSpPr>
      <xdr:spPr bwMode="auto">
        <a:xfrm>
          <a:off x="392430" y="1988820"/>
          <a:ext cx="4531995" cy="5621656"/>
        </a:xfrm>
        <a:prstGeom prst="rect">
          <a:avLst/>
        </a:prstGeom>
        <a:noFill/>
        <a:ln w="57150">
          <a:solidFill>
            <a:srgbClr val="44C8F5"/>
          </a:solidFill>
          <a:headEnd/>
          <a:tailEnd/>
        </a:ln>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wrap="square" lIns="91440" tIns="91440" rIns="0" bIns="0" anchor="t" upright="1"/>
        <a:lstStyle/>
        <a:p>
          <a:pPr algn="l" rtl="0">
            <a:defRPr sz="1000"/>
          </a:pPr>
          <a:endParaRPr lang="en-US" sz="1100" b="0" i="0" u="none" strike="noStrike" baseline="0">
            <a:solidFill>
              <a:sysClr val="windowText" lastClr="000000"/>
            </a:solidFill>
            <a:latin typeface="Calibri"/>
          </a:endParaRPr>
        </a:p>
        <a:p>
          <a:pPr algn="l" rtl="0">
            <a:defRPr sz="1000"/>
          </a:pPr>
          <a:r>
            <a:rPr lang="en-US" sz="1100" b="0" i="0" u="none" strike="noStrike" baseline="0">
              <a:solidFill>
                <a:sysClr val="windowText" lastClr="000000"/>
              </a:solidFill>
              <a:latin typeface="Gill Sans MT" pitchFamily="34" charset="0"/>
            </a:rPr>
            <a:t>This Microsoft Excel Workbook is designed to provide those starting a business or already running a business with information that will allow them to make a "go /no-go" decision. It will help a potential entrepreneur project operating profit, develop a projected income statement, balance sheet and  cash flow forecast.</a:t>
          </a:r>
        </a:p>
        <a:p>
          <a:pPr algn="l" rtl="0">
            <a:defRPr sz="1000"/>
          </a:pPr>
          <a:r>
            <a:rPr lang="en-US" sz="1100" b="0" i="0" u="none" strike="noStrike" baseline="0">
              <a:solidFill>
                <a:sysClr val="windowText" lastClr="000000"/>
              </a:solidFill>
              <a:latin typeface="Gill Sans MT" pitchFamily="34" charset="0"/>
            </a:rPr>
            <a:t> </a:t>
          </a:r>
        </a:p>
        <a:p>
          <a:pPr algn="l" rtl="0">
            <a:defRPr sz="1000"/>
          </a:pPr>
          <a:r>
            <a:rPr lang="en-US" sz="1100" b="0" i="0" u="none" strike="noStrike" baseline="0">
              <a:solidFill>
                <a:sysClr val="windowText" lastClr="000000"/>
              </a:solidFill>
              <a:latin typeface="Gill Sans MT" pitchFamily="34" charset="0"/>
            </a:rPr>
            <a:t>It is designed for a wide variety of users, from those who have little or no accounting or Excel experience to those who may be well versed in finance, accounting and the use of Microsoft Excel.</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workbook contains a number of worksheets, each documented two ways. Extensive directions and guidance for a particular page or on a specific accounting topic are found in blue boxes (like this one) on pages that are not self-explanatory.</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second way this workbook is documented is using Excel comments in a given cell. Comments are normally hidden from sight. If you see a red triangle in the upper right corner of a cell, you can hover your mouse over the triangle to see the note. As your mouse moves away from the triangle, the comment will disappear.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Comments will have a beige background. Each comment may have a specific direction for that cell, may be a reminder of something the author believes important, or may have some additional information about the accounting topic. The cells and formulas in this workbook are protected. Cells with yellow  or light blue backgrounds are designed for user input. All other cells are designed to generate data based on user input.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cells with formulas in this workbook are locked. If changes are needed, the unlock code is "1234." Please use caution when unlocking the spreadsheets. If you want to change a formula, we strongly recommend that you save a copy of this spreadsheet under a different name before doing so. </a:t>
          </a:r>
        </a:p>
      </xdr:txBody>
    </xdr:sp>
    <xdr:clientData fLocksWithSheet="0"/>
  </xdr:twoCellAnchor>
  <xdr:twoCellAnchor>
    <xdr:from>
      <xdr:col>4</xdr:col>
      <xdr:colOff>725804</xdr:colOff>
      <xdr:row>8</xdr:row>
      <xdr:rowOff>133350</xdr:rowOff>
    </xdr:from>
    <xdr:to>
      <xdr:col>7</xdr:col>
      <xdr:colOff>466724</xdr:colOff>
      <xdr:row>16</xdr:row>
      <xdr:rowOff>72391</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5250179" y="1977390"/>
          <a:ext cx="2600325" cy="1771651"/>
          <a:chOff x="1525904" y="5981700"/>
          <a:chExt cx="2598420" cy="1767841"/>
        </a:xfrm>
      </xdr:grpSpPr>
      <xdr:grpSp>
        <xdr:nvGrpSpPr>
          <xdr:cNvPr id="80898" name="Group 5">
            <a:extLst>
              <a:ext uri="{FF2B5EF4-FFF2-40B4-BE49-F238E27FC236}">
                <a16:creationId xmlns:a16="http://schemas.microsoft.com/office/drawing/2014/main" id="{00000000-0008-0000-0000-0000023C0100}"/>
              </a:ext>
            </a:extLst>
          </xdr:cNvPr>
          <xdr:cNvGrpSpPr>
            <a:grpSpLocks/>
          </xdr:cNvGrpSpPr>
        </xdr:nvGrpSpPr>
        <xdr:grpSpPr bwMode="auto">
          <a:xfrm>
            <a:off x="1525904" y="5981700"/>
            <a:ext cx="2598420" cy="1767841"/>
            <a:chOff x="623672" y="7862889"/>
            <a:chExt cx="2633446" cy="1854360"/>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3672" y="7862889"/>
              <a:ext cx="2633446" cy="185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Gill Sans MT" pitchFamily="34" charset="0"/>
                </a:rPr>
                <a:t>Color-Coding:</a:t>
              </a:r>
            </a:p>
            <a:p>
              <a:endParaRPr lang="en-US" sz="1100"/>
            </a:p>
            <a:p>
              <a:r>
                <a:rPr lang="en-US" sz="1100"/>
                <a:t>                     </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747711" y="8419328"/>
              <a:ext cx="2385368" cy="252401"/>
            </a:xfrm>
            <a:prstGeom prst="rect">
              <a:avLst/>
            </a:prstGeom>
            <a:solidFill>
              <a:srgbClr val="F89E53"/>
            </a:solidFill>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ctr"/>
              <a:r>
                <a:rPr lang="en-US" sz="1100" b="1">
                  <a:solidFill>
                    <a:sysClr val="windowText" lastClr="000000"/>
                  </a:solidFill>
                  <a:latin typeface="Gill Sans MT" pitchFamily="34" charset="0"/>
                </a:rPr>
                <a:t>Enter Data Here</a:t>
              </a:r>
            </a:p>
          </xdr:txBody>
        </xdr:sp>
      </xdr:grpSp>
      <xdr:sp macro="" textlink="">
        <xdr:nvSpPr>
          <xdr:cNvPr id="9" name="Rectangle 8">
            <a:extLst>
              <a:ext uri="{FF2B5EF4-FFF2-40B4-BE49-F238E27FC236}">
                <a16:creationId xmlns:a16="http://schemas.microsoft.com/office/drawing/2014/main" id="{00000000-0008-0000-0000-000009000000}"/>
              </a:ext>
            </a:extLst>
          </xdr:cNvPr>
          <xdr:cNvSpPr/>
        </xdr:nvSpPr>
        <xdr:spPr bwMode="auto">
          <a:xfrm>
            <a:off x="1642109" y="7122794"/>
            <a:ext cx="2353821" cy="240625"/>
          </a:xfrm>
          <a:prstGeom prst="rect">
            <a:avLst/>
          </a:prstGeom>
          <a:solidFill>
            <a:srgbClr val="FFC95B"/>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Gill Sans MT" pitchFamily="34" charset="0"/>
              </a:rPr>
              <a:t>Adjust as Needed</a:t>
            </a:r>
          </a:p>
        </xdr:txBody>
      </xdr:sp>
    </xdr:grpSp>
    <xdr:clientData/>
  </xdr:twoCellAnchor>
  <xdr:twoCellAnchor>
    <xdr:from>
      <xdr:col>4</xdr:col>
      <xdr:colOff>725803</xdr:colOff>
      <xdr:row>17</xdr:row>
      <xdr:rowOff>28575</xdr:rowOff>
    </xdr:from>
    <xdr:to>
      <xdr:col>7</xdr:col>
      <xdr:colOff>480060</xdr:colOff>
      <xdr:row>33</xdr:row>
      <xdr:rowOff>68580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bwMode="auto">
        <a:xfrm>
          <a:off x="5252083" y="3930015"/>
          <a:ext cx="2611757" cy="3697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baseline="0">
              <a:solidFill>
                <a:schemeClr val="dk1"/>
              </a:solidFill>
              <a:effectLst/>
              <a:latin typeface="Gill Sans MT" panose="020B0502020104020203" pitchFamily="34" charset="0"/>
              <a:ea typeface="+mn-ea"/>
              <a:cs typeface="+mn-cs"/>
            </a:rPr>
            <a:t>The cells with formulas in this workbook are locked.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1" i="0" baseline="0">
              <a:solidFill>
                <a:schemeClr val="dk1"/>
              </a:solidFill>
              <a:effectLst/>
              <a:latin typeface="Gill Sans MT" panose="020B0502020104020203" pitchFamily="34" charset="0"/>
              <a:ea typeface="+mn-ea"/>
              <a:cs typeface="+mn-cs"/>
            </a:rPr>
            <a:t>If changes are needed, the unlock code is "1234."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0" i="0" baseline="0">
              <a:solidFill>
                <a:schemeClr val="dk1"/>
              </a:solidFill>
              <a:effectLst/>
              <a:latin typeface="Gill Sans MT" panose="020B0502020104020203" pitchFamily="34" charset="0"/>
              <a:ea typeface="+mn-ea"/>
              <a:cs typeface="+mn-cs"/>
            </a:rPr>
            <a:t>Please use caution when unlocking the spreadsheets. If you want to change a formula, we strongly recommend that you save a copy of this spreadsheet under a different name before doing so.</a:t>
          </a:r>
          <a:endParaRPr lang="en-US" sz="1600">
            <a:effectLst/>
            <a:latin typeface="Gill Sans MT" panose="020B0502020104020203" pitchFamily="34" charset="0"/>
          </a:endParaRPr>
        </a:p>
        <a:p>
          <a:endParaRPr lang="en-US" sz="1100"/>
        </a:p>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745944</xdr:colOff>
      <xdr:row>44</xdr:row>
      <xdr:rowOff>36739</xdr:rowOff>
    </xdr:from>
    <xdr:to>
      <xdr:col>5</xdr:col>
      <xdr:colOff>1031713</xdr:colOff>
      <xdr:row>50</xdr:row>
      <xdr:rowOff>181520</xdr:rowOff>
    </xdr:to>
    <xdr:sp macro="" textlink="">
      <xdr:nvSpPr>
        <xdr:cNvPr id="4" name="Text Box 7" descr="Need Help? Ask SCORE.">
          <a:extLst>
            <a:ext uri="{FF2B5EF4-FFF2-40B4-BE49-F238E27FC236}">
              <a16:creationId xmlns:a16="http://schemas.microsoft.com/office/drawing/2014/main" id="{00000000-0008-0000-0100-000004000000}"/>
            </a:ext>
          </a:extLst>
        </xdr:cNvPr>
        <xdr:cNvSpPr txBox="1">
          <a:spLocks noChangeAspect="1" noChangeArrowheads="1"/>
        </xdr:cNvSpPr>
      </xdr:nvSpPr>
      <xdr:spPr bwMode="auto">
        <a:xfrm>
          <a:off x="5184594" y="9333139"/>
          <a:ext cx="2524144" cy="1421131"/>
        </a:xfrm>
        <a:prstGeom prst="rect">
          <a:avLst/>
        </a:prstGeom>
        <a:noFill/>
        <a:ln w="57150">
          <a:solidFill>
            <a:srgbClr val="44C8F5"/>
          </a:solidFill>
          <a:miter lim="800000"/>
          <a:headEnd/>
          <a:tailEnd/>
        </a:ln>
      </xdr:spPr>
      <xdr:txBody>
        <a:bodyPr vertOverflow="clip" wrap="square" lIns="91440" tIns="91440" rIns="91440" bIns="91440" anchor="ctr" anchorCtr="0" upright="1">
          <a:noAutofit/>
        </a:bodyPr>
        <a:lstStyle/>
        <a:p>
          <a:pPr marL="0" marR="0" lvl="0" indent="0" algn="l" defTabSz="914400" rtl="1" eaLnBrk="1" fontAlgn="auto" latinLnBrk="0" hangingPunct="1">
            <a:lnSpc>
              <a:spcPct val="100000"/>
            </a:lnSpc>
            <a:spcBef>
              <a:spcPts val="60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Note: For existing businesses, this should be the "bucket"  </a:t>
          </a:r>
          <a:r>
            <a:rPr lang="en-US" sz="1100" b="0" i="0" baseline="0">
              <a:solidFill>
                <a:sysClr val="windowText" lastClr="000000"/>
              </a:solidFill>
              <a:effectLst/>
              <a:latin typeface="Gill Sans MT" pitchFamily="34" charset="0"/>
              <a:ea typeface="+mn-ea"/>
              <a:cs typeface="+mn-cs"/>
            </a:rPr>
            <a:t>of cash plus receivables that will be turned </a:t>
          </a: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into cash, minus payables that will be paid out in cash in the near term (i.e. in the first months of the plan) </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13809</xdr:colOff>
      <xdr:row>1</xdr:row>
      <xdr:rowOff>0</xdr:rowOff>
    </xdr:from>
    <xdr:to>
      <xdr:col>9</xdr:col>
      <xdr:colOff>353786</xdr:colOff>
      <xdr:row>7</xdr:row>
      <xdr:rowOff>48578</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260723" y="152400"/>
          <a:ext cx="3492752" cy="1515428"/>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baseline="0">
            <a:solidFill>
              <a:sysClr val="windowText" lastClr="000000"/>
            </a:solidFill>
            <a:latin typeface="Gill Sans MT" pitchFamily="34" charset="0"/>
          </a:endParaRPr>
        </a:p>
        <a:p>
          <a:r>
            <a:rPr lang="en-US" sz="900" baseline="0">
              <a:solidFill>
                <a:sysClr val="windowText" lastClr="000000"/>
              </a:solidFill>
              <a:latin typeface="Gill Sans MT" pitchFamily="34" charset="0"/>
            </a:rPr>
            <a:t>This sheet will populate based on information in the year 1 Sales Forecast.</a:t>
          </a:r>
        </a:p>
        <a:p>
          <a:endParaRPr lang="en-US" sz="900" baseline="0">
            <a:solidFill>
              <a:sysClr val="windowText" lastClr="000000"/>
            </a:solidFill>
            <a:effectLst/>
            <a:latin typeface="Gill Sans MT" pitchFamily="34" charset="0"/>
          </a:endParaRPr>
        </a:p>
        <a:p>
          <a:r>
            <a:rPr lang="en-US" sz="900">
              <a:solidFill>
                <a:sysClr val="windowText" lastClr="000000"/>
              </a:solidFill>
              <a:effectLst/>
              <a:latin typeface="Gill Sans MT" pitchFamily="34" charset="0"/>
            </a:rPr>
            <a:t>The</a:t>
          </a:r>
          <a:r>
            <a:rPr lang="en-US" sz="900" baseline="0">
              <a:solidFill>
                <a:sysClr val="windowText" lastClr="000000"/>
              </a:solidFill>
              <a:effectLst/>
              <a:latin typeface="Gill Sans MT" pitchFamily="34" charset="0"/>
            </a:rPr>
            <a:t> included growth rate is just a starting point, if you can provide a more accurate prediction for each month, unlock the sheet (see Directions) and change the value for that month. Please note that you will no longer have a formula in that cell once you change the value, so you may want to save a copy of this spreadsheet under a different name before doing so. </a:t>
          </a:r>
          <a:endParaRPr lang="en-US" sz="900">
            <a:solidFill>
              <a:sysClr val="windowText" lastClr="000000"/>
            </a:solidFill>
            <a:effectLst/>
            <a:latin typeface="Gill Sans MT" pitchFamily="34" charset="0"/>
          </a:endParaRPr>
        </a:p>
        <a:p>
          <a:endParaRPr lang="en-US" sz="900">
            <a:solidFill>
              <a:sysClr val="windowText" lastClr="000000"/>
            </a:solidFill>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3</xdr:col>
      <xdr:colOff>457200</xdr:colOff>
      <xdr:row>1</xdr:row>
      <xdr:rowOff>121126</xdr:rowOff>
    </xdr:from>
    <xdr:to>
      <xdr:col>14</xdr:col>
      <xdr:colOff>733426</xdr:colOff>
      <xdr:row>4</xdr:row>
      <xdr:rowOff>28575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257675" y="292576"/>
          <a:ext cx="7972426" cy="574199"/>
        </a:xfrm>
        <a:prstGeom prst="rect">
          <a:avLst/>
        </a:prstGeom>
        <a:solidFill>
          <a:schemeClr val="bg1"/>
        </a:solid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Gill Sans MT" pitchFamily="34" charset="0"/>
            </a:rPr>
            <a:t>NOTE: To only</a:t>
          </a:r>
          <a:r>
            <a:rPr lang="en-US" sz="900" baseline="0">
              <a:solidFill>
                <a:sysClr val="windowText" lastClr="000000"/>
              </a:solidFill>
              <a:latin typeface="Gill Sans MT" pitchFamily="34" charset="0"/>
            </a:rPr>
            <a:t> view the annual total side-by-side, highlight columns C through N</a:t>
          </a:r>
        </a:p>
        <a:p>
          <a:r>
            <a:rPr lang="en-US" sz="900" baseline="0">
              <a:solidFill>
                <a:sysClr val="windowText" lastClr="000000"/>
              </a:solidFill>
              <a:latin typeface="Gill Sans MT" pitchFamily="34" charset="0"/>
            </a:rPr>
            <a:t> and right-click. Then select "Hide". Use the same procedure to Hide columns P through AA. </a:t>
          </a:r>
          <a:r>
            <a:rPr lang="en-US" sz="900" baseline="0">
              <a:solidFill>
                <a:sysClr val="windowText" lastClr="000000"/>
              </a:solidFill>
              <a:effectLst/>
              <a:latin typeface="Gill Sans MT" pitchFamily="34" charset="0"/>
              <a:ea typeface="+mn-ea"/>
              <a:cs typeface="+mn-cs"/>
            </a:rPr>
            <a:t>To show them again, highlight columns B, O and AB, right-click and select "Unhide". </a:t>
          </a:r>
          <a:endParaRPr lang="en-US" sz="900">
            <a:solidFill>
              <a:sysClr val="windowText" lastClr="000000"/>
            </a:solidFill>
            <a:latin typeface="Gill Sans MT" pitchFamily="34" charset="0"/>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oneCellAnchor>
    <xdr:from>
      <xdr:col>3</xdr:col>
      <xdr:colOff>487137</xdr:colOff>
      <xdr:row>8</xdr:row>
      <xdr:rowOff>10002</xdr:rowOff>
    </xdr:from>
    <xdr:ext cx="3490503" cy="2961797"/>
    <xdr:sp macro="" textlink="">
      <xdr:nvSpPr>
        <xdr:cNvPr id="3" name="Text Box 2">
          <a:extLst>
            <a:ext uri="{FF2B5EF4-FFF2-40B4-BE49-F238E27FC236}">
              <a16:creationId xmlns:a16="http://schemas.microsoft.com/office/drawing/2014/main" id="{00000000-0008-0000-0E00-000003000000}"/>
            </a:ext>
          </a:extLst>
        </xdr:cNvPr>
        <xdr:cNvSpPr txBox="1">
          <a:spLocks noChangeAspect="1" noChangeArrowheads="1"/>
        </xdr:cNvSpPr>
      </xdr:nvSpPr>
      <xdr:spPr bwMode="auto">
        <a:xfrm>
          <a:off x="4975317" y="1419702"/>
          <a:ext cx="3490503" cy="2961797"/>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defRPr sz="1000"/>
          </a:pPr>
          <a:endParaRPr lang="en-US" sz="900" b="1" i="0" u="sng"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The breakeven sales level represents the number of units that must be sold in order to break even. This means that revenues are equal to expenses. Any units sold beyond this quantity will allow the company to generate net income.</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add another person to the payroll, how many extra sales dollars will be needed to recover the extra salary expense? If you borrow, how much will be needed to cover the increased principal and interest payments? Many owners, especially retailers, like to calculate a daily breakdown. This gives everyone a target to shoot at for the day.</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Equation:</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Breakeven Point = Total Fixed Costs/ (Gross Margin/Total Sales)</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7</xdr:col>
      <xdr:colOff>69638</xdr:colOff>
      <xdr:row>5</xdr:row>
      <xdr:rowOff>82760</xdr:rowOff>
    </xdr:from>
    <xdr:ext cx="2544022" cy="2180380"/>
    <xdr:sp macro="" textlink="">
      <xdr:nvSpPr>
        <xdr:cNvPr id="2" name="TextBox 1">
          <a:extLst>
            <a:ext uri="{FF2B5EF4-FFF2-40B4-BE49-F238E27FC236}">
              <a16:creationId xmlns:a16="http://schemas.microsoft.com/office/drawing/2014/main" id="{00000000-0008-0000-0F00-000002000000}"/>
            </a:ext>
          </a:extLst>
        </xdr:cNvPr>
        <xdr:cNvSpPr txBox="1">
          <a:spLocks noChangeAspect="1"/>
        </xdr:cNvSpPr>
      </xdr:nvSpPr>
      <xdr:spPr>
        <a:xfrm>
          <a:off x="8428778" y="959060"/>
          <a:ext cx="2544022" cy="2180380"/>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shows some common financial ratios.</a:t>
          </a:r>
          <a:r>
            <a:rPr lang="en-US" sz="900" b="0" i="0" u="none" strike="noStrike" baseline="0">
              <a:solidFill>
                <a:sysClr val="windowText" lastClr="000000"/>
              </a:solidFill>
              <a:effectLst/>
              <a:latin typeface="Gill Sans MT" pitchFamily="34" charset="0"/>
              <a:ea typeface="+mn-ea"/>
              <a:cs typeface="+mn-cs"/>
            </a:rPr>
            <a:t> There is a column where you can enter industry norms. To get these, contact your local library or bank to see if they have copies of the Risk Management Association (RMA) Annual Statement or refer to industry publications and trade magazines. Speak with your mentor to ensure you are using the appropriate resources. </a:t>
          </a:r>
          <a:endParaRPr lang="en-US" sz="900" b="0">
            <a:solidFill>
              <a:sysClr val="windowText" lastClr="000000"/>
            </a:solidFill>
            <a:latin typeface="Gill Sans MT" pitchFamily="34" charset="0"/>
          </a:endParaRPr>
        </a:p>
      </xdr:txBody>
    </xdr:sp>
    <xdr:clientData fPrintsWithSheet="0"/>
  </xdr:oneCellAnchor>
</xdr:wsDr>
</file>

<file path=xl/drawings/drawing7.xml><?xml version="1.0" encoding="utf-8"?>
<xdr:wsDr xmlns:xdr="http://schemas.openxmlformats.org/drawingml/2006/spreadsheetDrawing" xmlns:a="http://schemas.openxmlformats.org/drawingml/2006/main">
  <xdr:oneCellAnchor>
    <xdr:from>
      <xdr:col>5</xdr:col>
      <xdr:colOff>32365</xdr:colOff>
      <xdr:row>6</xdr:row>
      <xdr:rowOff>25399</xdr:rowOff>
    </xdr:from>
    <xdr:ext cx="3409336" cy="1435101"/>
    <xdr:sp macro="" textlink="">
      <xdr:nvSpPr>
        <xdr:cNvPr id="2" name="TextBox 1">
          <a:extLst>
            <a:ext uri="{FF2B5EF4-FFF2-40B4-BE49-F238E27FC236}">
              <a16:creationId xmlns:a16="http://schemas.microsoft.com/office/drawing/2014/main" id="{00000000-0008-0000-1000-000002000000}"/>
            </a:ext>
          </a:extLst>
        </xdr:cNvPr>
        <xdr:cNvSpPr txBox="1">
          <a:spLocks noChangeAspect="1"/>
        </xdr:cNvSpPr>
      </xdr:nvSpPr>
      <xdr:spPr>
        <a:xfrm>
          <a:off x="8922365" y="1092199"/>
          <a:ext cx="3409336" cy="1435101"/>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performs a few tests on your numbers to see if they seem within certain reasonable ranges.</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Remember, no computer can tell whether your projections are truly well-constructed, only a human can do that.</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But these tests can at least look for values that are critically out of range.</a:t>
          </a:r>
          <a:r>
            <a:rPr lang="en-US" sz="900" b="0">
              <a:solidFill>
                <a:sysClr val="windowText" lastClr="000000"/>
              </a:solidFill>
              <a:latin typeface="Gill Sans MT" pitchFamily="34" charset="0"/>
            </a:rPr>
            <a:t> </a:t>
          </a:r>
        </a:p>
      </xdr:txBody>
    </xdr:sp>
    <xdr:clientData fPrintsWithSheet="0"/>
  </xdr:oneCellAnchor>
</xdr:wsDr>
</file>

<file path=xl/theme/theme1.xml><?xml version="1.0" encoding="utf-8"?>
<a:theme xmlns:a="http://schemas.openxmlformats.org/drawingml/2006/main" name="Office Theme">
  <a:themeElements>
    <a:clrScheme name="SCORE">
      <a:dk1>
        <a:sysClr val="windowText" lastClr="000000"/>
      </a:dk1>
      <a:lt1>
        <a:sysClr val="window" lastClr="FFFFFF"/>
      </a:lt1>
      <a:dk2>
        <a:srgbClr val="006EB7"/>
      </a:dk2>
      <a:lt2>
        <a:srgbClr val="30A1FF"/>
      </a:lt2>
      <a:accent1>
        <a:srgbClr val="6A9F42"/>
      </a:accent1>
      <a:accent2>
        <a:srgbClr val="FFD200"/>
      </a:accent2>
      <a:accent3>
        <a:srgbClr val="265288"/>
      </a:accent3>
      <a:accent4>
        <a:srgbClr val="423616"/>
      </a:accent4>
      <a:accent5>
        <a:srgbClr val="464648"/>
      </a:accent5>
      <a:accent6>
        <a:srgbClr val="BCD2E6"/>
      </a:accent6>
      <a:hlink>
        <a:srgbClr val="30A1FF"/>
      </a:hlink>
      <a:folHlink>
        <a:srgbClr val="26528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89E53"/>
    <pageSetUpPr fitToPage="1"/>
  </sheetPr>
  <dimension ref="A1:P43"/>
  <sheetViews>
    <sheetView showGridLines="0" tabSelected="1" topLeftCell="A4" zoomScaleNormal="100" workbookViewId="0">
      <selection activeCell="L10" sqref="L10"/>
    </sheetView>
  </sheetViews>
  <sheetFormatPr defaultColWidth="8.88671875" defaultRowHeight="18" x14ac:dyDescent="0.5"/>
  <cols>
    <col min="1" max="1" width="5.33203125" style="1" customWidth="1"/>
    <col min="2" max="2" width="11" style="1" customWidth="1"/>
    <col min="3" max="3" width="28" style="1" customWidth="1"/>
    <col min="4" max="4" width="21.6640625" style="1" bestFit="1" customWidth="1"/>
    <col min="5" max="5" width="17.33203125" style="1" bestFit="1" customWidth="1"/>
    <col min="6" max="6" width="15.44140625" style="1" bestFit="1" customWidth="1"/>
    <col min="7" max="7" width="8.88671875" style="1"/>
    <col min="8" max="8" width="9.6640625" style="1" bestFit="1" customWidth="1"/>
    <col min="9" max="11" width="8.88671875" style="1"/>
    <col min="12" max="12" width="19.109375" style="1" customWidth="1"/>
    <col min="13" max="13" width="13.44140625" style="1" bestFit="1" customWidth="1"/>
    <col min="14" max="16384" width="8.88671875" style="1"/>
  </cols>
  <sheetData>
    <row r="1" spans="1:14" x14ac:dyDescent="0.5">
      <c r="A1" s="567" t="s">
        <v>373</v>
      </c>
      <c r="B1" s="34"/>
      <c r="C1" s="34"/>
      <c r="D1" s="34"/>
      <c r="E1" s="34"/>
      <c r="F1" s="34"/>
      <c r="G1" s="34"/>
      <c r="H1" s="34"/>
      <c r="I1" s="34"/>
      <c r="J1" s="34"/>
      <c r="K1" s="34"/>
      <c r="L1" s="34"/>
      <c r="M1" s="34"/>
      <c r="N1" s="34"/>
    </row>
    <row r="2" spans="1:14" x14ac:dyDescent="0.5">
      <c r="B2" s="34"/>
      <c r="C2" s="34"/>
      <c r="D2" s="34"/>
      <c r="E2" s="34"/>
      <c r="F2" s="34"/>
      <c r="G2" s="34"/>
      <c r="H2" s="34"/>
      <c r="I2" s="34"/>
      <c r="J2" s="34"/>
      <c r="K2" s="34"/>
      <c r="L2" s="34"/>
      <c r="M2" s="34"/>
      <c r="N2" s="34"/>
    </row>
    <row r="3" spans="1:14" x14ac:dyDescent="0.5">
      <c r="B3" s="572" t="s">
        <v>142</v>
      </c>
      <c r="C3" s="572"/>
      <c r="D3" s="572"/>
      <c r="E3" s="572"/>
      <c r="F3" s="572"/>
    </row>
    <row r="4" spans="1:14" x14ac:dyDescent="0.5">
      <c r="B4" s="3"/>
      <c r="G4" s="4"/>
      <c r="H4" s="5"/>
      <c r="I4" s="5"/>
      <c r="J4" s="5"/>
      <c r="K4" s="5"/>
      <c r="L4" s="5"/>
      <c r="M4" s="6"/>
    </row>
    <row r="5" spans="1:14" ht="18.600000000000001" thickBot="1" x14ac:dyDescent="0.55000000000000004">
      <c r="B5" s="3"/>
      <c r="C5" s="410" t="s">
        <v>85</v>
      </c>
      <c r="D5" s="410" t="s">
        <v>0</v>
      </c>
      <c r="E5" s="410" t="s">
        <v>207</v>
      </c>
      <c r="F5" s="410" t="s">
        <v>206</v>
      </c>
      <c r="G5" s="4"/>
      <c r="I5" s="5"/>
      <c r="J5" s="5"/>
      <c r="K5" s="5"/>
      <c r="L5" s="5"/>
      <c r="M5" s="6"/>
    </row>
    <row r="6" spans="1:14" ht="18.600000000000001" thickTop="1" x14ac:dyDescent="0.5">
      <c r="B6" s="3"/>
      <c r="C6" s="388" t="s">
        <v>376</v>
      </c>
      <c r="D6" s="388" t="s">
        <v>377</v>
      </c>
      <c r="E6" s="389" t="s">
        <v>378</v>
      </c>
      <c r="F6" s="388">
        <v>2021</v>
      </c>
      <c r="G6" s="4"/>
      <c r="H6" s="5"/>
      <c r="I6" s="5"/>
      <c r="J6" s="5"/>
      <c r="K6" s="5"/>
      <c r="L6" s="5"/>
      <c r="M6" s="6"/>
    </row>
    <row r="8" spans="1:14" x14ac:dyDescent="0.5">
      <c r="B8" s="572" t="s">
        <v>20</v>
      </c>
      <c r="C8" s="572"/>
      <c r="D8" s="572"/>
      <c r="E8" s="572"/>
      <c r="I8"/>
    </row>
    <row r="29" spans="1:16" x14ac:dyDescent="0.5">
      <c r="L29" s="557"/>
      <c r="M29" s="557"/>
      <c r="N29" s="557"/>
      <c r="O29" s="557"/>
      <c r="P29" s="557"/>
    </row>
    <row r="30" spans="1:16" x14ac:dyDescent="0.5">
      <c r="L30" s="557"/>
      <c r="M30" s="557"/>
      <c r="N30" s="557"/>
      <c r="O30" s="557"/>
      <c r="P30" s="557"/>
    </row>
    <row r="31" spans="1:16" x14ac:dyDescent="0.5">
      <c r="L31" s="557"/>
      <c r="M31" s="557"/>
      <c r="N31" s="557"/>
      <c r="O31" s="557"/>
      <c r="P31" s="557"/>
    </row>
    <row r="32" spans="1:16" x14ac:dyDescent="0.5">
      <c r="A32" s="529"/>
      <c r="B32" s="530"/>
      <c r="C32" s="532">
        <f>IF(ISBLANK(E6),-10000,MONTH(DATEVALUE(E6&amp;" 1")))</f>
        <v>6</v>
      </c>
      <c r="D32" s="530"/>
      <c r="E32" s="530"/>
      <c r="F32" s="530"/>
      <c r="G32" s="530"/>
      <c r="H32" s="530"/>
      <c r="I32" s="530"/>
      <c r="J32" s="530"/>
      <c r="K32" s="530"/>
      <c r="L32" s="530"/>
      <c r="M32" s="530"/>
      <c r="N32" s="557"/>
      <c r="O32" s="557"/>
      <c r="P32" s="557"/>
    </row>
    <row r="33" spans="1:16" x14ac:dyDescent="0.5">
      <c r="A33" s="529"/>
      <c r="B33" s="530"/>
      <c r="C33" s="532"/>
      <c r="D33" s="530"/>
      <c r="E33" s="530"/>
      <c r="F33" s="530"/>
      <c r="G33" s="530"/>
      <c r="H33" s="530"/>
      <c r="I33" s="530"/>
      <c r="J33" s="530"/>
      <c r="K33" s="530"/>
      <c r="L33" s="530"/>
      <c r="M33" s="530"/>
      <c r="N33" s="557"/>
      <c r="O33" s="557"/>
      <c r="P33" s="557"/>
    </row>
    <row r="34" spans="1:16" x14ac:dyDescent="0.5">
      <c r="A34" s="529"/>
      <c r="B34" s="530" t="str">
        <f>IF(Directions!$C$32&gt;0,CHOOSE(Directions!$C$32,"January","February","March","April","May","June","July","August","September","October","November","December"),"Month 1")</f>
        <v>June</v>
      </c>
      <c r="C34" s="532" t="str">
        <f>IF(Directions!$C$32+1&gt;12,CHOOSE(Directions!$C$32+1-12,"January","February","March","April","May","June","July","August","September","October","November","December"),IF(Directions!$C$32&lt;0,"Month 2",(CHOOSE(Directions!$C$32+1,"January","February","March","April","May","June","July","August","September","October","November","December"))))</f>
        <v>July</v>
      </c>
      <c r="D34" s="532" t="str">
        <f>IF(Directions!$C$32+2&gt;12,CHOOSE(Directions!$C$32+2-12,"January","February","March","April","May","June","July","August","September","October","November","December"),IF(Directions!$C$32&lt;0,"Month 3",CHOOSE(Directions!$C$32+2,"January","February","March","April","May","June","July","August","September","October","November","December")))</f>
        <v>August</v>
      </c>
      <c r="E34" s="532" t="str">
        <f>IF(Directions!$C$32+3&gt;12,CHOOSE(Directions!$C$32+3-12,"January","February","March","April","May","June","July","August","September","October","November","December"),IF(Directions!$C$32&lt;0,"Month 4",CHOOSE(Directions!$C$32+3,"January","February","March","April","May","June","July","August","September","October","November","December")))</f>
        <v>September</v>
      </c>
      <c r="F34" s="532" t="str">
        <f>IF(Directions!$C$32+4&gt;12,CHOOSE(Directions!$C$32+4-12,"January","February","March","April","May","June","July","August","September","October","November","December"),IF(Directions!$C$32&lt;0,"Month 5",CHOOSE(Directions!$C$32+4,"January","February","March","April","May","June","July","August","September","October","November","December")))</f>
        <v>October</v>
      </c>
      <c r="G34" s="532" t="str">
        <f>IF(Directions!$C$32+5&gt;12,CHOOSE(Directions!$C$32+5-12,"January","February","March","April","May","June","July","August","September","October","November","December"),IF(Directions!$C$32&lt;0,"Month 6",CHOOSE(Directions!$C$32+5,"January","February","March","April","May","June","July","August","September","October","November","December")))</f>
        <v>November</v>
      </c>
      <c r="H34" s="532" t="str">
        <f>IF(Directions!$C$32+6&gt;12,CHOOSE(Directions!$C$32+6-12,"January","February","March","April","May","June","July","August","September","October","November","December"),IF(Directions!$C$32&lt;0,"Month 7",CHOOSE(Directions!$C$32+6,"January","February","March","April","May","June","July","August","September","October","November","December")))</f>
        <v>December</v>
      </c>
      <c r="I34" s="532" t="str">
        <f>IF(Directions!$C$32+7&gt;12,CHOOSE(Directions!$C$32+7-12,"January","February","March","April","May","June","July","August","September","October","November","December"),IF(Directions!$C$32&lt;0,"Month 8",CHOOSE(Directions!$C$32+7,"January","February","March","April","May","June","July","August","September","October","November","December")))</f>
        <v>January</v>
      </c>
      <c r="J34" s="532" t="str">
        <f>IF(Directions!$C$32+8&gt;12,CHOOSE(Directions!$C$32+8-12,"January","February","March","April","May","June","July","August","September","October","November","December"),IF(Directions!$C$32&lt;0,"Month 9",CHOOSE(Directions!$C$32+8,"January","February","March","April","May","June","July","August","September","October","November","December")))</f>
        <v>February</v>
      </c>
      <c r="K34" s="532" t="str">
        <f>IF(Directions!$C$32+9&gt;12,CHOOSE(Directions!$C$32+9-12,"January","February","March","April","May","June","July","August","September","October","November","December"),IF(Directions!$C$32&lt;0,"Month 10",CHOOSE(Directions!$C$32+9,"January","February","March","April","May","June","July","August","September","October","November","December")))</f>
        <v>March</v>
      </c>
      <c r="L34" s="532" t="str">
        <f>IF(Directions!$C$32+10&gt;12,CHOOSE(Directions!$C$32+10-12,"January","February","March","April","May","June","July","August","September","October","November","December"),IF(Directions!$C$32&lt;0,"Month 11",CHOOSE(Directions!$C$32+10,"January","February","March","April","May","June","July","August","September","October","November","December")))</f>
        <v>April</v>
      </c>
      <c r="M34" s="532" t="str">
        <f>IF(Directions!$C$32+11&gt;12,CHOOSE(Directions!$C$32+11-12,"January","February","March","April","May","June","July","August","September","October","November","December"),IF(Directions!$C$32&lt;0,"Month 12",CHOOSE(Directions!$C$32+11,"January","February","March","April","May","June","July","August","September","October","November","December")))</f>
        <v>May</v>
      </c>
      <c r="N34" s="557"/>
      <c r="O34" s="557"/>
      <c r="P34" s="557"/>
    </row>
    <row r="35" spans="1:16" x14ac:dyDescent="0.5">
      <c r="A35" s="529"/>
      <c r="B35" s="529"/>
      <c r="C35" s="532"/>
      <c r="D35" s="529"/>
      <c r="E35" s="529"/>
      <c r="F35" s="529"/>
      <c r="G35" s="529"/>
      <c r="H35" s="529"/>
      <c r="I35" s="529"/>
      <c r="J35" s="529"/>
      <c r="K35" s="529"/>
      <c r="L35" s="529"/>
      <c r="M35" s="529"/>
      <c r="N35" s="557"/>
      <c r="O35" s="557"/>
      <c r="P35" s="557"/>
    </row>
    <row r="36" spans="1:16" x14ac:dyDescent="0.5">
      <c r="A36" s="529"/>
      <c r="B36" s="529"/>
      <c r="C36" s="529"/>
      <c r="D36" s="529"/>
      <c r="E36" s="529"/>
      <c r="F36" s="529"/>
      <c r="G36" s="529"/>
      <c r="H36" s="529"/>
      <c r="I36" s="529"/>
      <c r="J36" s="529"/>
      <c r="K36" s="529"/>
      <c r="L36" s="529"/>
      <c r="M36" s="529"/>
      <c r="N36" s="557"/>
      <c r="O36" s="557"/>
      <c r="P36" s="557"/>
    </row>
    <row r="37" spans="1:16" x14ac:dyDescent="0.5">
      <c r="B37" s="557"/>
      <c r="C37" s="557"/>
      <c r="D37" s="557"/>
      <c r="E37" s="557"/>
      <c r="F37" s="557"/>
      <c r="G37" s="557"/>
      <c r="H37" s="557"/>
      <c r="I37" s="557"/>
      <c r="J37" s="557"/>
      <c r="K37" s="557"/>
      <c r="L37" s="557"/>
      <c r="M37" s="557"/>
      <c r="N37" s="557"/>
      <c r="O37" s="557"/>
      <c r="P37" s="557"/>
    </row>
    <row r="38" spans="1:16" x14ac:dyDescent="0.5">
      <c r="L38" s="557"/>
      <c r="M38" s="557"/>
      <c r="N38" s="557"/>
      <c r="O38" s="557"/>
      <c r="P38" s="557"/>
    </row>
    <row r="40" spans="1:16" x14ac:dyDescent="0.5">
      <c r="E40" s="2"/>
    </row>
    <row r="41" spans="1:16" x14ac:dyDescent="0.5">
      <c r="B41" s="572"/>
      <c r="C41" s="572"/>
      <c r="D41" s="572"/>
    </row>
    <row r="43" spans="1:16" x14ac:dyDescent="0.5">
      <c r="B43" s="2"/>
      <c r="C43" s="2"/>
      <c r="D43" s="2"/>
    </row>
  </sheetData>
  <sheetProtection formatColumns="0" formatRows="0"/>
  <mergeCells count="3">
    <mergeCell ref="B8:E8"/>
    <mergeCell ref="B41:D41"/>
    <mergeCell ref="B3:F3"/>
  </mergeCells>
  <phoneticPr fontId="3" type="noConversion"/>
  <conditionalFormatting sqref="C6:F6">
    <cfRule type="containsBlanks" dxfId="92" priority="7">
      <formula>LEN(TRIM(C6))=0</formula>
    </cfRule>
  </conditionalFormatting>
  <printOptions horizontalCentered="1"/>
  <pageMargins left="0.25" right="0.25" top="0.75" bottom="0.75" header="0.3" footer="0.3"/>
  <pageSetup scale="69" orientation="landscape" r:id="rId1"/>
  <headerFooter scaleWithDoc="0">
    <oddHeader>&amp;L&amp;9&amp;G&amp;R&amp;G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C95B"/>
    <pageSetUpPr fitToPage="1"/>
  </sheetPr>
  <dimension ref="A1:S34"/>
  <sheetViews>
    <sheetView zoomScaleNormal="100" zoomScalePageLayoutView="80" workbookViewId="0">
      <selection activeCell="C17" sqref="C17"/>
    </sheetView>
  </sheetViews>
  <sheetFormatPr defaultColWidth="8.88671875" defaultRowHeight="13.8" x14ac:dyDescent="0.35"/>
  <cols>
    <col min="1" max="1" width="11.5546875" style="63" customWidth="1"/>
    <col min="2" max="2" width="31.33203125" style="63" bestFit="1" customWidth="1"/>
    <col min="3" max="10" width="9.6640625" style="71" customWidth="1"/>
    <col min="11" max="11" width="10.44140625" style="71" bestFit="1" customWidth="1"/>
    <col min="12" max="12" width="9.6640625" style="71" customWidth="1"/>
    <col min="13" max="13" width="9.6640625" style="71" bestFit="1" customWidth="1"/>
    <col min="14" max="14" width="9.6640625" style="71" customWidth="1"/>
    <col min="15" max="15" width="9.109375" style="71" customWidth="1"/>
    <col min="16" max="16" width="14.33203125" style="71" bestFit="1" customWidth="1"/>
    <col min="17" max="17" width="5.88671875" style="63" bestFit="1" customWidth="1"/>
    <col min="18" max="18" width="7.88671875" style="71" bestFit="1" customWidth="1"/>
    <col min="19" max="16384" width="8.88671875" style="71"/>
  </cols>
  <sheetData>
    <row r="1" spans="1:19" s="63" customFormat="1" x14ac:dyDescent="0.35"/>
    <row r="2" spans="1:19" x14ac:dyDescent="0.35">
      <c r="A2" s="71"/>
      <c r="B2" s="617" t="s">
        <v>334</v>
      </c>
      <c r="C2" s="617"/>
      <c r="E2" s="217"/>
      <c r="H2" s="217"/>
      <c r="I2" s="63"/>
      <c r="J2" s="63"/>
      <c r="N2" s="63"/>
      <c r="O2" s="63"/>
      <c r="P2" s="218"/>
      <c r="Q2" s="218"/>
      <c r="R2" s="63"/>
      <c r="S2" s="63"/>
    </row>
    <row r="3" spans="1:19" x14ac:dyDescent="0.35">
      <c r="A3" s="71"/>
      <c r="C3" s="63"/>
      <c r="E3" s="63"/>
      <c r="H3" s="190"/>
      <c r="I3" s="63"/>
      <c r="J3" s="63"/>
      <c r="N3" s="63"/>
      <c r="O3" s="63"/>
      <c r="P3" s="63"/>
      <c r="R3" s="63"/>
      <c r="S3" s="63"/>
    </row>
    <row r="4" spans="1:19" x14ac:dyDescent="0.35">
      <c r="A4" s="71"/>
      <c r="B4" s="219" t="s">
        <v>130</v>
      </c>
      <c r="C4" s="219" t="s">
        <v>131</v>
      </c>
      <c r="E4" s="63"/>
      <c r="H4" s="190"/>
      <c r="I4" s="63"/>
      <c r="J4" s="63"/>
      <c r="N4" s="63"/>
      <c r="O4" s="63"/>
      <c r="P4" s="63"/>
      <c r="R4" s="63"/>
      <c r="S4" s="63"/>
    </row>
    <row r="5" spans="1:19" x14ac:dyDescent="0.35">
      <c r="A5" s="71"/>
      <c r="B5" s="63" t="str">
        <f>IF(ISBLANK(Directions!C6), "Owner", Directions!C6)</f>
        <v>Thomas Francis</v>
      </c>
      <c r="C5" s="63" t="str">
        <f>IF(ISBLANK(Directions!D6), "Company 1", Directions!D6)</f>
        <v>Project "Dogen"</v>
      </c>
      <c r="E5" s="63"/>
      <c r="H5" s="190"/>
      <c r="I5" s="63"/>
      <c r="J5" s="63"/>
      <c r="N5" s="63"/>
      <c r="O5" s="63"/>
      <c r="P5" s="63"/>
      <c r="R5" s="63"/>
      <c r="S5" s="63"/>
    </row>
    <row r="7" spans="1:19" ht="14.4" thickBot="1" x14ac:dyDescent="0.4">
      <c r="A7" s="71"/>
      <c r="B7" s="413"/>
      <c r="C7" s="413" t="str">
        <f>'3a-SalesForecastYear1'!C16</f>
        <v>June</v>
      </c>
      <c r="D7" s="413" t="str">
        <f>'3a-SalesForecastYear1'!D16</f>
        <v>July</v>
      </c>
      <c r="E7" s="413" t="str">
        <f>'3a-SalesForecastYear1'!E16</f>
        <v>August</v>
      </c>
      <c r="F7" s="413" t="str">
        <f>'3a-SalesForecastYear1'!F16</f>
        <v>September</v>
      </c>
      <c r="G7" s="413" t="str">
        <f>'3a-SalesForecastYear1'!G16</f>
        <v>October</v>
      </c>
      <c r="H7" s="413" t="str">
        <f>'3a-SalesForecastYear1'!H16</f>
        <v>November</v>
      </c>
      <c r="I7" s="413" t="str">
        <f>'3a-SalesForecastYear1'!I16</f>
        <v>December</v>
      </c>
      <c r="J7" s="413" t="str">
        <f>'3a-SalesForecastYear1'!J16</f>
        <v>January</v>
      </c>
      <c r="K7" s="413" t="str">
        <f>'3a-SalesForecastYear1'!K16</f>
        <v>February</v>
      </c>
      <c r="L7" s="413" t="str">
        <f>'3a-SalesForecastYear1'!L16</f>
        <v>March</v>
      </c>
      <c r="M7" s="413" t="str">
        <f>'3a-SalesForecastYear1'!M16</f>
        <v>April</v>
      </c>
      <c r="N7" s="413" t="str">
        <f>'3a-SalesForecastYear1'!N16</f>
        <v>May</v>
      </c>
      <c r="O7" s="413" t="s">
        <v>8</v>
      </c>
      <c r="P7" s="63"/>
      <c r="Q7" s="71"/>
    </row>
    <row r="8" spans="1:19" ht="14.4" thickTop="1" x14ac:dyDescent="0.35">
      <c r="A8" s="71"/>
      <c r="B8" s="418" t="s">
        <v>84</v>
      </c>
      <c r="C8" s="419">
        <f>Working_Capital</f>
        <v>0</v>
      </c>
      <c r="D8" s="419">
        <f t="shared" ref="D8:N8" si="0">C33</f>
        <v>0</v>
      </c>
      <c r="E8" s="419">
        <f t="shared" si="0"/>
        <v>0</v>
      </c>
      <c r="F8" s="419">
        <f t="shared" si="0"/>
        <v>0</v>
      </c>
      <c r="G8" s="419">
        <f t="shared" si="0"/>
        <v>0</v>
      </c>
      <c r="H8" s="419">
        <f t="shared" si="0"/>
        <v>0</v>
      </c>
      <c r="I8" s="419">
        <f t="shared" si="0"/>
        <v>0</v>
      </c>
      <c r="J8" s="419">
        <f t="shared" si="0"/>
        <v>0</v>
      </c>
      <c r="K8" s="419">
        <f t="shared" si="0"/>
        <v>0</v>
      </c>
      <c r="L8" s="419">
        <f t="shared" si="0"/>
        <v>0</v>
      </c>
      <c r="M8" s="419">
        <f t="shared" si="0"/>
        <v>0</v>
      </c>
      <c r="N8" s="419">
        <f t="shared" si="0"/>
        <v>0</v>
      </c>
      <c r="O8" s="420"/>
      <c r="P8" s="63"/>
      <c r="Q8" s="71"/>
    </row>
    <row r="9" spans="1:19" x14ac:dyDescent="0.35">
      <c r="A9" s="71"/>
      <c r="B9" s="66" t="s">
        <v>21</v>
      </c>
      <c r="C9" s="68"/>
      <c r="D9" s="68"/>
      <c r="E9" s="68"/>
      <c r="F9" s="68"/>
      <c r="G9" s="68"/>
      <c r="H9" s="68"/>
      <c r="I9" s="68"/>
      <c r="J9" s="68"/>
      <c r="K9" s="68"/>
      <c r="L9" s="68"/>
      <c r="M9" s="68"/>
      <c r="N9" s="68"/>
      <c r="O9" s="68"/>
      <c r="P9" s="63"/>
      <c r="Q9" s="71"/>
    </row>
    <row r="10" spans="1:19" x14ac:dyDescent="0.35">
      <c r="A10" s="71"/>
      <c r="B10" s="220" t="s">
        <v>124</v>
      </c>
      <c r="C10" s="221">
        <f>'3a-SalesForecastYear1'!C53*'4-AdditionalInputs'!$C$9</f>
        <v>0</v>
      </c>
      <c r="D10" s="105">
        <f>'3a-SalesForecastYear1'!D53*'4-AdditionalInputs'!$C$9</f>
        <v>0</v>
      </c>
      <c r="E10" s="105">
        <f>'3a-SalesForecastYear1'!E53*'4-AdditionalInputs'!$C$9</f>
        <v>0</v>
      </c>
      <c r="F10" s="105">
        <f>'3a-SalesForecastYear1'!F53*'4-AdditionalInputs'!$C$9</f>
        <v>0</v>
      </c>
      <c r="G10" s="105">
        <f>'3a-SalesForecastYear1'!G53*'4-AdditionalInputs'!$C$9</f>
        <v>0</v>
      </c>
      <c r="H10" s="105">
        <f>'3a-SalesForecastYear1'!H53*'4-AdditionalInputs'!$C$9</f>
        <v>0</v>
      </c>
      <c r="I10" s="105">
        <f>'3a-SalesForecastYear1'!I53*'4-AdditionalInputs'!$C$9</f>
        <v>0</v>
      </c>
      <c r="J10" s="105">
        <f>'3a-SalesForecastYear1'!J53*'4-AdditionalInputs'!$C$9</f>
        <v>0</v>
      </c>
      <c r="K10" s="105">
        <f>'3a-SalesForecastYear1'!K53*'4-AdditionalInputs'!$C$9</f>
        <v>0</v>
      </c>
      <c r="L10" s="105">
        <f>'3a-SalesForecastYear1'!L53*'4-AdditionalInputs'!$C$9</f>
        <v>0</v>
      </c>
      <c r="M10" s="105">
        <f>'3a-SalesForecastYear1'!M53*'4-AdditionalInputs'!$C$9</f>
        <v>0</v>
      </c>
      <c r="N10" s="105">
        <f>'3a-SalesForecastYear1'!N53*'4-AdditionalInputs'!$C$9</f>
        <v>0</v>
      </c>
      <c r="O10" s="74">
        <f>SUM(C10:N10)</f>
        <v>0</v>
      </c>
      <c r="P10" s="63"/>
      <c r="Q10" s="71"/>
    </row>
    <row r="11" spans="1:19" x14ac:dyDescent="0.35">
      <c r="A11" s="71"/>
      <c r="B11" s="220" t="s">
        <v>230</v>
      </c>
      <c r="C11" s="105">
        <v>0</v>
      </c>
      <c r="D11" s="105">
        <f>('3a-SalesForecastYear1'!C53*'4-AdditionalInputs'!$C$10)</f>
        <v>0</v>
      </c>
      <c r="E11" s="105">
        <f>('3a-SalesForecastYear1'!D53*'4-AdditionalInputs'!$C$10)+('3a-SalesForecastYear1'!C53*'4-AdditionalInputs'!$C$11)</f>
        <v>0</v>
      </c>
      <c r="F11" s="105">
        <f>('3a-SalesForecastYear1'!E53*'4-AdditionalInputs'!$C$10)+('3a-SalesForecastYear1'!D53*'4-AdditionalInputs'!$C$11)</f>
        <v>0</v>
      </c>
      <c r="G11" s="105">
        <f>('3a-SalesForecastYear1'!F53*'4-AdditionalInputs'!$C$10)+('3a-SalesForecastYear1'!E53*'4-AdditionalInputs'!$C$11)</f>
        <v>0</v>
      </c>
      <c r="H11" s="105">
        <f>('3a-SalesForecastYear1'!G53*'4-AdditionalInputs'!$C$10)+('3a-SalesForecastYear1'!F53*'4-AdditionalInputs'!$C$11)</f>
        <v>0</v>
      </c>
      <c r="I11" s="105">
        <f>('3a-SalesForecastYear1'!H53*'4-AdditionalInputs'!$C$10)+('3a-SalesForecastYear1'!G53*'4-AdditionalInputs'!$C$11)</f>
        <v>0</v>
      </c>
      <c r="J11" s="105">
        <f>('3a-SalesForecastYear1'!I53*'4-AdditionalInputs'!$C$10)+('3a-SalesForecastYear1'!H53*'4-AdditionalInputs'!$C$11)</f>
        <v>0</v>
      </c>
      <c r="K11" s="105">
        <f>('3a-SalesForecastYear1'!J53*'4-AdditionalInputs'!$C$10)+('3a-SalesForecastYear1'!I53*'4-AdditionalInputs'!$C$11)</f>
        <v>0</v>
      </c>
      <c r="L11" s="105">
        <f>('3a-SalesForecastYear1'!K53*'4-AdditionalInputs'!$C$10)+('3a-SalesForecastYear1'!J53*'4-AdditionalInputs'!$C$11)</f>
        <v>0</v>
      </c>
      <c r="M11" s="105">
        <f>('3a-SalesForecastYear1'!L53*'4-AdditionalInputs'!$C$10)+('3a-SalesForecastYear1'!K53*'4-AdditionalInputs'!$C$11)</f>
        <v>0</v>
      </c>
      <c r="N11" s="105">
        <f>('3a-SalesForecastYear1'!M53*'4-AdditionalInputs'!$C$10)+('3a-SalesForecastYear1'!L53*'4-AdditionalInputs'!$C$11)</f>
        <v>0</v>
      </c>
      <c r="O11" s="74">
        <f>SUM(C11:N11)</f>
        <v>0</v>
      </c>
      <c r="P11" s="63"/>
      <c r="Q11" s="71"/>
    </row>
    <row r="12" spans="1:19" x14ac:dyDescent="0.35">
      <c r="A12" s="71"/>
      <c r="B12" s="47" t="s">
        <v>22</v>
      </c>
      <c r="C12" s="108">
        <f>SUM(C10:C11)</f>
        <v>0</v>
      </c>
      <c r="D12" s="108">
        <f t="shared" ref="D12:N12" si="1">SUM(D10:D11)</f>
        <v>0</v>
      </c>
      <c r="E12" s="108">
        <f t="shared" si="1"/>
        <v>0</v>
      </c>
      <c r="F12" s="108">
        <f t="shared" si="1"/>
        <v>0</v>
      </c>
      <c r="G12" s="108">
        <f t="shared" si="1"/>
        <v>0</v>
      </c>
      <c r="H12" s="108">
        <f t="shared" si="1"/>
        <v>0</v>
      </c>
      <c r="I12" s="108">
        <f t="shared" si="1"/>
        <v>0</v>
      </c>
      <c r="J12" s="108">
        <f t="shared" si="1"/>
        <v>0</v>
      </c>
      <c r="K12" s="108">
        <f t="shared" si="1"/>
        <v>0</v>
      </c>
      <c r="L12" s="108">
        <f t="shared" si="1"/>
        <v>0</v>
      </c>
      <c r="M12" s="108">
        <f t="shared" si="1"/>
        <v>0</v>
      </c>
      <c r="N12" s="108">
        <f t="shared" si="1"/>
        <v>0</v>
      </c>
      <c r="O12" s="74">
        <f>SUM(O10:O11)</f>
        <v>0</v>
      </c>
      <c r="Q12" s="71"/>
    </row>
    <row r="13" spans="1:19" x14ac:dyDescent="0.35">
      <c r="A13" s="71"/>
      <c r="B13" s="47"/>
      <c r="C13" s="105"/>
      <c r="D13" s="222"/>
      <c r="E13" s="222"/>
      <c r="F13" s="222"/>
      <c r="G13" s="222"/>
      <c r="H13" s="222"/>
      <c r="I13" s="222"/>
      <c r="J13" s="222"/>
      <c r="K13" s="222"/>
      <c r="L13" s="222"/>
      <c r="M13" s="222"/>
      <c r="N13" s="222"/>
      <c r="O13" s="74"/>
      <c r="Q13" s="71"/>
    </row>
    <row r="14" spans="1:19" x14ac:dyDescent="0.35">
      <c r="A14" s="71"/>
      <c r="B14" s="66" t="s">
        <v>23</v>
      </c>
      <c r="C14" s="105"/>
      <c r="D14" s="222"/>
      <c r="E14" s="222"/>
      <c r="F14" s="222"/>
      <c r="G14" s="222"/>
      <c r="H14" s="222"/>
      <c r="I14" s="222"/>
      <c r="J14" s="222"/>
      <c r="K14" s="222"/>
      <c r="L14" s="222"/>
      <c r="M14" s="222"/>
      <c r="N14" s="222"/>
      <c r="O14" s="74"/>
      <c r="Q14" s="71"/>
    </row>
    <row r="15" spans="1:19" x14ac:dyDescent="0.35">
      <c r="A15" s="71"/>
      <c r="B15" s="220" t="s">
        <v>24</v>
      </c>
      <c r="C15" s="105"/>
      <c r="D15" s="222"/>
      <c r="E15" s="222"/>
      <c r="F15" s="222"/>
      <c r="G15" s="222"/>
      <c r="H15" s="222"/>
      <c r="I15" s="222"/>
      <c r="J15" s="222"/>
      <c r="K15" s="222"/>
      <c r="L15" s="222"/>
      <c r="M15" s="222"/>
      <c r="N15" s="222"/>
      <c r="O15" s="74"/>
      <c r="Q15" s="71"/>
    </row>
    <row r="16" spans="1:19" x14ac:dyDescent="0.35">
      <c r="A16" s="71"/>
      <c r="B16" s="223" t="s">
        <v>287</v>
      </c>
      <c r="C16" s="105">
        <v>0</v>
      </c>
      <c r="D16" s="105">
        <f>'4-AdditionalInputs'!E35</f>
        <v>0</v>
      </c>
      <c r="E16" s="105">
        <f>'4-AdditionalInputs'!F35</f>
        <v>0</v>
      </c>
      <c r="F16" s="105">
        <f>'4-AdditionalInputs'!G35</f>
        <v>0</v>
      </c>
      <c r="G16" s="105">
        <f>'4-AdditionalInputs'!H35</f>
        <v>0</v>
      </c>
      <c r="H16" s="105">
        <f>'4-AdditionalInputs'!I35</f>
        <v>0</v>
      </c>
      <c r="I16" s="105">
        <f>'4-AdditionalInputs'!J35</f>
        <v>0</v>
      </c>
      <c r="J16" s="105">
        <f>'4-AdditionalInputs'!K35</f>
        <v>0</v>
      </c>
      <c r="K16" s="105">
        <f>'4-AdditionalInputs'!L35</f>
        <v>0</v>
      </c>
      <c r="L16" s="105">
        <f>'4-AdditionalInputs'!M35</f>
        <v>0</v>
      </c>
      <c r="M16" s="105">
        <f>'4-AdditionalInputs'!N35</f>
        <v>0</v>
      </c>
      <c r="N16" s="105">
        <f>'4-AdditionalInputs'!O35</f>
        <v>0</v>
      </c>
      <c r="O16" s="74">
        <f>SUM(C16:N16)</f>
        <v>0</v>
      </c>
      <c r="Q16" s="71"/>
    </row>
    <row r="17" spans="1:17" x14ac:dyDescent="0.35">
      <c r="A17" s="71"/>
      <c r="B17" s="223" t="s">
        <v>288</v>
      </c>
      <c r="C17" s="183"/>
      <c r="D17" s="183"/>
      <c r="E17" s="183"/>
      <c r="F17" s="183"/>
      <c r="G17" s="183"/>
      <c r="H17" s="183"/>
      <c r="I17" s="183"/>
      <c r="J17" s="183"/>
      <c r="K17" s="183"/>
      <c r="L17" s="183"/>
      <c r="M17" s="183"/>
      <c r="N17" s="183"/>
      <c r="O17" s="74">
        <f>SUM(C17:N17)</f>
        <v>0</v>
      </c>
      <c r="Q17" s="71"/>
    </row>
    <row r="18" spans="1:17" x14ac:dyDescent="0.35">
      <c r="A18" s="71"/>
      <c r="B18" s="223" t="s">
        <v>29</v>
      </c>
      <c r="C18" s="105">
        <f>'3a-SalesForecastYear1'!C54*'4-AdditionalInputs'!$C$17</f>
        <v>0</v>
      </c>
      <c r="D18" s="105">
        <f>('3a-SalesForecastYear1'!D54*'4-AdditionalInputs'!$C$17)+('3a-SalesForecastYear1'!C54*'4-AdditionalInputs'!$C$18)</f>
        <v>0</v>
      </c>
      <c r="E18" s="105">
        <f>('3a-SalesForecastYear1'!E54*'4-AdditionalInputs'!$C$17)+('3a-SalesForecastYear1'!D54*'4-AdditionalInputs'!$C$18)+('3a-SalesForecastYear1'!C54*'4-AdditionalInputs'!$C$19)</f>
        <v>0</v>
      </c>
      <c r="F18" s="105">
        <f>('3a-SalesForecastYear1'!F54*'4-AdditionalInputs'!$C$17)+('3a-SalesForecastYear1'!E54*'4-AdditionalInputs'!$C$18)+('3a-SalesForecastYear1'!D54*'4-AdditionalInputs'!$C$19)</f>
        <v>0</v>
      </c>
      <c r="G18" s="105">
        <f>('3a-SalesForecastYear1'!G54*'4-AdditionalInputs'!$C$17)+('3a-SalesForecastYear1'!F54*'4-AdditionalInputs'!$C$18)+('3a-SalesForecastYear1'!E54*'4-AdditionalInputs'!$C$19)</f>
        <v>0</v>
      </c>
      <c r="H18" s="105">
        <f>('3a-SalesForecastYear1'!H54*'4-AdditionalInputs'!$C$17)+('3a-SalesForecastYear1'!G54*'4-AdditionalInputs'!$C$18)+('3a-SalesForecastYear1'!F54*'4-AdditionalInputs'!$C$19)</f>
        <v>0</v>
      </c>
      <c r="I18" s="105">
        <f>('3a-SalesForecastYear1'!I54*'4-AdditionalInputs'!$C$17)+('3a-SalesForecastYear1'!H54*'4-AdditionalInputs'!$C$18)+('3a-SalesForecastYear1'!G54*'4-AdditionalInputs'!$C$19)</f>
        <v>0</v>
      </c>
      <c r="J18" s="105">
        <f>('3a-SalesForecastYear1'!J54*'4-AdditionalInputs'!$C$17)+('3a-SalesForecastYear1'!I54*'4-AdditionalInputs'!$C$18)+('3a-SalesForecastYear1'!H54*'4-AdditionalInputs'!$C$19)</f>
        <v>0</v>
      </c>
      <c r="K18" s="105">
        <f>('3a-SalesForecastYear1'!K54*'4-AdditionalInputs'!$C$17)+('3a-SalesForecastYear1'!J54*'4-AdditionalInputs'!$C$18)+('3a-SalesForecastYear1'!I54*'4-AdditionalInputs'!$C$19)</f>
        <v>0</v>
      </c>
      <c r="L18" s="105">
        <f>('3a-SalesForecastYear1'!L54*'4-AdditionalInputs'!$C$17)+('3a-SalesForecastYear1'!K54*'4-AdditionalInputs'!$C$18)+('3a-SalesForecastYear1'!J54*'4-AdditionalInputs'!$C$19)</f>
        <v>0</v>
      </c>
      <c r="M18" s="105">
        <f>('3a-SalesForecastYear1'!M54*'4-AdditionalInputs'!$C$17)+('3a-SalesForecastYear1'!L54*'4-AdditionalInputs'!$C$18)+('3a-SalesForecastYear1'!K54*'4-AdditionalInputs'!$C$19)</f>
        <v>0</v>
      </c>
      <c r="N18" s="105">
        <f>('3a-SalesForecastYear1'!N54*'4-AdditionalInputs'!$C$17)+('3a-SalesForecastYear1'!M54*'4-AdditionalInputs'!$C$18)+('3a-SalesForecastYear1'!L54*'4-AdditionalInputs'!$C$19)</f>
        <v>0</v>
      </c>
      <c r="O18" s="74">
        <f>SUM(C18:N18)</f>
        <v>0</v>
      </c>
      <c r="Q18" s="71"/>
    </row>
    <row r="19" spans="1:17" x14ac:dyDescent="0.35">
      <c r="A19" s="71"/>
      <c r="B19" s="220" t="s">
        <v>265</v>
      </c>
      <c r="C19" s="105"/>
      <c r="D19" s="105"/>
      <c r="E19" s="105"/>
      <c r="F19" s="105"/>
      <c r="G19" s="105"/>
      <c r="H19" s="105"/>
      <c r="I19" s="105"/>
      <c r="J19" s="105"/>
      <c r="K19" s="105"/>
      <c r="L19" s="105"/>
      <c r="M19" s="105"/>
      <c r="N19" s="105"/>
      <c r="O19" s="74"/>
      <c r="Q19" s="71"/>
    </row>
    <row r="20" spans="1:17" x14ac:dyDescent="0.35">
      <c r="A20" s="71"/>
      <c r="B20" s="223" t="s">
        <v>137</v>
      </c>
      <c r="C20" s="105">
        <f>'5a-OpExYear1'!C25</f>
        <v>0</v>
      </c>
      <c r="D20" s="105">
        <f>'5a-OpExYear1'!D25</f>
        <v>0</v>
      </c>
      <c r="E20" s="105">
        <f>'5a-OpExYear1'!E25</f>
        <v>0</v>
      </c>
      <c r="F20" s="105">
        <f>'5a-OpExYear1'!F25</f>
        <v>0</v>
      </c>
      <c r="G20" s="105">
        <f>'5a-OpExYear1'!G25</f>
        <v>0</v>
      </c>
      <c r="H20" s="105">
        <f>'5a-OpExYear1'!H25</f>
        <v>0</v>
      </c>
      <c r="I20" s="105">
        <f>'5a-OpExYear1'!I25</f>
        <v>0</v>
      </c>
      <c r="J20" s="105">
        <f>'5a-OpExYear1'!J25</f>
        <v>0</v>
      </c>
      <c r="K20" s="105">
        <f>'5a-OpExYear1'!K25</f>
        <v>0</v>
      </c>
      <c r="L20" s="105">
        <f>'5a-OpExYear1'!L25</f>
        <v>0</v>
      </c>
      <c r="M20" s="105">
        <f>'5a-OpExYear1'!M25</f>
        <v>0</v>
      </c>
      <c r="N20" s="105">
        <f>'5a-OpExYear1'!N25</f>
        <v>0</v>
      </c>
      <c r="O20" s="74">
        <f t="shared" ref="O20:O22" si="2">SUM(C20:N20)</f>
        <v>0</v>
      </c>
      <c r="Q20" s="71"/>
    </row>
    <row r="21" spans="1:17" x14ac:dyDescent="0.35">
      <c r="A21" s="71"/>
      <c r="B21" s="223" t="s">
        <v>213</v>
      </c>
      <c r="C21" s="105">
        <f>'2a-PayrollYear1'!F25</f>
        <v>0</v>
      </c>
      <c r="D21" s="105">
        <f>'2a-PayrollYear1'!G25</f>
        <v>0</v>
      </c>
      <c r="E21" s="105">
        <f>'2a-PayrollYear1'!H25</f>
        <v>0</v>
      </c>
      <c r="F21" s="105">
        <f>'2a-PayrollYear1'!I25</f>
        <v>0</v>
      </c>
      <c r="G21" s="105">
        <f>'2a-PayrollYear1'!J25</f>
        <v>0</v>
      </c>
      <c r="H21" s="105">
        <f>'2a-PayrollYear1'!K25</f>
        <v>0</v>
      </c>
      <c r="I21" s="105">
        <f>'2a-PayrollYear1'!L25</f>
        <v>0</v>
      </c>
      <c r="J21" s="105">
        <f>'2a-PayrollYear1'!M25</f>
        <v>0</v>
      </c>
      <c r="K21" s="105">
        <f>'2a-PayrollYear1'!N25</f>
        <v>0</v>
      </c>
      <c r="L21" s="105">
        <f>'2a-PayrollYear1'!O25</f>
        <v>0</v>
      </c>
      <c r="M21" s="105">
        <f>'2a-PayrollYear1'!P25</f>
        <v>0</v>
      </c>
      <c r="N21" s="105">
        <f>'2a-PayrollYear1'!Q25</f>
        <v>0</v>
      </c>
      <c r="O21" s="74">
        <f t="shared" si="2"/>
        <v>0</v>
      </c>
      <c r="Q21" s="71"/>
    </row>
    <row r="22" spans="1:17" x14ac:dyDescent="0.35">
      <c r="A22" s="71"/>
      <c r="B22" s="223" t="s">
        <v>162</v>
      </c>
      <c r="C22" s="105">
        <v>0</v>
      </c>
      <c r="D22" s="105">
        <v>0</v>
      </c>
      <c r="E22" s="105">
        <f>SUM('7a-IncomeStatementYear1'!C59:E59)</f>
        <v>0</v>
      </c>
      <c r="F22" s="105">
        <v>0</v>
      </c>
      <c r="G22" s="105">
        <v>0</v>
      </c>
      <c r="H22" s="105">
        <f>SUM('7a-IncomeStatementYear1'!F59:H59)</f>
        <v>0</v>
      </c>
      <c r="I22" s="105">
        <v>0</v>
      </c>
      <c r="J22" s="105">
        <v>0</v>
      </c>
      <c r="K22" s="105">
        <f>SUM('7a-IncomeStatementYear1'!I59:K59)</f>
        <v>0</v>
      </c>
      <c r="L22" s="105">
        <v>0</v>
      </c>
      <c r="M22" s="105">
        <v>0</v>
      </c>
      <c r="N22" s="105">
        <f>SUM('7a-IncomeStatementYear1'!L59:N59)</f>
        <v>0</v>
      </c>
      <c r="O22" s="74">
        <f t="shared" si="2"/>
        <v>0</v>
      </c>
      <c r="Q22" s="71"/>
    </row>
    <row r="23" spans="1:17" x14ac:dyDescent="0.35">
      <c r="A23" s="71"/>
      <c r="B23" s="220" t="s">
        <v>25</v>
      </c>
      <c r="C23" s="105"/>
      <c r="D23" s="222"/>
      <c r="E23" s="222"/>
      <c r="F23" s="222"/>
      <c r="G23" s="222"/>
      <c r="H23" s="222"/>
      <c r="I23" s="222"/>
      <c r="J23" s="222"/>
      <c r="K23" s="222"/>
      <c r="L23" s="222"/>
      <c r="M23" s="222"/>
      <c r="N23" s="222"/>
      <c r="O23" s="74"/>
      <c r="Q23" s="71"/>
    </row>
    <row r="24" spans="1:17" x14ac:dyDescent="0.35">
      <c r="A24" s="71"/>
      <c r="B24" s="223" t="s">
        <v>26</v>
      </c>
      <c r="C24" s="222">
        <f>SUM('Amortization&amp;Depreciation'!C15:C16)+SUM('Amortization&amp;Depreciation'!C35:C36)+SUM('Amortization&amp;Depreciation'!C55:C56)+SUM('Amortization&amp;Depreciation'!C75:C76)+SUM('Amortization&amp;Depreciation'!C95:C96)</f>
        <v>0</v>
      </c>
      <c r="D24" s="222">
        <f>SUM('Amortization&amp;Depreciation'!D15:D16)+SUM('Amortization&amp;Depreciation'!D35:D36)+SUM('Amortization&amp;Depreciation'!D55:D56)+SUM('Amortization&amp;Depreciation'!D75:D76)+SUM('Amortization&amp;Depreciation'!D95:D96)</f>
        <v>0</v>
      </c>
      <c r="E24" s="222">
        <f>SUM('Amortization&amp;Depreciation'!E15:E16)+SUM('Amortization&amp;Depreciation'!E35:E36)+SUM('Amortization&amp;Depreciation'!E55:E56)+SUM('Amortization&amp;Depreciation'!E75:E76)+SUM('Amortization&amp;Depreciation'!E95:E96)</f>
        <v>0</v>
      </c>
      <c r="F24" s="222">
        <f>SUM('Amortization&amp;Depreciation'!F15:F16)+SUM('Amortization&amp;Depreciation'!F35:F36)+SUM('Amortization&amp;Depreciation'!F55:F56)+SUM('Amortization&amp;Depreciation'!F75:F76)+SUM('Amortization&amp;Depreciation'!F95:F96)</f>
        <v>0</v>
      </c>
      <c r="G24" s="222">
        <f>SUM('Amortization&amp;Depreciation'!G15:G16)+SUM('Amortization&amp;Depreciation'!G35:G36)+SUM('Amortization&amp;Depreciation'!G55:G56)+SUM('Amortization&amp;Depreciation'!G75:G76)+SUM('Amortization&amp;Depreciation'!G95:G96)</f>
        <v>0</v>
      </c>
      <c r="H24" s="222">
        <f>SUM('Amortization&amp;Depreciation'!H15:H16)+SUM('Amortization&amp;Depreciation'!H35:H36)+SUM('Amortization&amp;Depreciation'!H55:H56)+SUM('Amortization&amp;Depreciation'!H75:H76)+SUM('Amortization&amp;Depreciation'!H95:H96)</f>
        <v>0</v>
      </c>
      <c r="I24" s="222">
        <f>SUM('Amortization&amp;Depreciation'!I15:I16)+SUM('Amortization&amp;Depreciation'!I35:I36)+SUM('Amortization&amp;Depreciation'!I55:I56)+SUM('Amortization&amp;Depreciation'!I75:I76)+SUM('Amortization&amp;Depreciation'!I95:I96)</f>
        <v>0</v>
      </c>
      <c r="J24" s="222">
        <f>SUM('Amortization&amp;Depreciation'!J15:J16)+SUM('Amortization&amp;Depreciation'!J35:J36)+SUM('Amortization&amp;Depreciation'!J55:J56)+SUM('Amortization&amp;Depreciation'!J75:J76)+SUM('Amortization&amp;Depreciation'!J95:J96)</f>
        <v>0</v>
      </c>
      <c r="K24" s="222">
        <f>SUM('Amortization&amp;Depreciation'!K15:K16)+SUM('Amortization&amp;Depreciation'!K35:K36)+SUM('Amortization&amp;Depreciation'!K55:K56)+SUM('Amortization&amp;Depreciation'!K75:K76)+SUM('Amortization&amp;Depreciation'!K95:K96)</f>
        <v>0</v>
      </c>
      <c r="L24" s="222">
        <f>SUM('Amortization&amp;Depreciation'!L15:L16)+SUM('Amortization&amp;Depreciation'!L35:L36)+SUM('Amortization&amp;Depreciation'!L55:L56)+SUM('Amortization&amp;Depreciation'!L75:L76)+SUM('Amortization&amp;Depreciation'!L95:L96)</f>
        <v>0</v>
      </c>
      <c r="M24" s="222">
        <f>SUM('Amortization&amp;Depreciation'!M15:M16)+SUM('Amortization&amp;Depreciation'!M35:M36)+SUM('Amortization&amp;Depreciation'!M55:M56)+SUM('Amortization&amp;Depreciation'!M75:M76)+SUM('Amortization&amp;Depreciation'!M95:M96)</f>
        <v>0</v>
      </c>
      <c r="N24" s="222">
        <f>SUM('Amortization&amp;Depreciation'!N15:N16)+SUM('Amortization&amp;Depreciation'!N35:N36)+SUM('Amortization&amp;Depreciation'!N55:N56)+SUM('Amortization&amp;Depreciation'!N75:N76)+SUM('Amortization&amp;Depreciation'!N95:N96)</f>
        <v>0</v>
      </c>
      <c r="O24" s="74">
        <f t="shared" ref="O24:O32" si="3">SUM(C24:N24)</f>
        <v>0</v>
      </c>
      <c r="Q24" s="71"/>
    </row>
    <row r="25" spans="1:17" x14ac:dyDescent="0.35">
      <c r="A25" s="71"/>
      <c r="B25" s="223" t="s">
        <v>30</v>
      </c>
      <c r="C25" s="183"/>
      <c r="D25" s="183"/>
      <c r="E25" s="183"/>
      <c r="F25" s="183"/>
      <c r="G25" s="183"/>
      <c r="H25" s="183"/>
      <c r="I25" s="183"/>
      <c r="J25" s="183"/>
      <c r="K25" s="183"/>
      <c r="L25" s="183"/>
      <c r="M25" s="183"/>
      <c r="N25" s="183"/>
      <c r="O25" s="74">
        <f t="shared" si="3"/>
        <v>0</v>
      </c>
      <c r="Q25" s="71"/>
    </row>
    <row r="26" spans="1:17" x14ac:dyDescent="0.35">
      <c r="A26" s="71"/>
      <c r="B26" s="223" t="s">
        <v>202</v>
      </c>
      <c r="C26" s="105"/>
      <c r="D26" s="105">
        <f>C34*'4-AdditionalInputs'!$D$25/12</f>
        <v>0</v>
      </c>
      <c r="E26" s="105">
        <f>D34*'4-AdditionalInputs'!$D$25/12</f>
        <v>0</v>
      </c>
      <c r="F26" s="105">
        <f>E34*'4-AdditionalInputs'!$D$25/12</f>
        <v>0</v>
      </c>
      <c r="G26" s="105">
        <f>F34*'4-AdditionalInputs'!$D$25/12</f>
        <v>0</v>
      </c>
      <c r="H26" s="105">
        <f>G34*'4-AdditionalInputs'!$D$25/12</f>
        <v>0</v>
      </c>
      <c r="I26" s="105">
        <f>H34*'4-AdditionalInputs'!$D$25/12</f>
        <v>0</v>
      </c>
      <c r="J26" s="105">
        <f>I34*'4-AdditionalInputs'!$D$25/12</f>
        <v>0</v>
      </c>
      <c r="K26" s="105">
        <f>J34*'4-AdditionalInputs'!$D$25/12</f>
        <v>0</v>
      </c>
      <c r="L26" s="105">
        <f>K34*'4-AdditionalInputs'!$D$25/12</f>
        <v>0</v>
      </c>
      <c r="M26" s="105">
        <f>L34*'4-AdditionalInputs'!$D$25/12</f>
        <v>0</v>
      </c>
      <c r="N26" s="105">
        <f>M34*'4-AdditionalInputs'!$D$25/12</f>
        <v>0</v>
      </c>
      <c r="O26" s="74">
        <f t="shared" si="3"/>
        <v>0</v>
      </c>
      <c r="Q26" s="71"/>
    </row>
    <row r="27" spans="1:17" x14ac:dyDescent="0.35">
      <c r="A27" s="71"/>
      <c r="B27" s="223" t="s">
        <v>203</v>
      </c>
      <c r="C27" s="183"/>
      <c r="D27" s="183"/>
      <c r="E27" s="183"/>
      <c r="F27" s="183"/>
      <c r="G27" s="183"/>
      <c r="H27" s="183"/>
      <c r="I27" s="183"/>
      <c r="J27" s="183"/>
      <c r="K27" s="183"/>
      <c r="L27" s="183"/>
      <c r="M27" s="183"/>
      <c r="N27" s="183"/>
      <c r="O27" s="74">
        <f t="shared" si="3"/>
        <v>0</v>
      </c>
      <c r="Q27" s="71"/>
    </row>
    <row r="28" spans="1:17" x14ac:dyDescent="0.35">
      <c r="A28" s="71"/>
      <c r="B28" s="223" t="s">
        <v>267</v>
      </c>
      <c r="C28" s="183"/>
      <c r="D28" s="183"/>
      <c r="E28" s="183"/>
      <c r="F28" s="183"/>
      <c r="G28" s="183"/>
      <c r="H28" s="183"/>
      <c r="I28" s="183"/>
      <c r="J28" s="183"/>
      <c r="K28" s="183"/>
      <c r="L28" s="183"/>
      <c r="M28" s="183"/>
      <c r="N28" s="183"/>
      <c r="O28" s="74">
        <f t="shared" si="3"/>
        <v>0</v>
      </c>
      <c r="Q28" s="71"/>
    </row>
    <row r="29" spans="1:17" x14ac:dyDescent="0.35">
      <c r="A29" s="71"/>
      <c r="B29" s="224" t="s">
        <v>27</v>
      </c>
      <c r="C29" s="225">
        <f>SUM(C16:C28)</f>
        <v>0</v>
      </c>
      <c r="D29" s="225">
        <f t="shared" ref="D29:N29" si="4">SUM(D16:D28)</f>
        <v>0</v>
      </c>
      <c r="E29" s="225">
        <f t="shared" si="4"/>
        <v>0</v>
      </c>
      <c r="F29" s="225">
        <f t="shared" si="4"/>
        <v>0</v>
      </c>
      <c r="G29" s="225">
        <f t="shared" si="4"/>
        <v>0</v>
      </c>
      <c r="H29" s="225">
        <f t="shared" si="4"/>
        <v>0</v>
      </c>
      <c r="I29" s="225">
        <f t="shared" si="4"/>
        <v>0</v>
      </c>
      <c r="J29" s="225">
        <f t="shared" si="4"/>
        <v>0</v>
      </c>
      <c r="K29" s="225">
        <f t="shared" si="4"/>
        <v>0</v>
      </c>
      <c r="L29" s="225">
        <f t="shared" si="4"/>
        <v>0</v>
      </c>
      <c r="M29" s="225">
        <f t="shared" si="4"/>
        <v>0</v>
      </c>
      <c r="N29" s="225">
        <f t="shared" si="4"/>
        <v>0</v>
      </c>
      <c r="O29" s="74">
        <f t="shared" si="3"/>
        <v>0</v>
      </c>
      <c r="Q29" s="71"/>
    </row>
    <row r="30" spans="1:17" x14ac:dyDescent="0.35">
      <c r="A30" s="71"/>
      <c r="B30" s="66" t="s">
        <v>125</v>
      </c>
      <c r="C30" s="108">
        <f t="shared" ref="C30:N30" si="5">C12-C29</f>
        <v>0</v>
      </c>
      <c r="D30" s="74">
        <f t="shared" si="5"/>
        <v>0</v>
      </c>
      <c r="E30" s="74">
        <f t="shared" si="5"/>
        <v>0</v>
      </c>
      <c r="F30" s="74">
        <f t="shared" si="5"/>
        <v>0</v>
      </c>
      <c r="G30" s="74">
        <f t="shared" si="5"/>
        <v>0</v>
      </c>
      <c r="H30" s="74">
        <f t="shared" si="5"/>
        <v>0</v>
      </c>
      <c r="I30" s="74">
        <f t="shared" si="5"/>
        <v>0</v>
      </c>
      <c r="J30" s="74">
        <f t="shared" si="5"/>
        <v>0</v>
      </c>
      <c r="K30" s="74">
        <f t="shared" si="5"/>
        <v>0</v>
      </c>
      <c r="L30" s="74">
        <f t="shared" si="5"/>
        <v>0</v>
      </c>
      <c r="M30" s="74">
        <f t="shared" si="5"/>
        <v>0</v>
      </c>
      <c r="N30" s="74">
        <f t="shared" si="5"/>
        <v>0</v>
      </c>
      <c r="O30" s="74">
        <f t="shared" si="3"/>
        <v>0</v>
      </c>
      <c r="Q30" s="71"/>
    </row>
    <row r="31" spans="1:17" x14ac:dyDescent="0.35">
      <c r="A31" s="71"/>
      <c r="B31" s="66" t="s">
        <v>231</v>
      </c>
      <c r="C31" s="108">
        <f>C8+C30</f>
        <v>0</v>
      </c>
      <c r="D31" s="108">
        <f t="shared" ref="D31:N31" si="6">D8+D30</f>
        <v>0</v>
      </c>
      <c r="E31" s="108">
        <f t="shared" si="6"/>
        <v>0</v>
      </c>
      <c r="F31" s="108">
        <f t="shared" si="6"/>
        <v>0</v>
      </c>
      <c r="G31" s="108">
        <f t="shared" si="6"/>
        <v>0</v>
      </c>
      <c r="H31" s="108">
        <f t="shared" si="6"/>
        <v>0</v>
      </c>
      <c r="I31" s="108">
        <f t="shared" si="6"/>
        <v>0</v>
      </c>
      <c r="J31" s="108">
        <f t="shared" si="6"/>
        <v>0</v>
      </c>
      <c r="K31" s="108">
        <f t="shared" si="6"/>
        <v>0</v>
      </c>
      <c r="L31" s="108">
        <f t="shared" si="6"/>
        <v>0</v>
      </c>
      <c r="M31" s="108">
        <f t="shared" si="6"/>
        <v>0</v>
      </c>
      <c r="N31" s="108">
        <f t="shared" si="6"/>
        <v>0</v>
      </c>
      <c r="O31" s="74"/>
      <c r="Q31" s="71"/>
    </row>
    <row r="32" spans="1:17" x14ac:dyDescent="0.35">
      <c r="A32" s="71"/>
      <c r="B32" s="66" t="s">
        <v>176</v>
      </c>
      <c r="C32" s="108">
        <f>IF(C31&lt;'4-AdditionalInputs'!$D$24, '4-AdditionalInputs'!$D$24-C31, 0)</f>
        <v>0</v>
      </c>
      <c r="D32" s="108">
        <f>IF(D31&lt;'4-AdditionalInputs'!$D$24, '4-AdditionalInputs'!$D$24-D31, 0)</f>
        <v>0</v>
      </c>
      <c r="E32" s="108">
        <f>IF(E31&lt;'4-AdditionalInputs'!$D$24, '4-AdditionalInputs'!$D$24-E31, 0)</f>
        <v>0</v>
      </c>
      <c r="F32" s="108">
        <f>IF(F31&lt;'4-AdditionalInputs'!$D$24, '4-AdditionalInputs'!$D$24-F31, 0)</f>
        <v>0</v>
      </c>
      <c r="G32" s="108">
        <f>IF(G31&lt;'4-AdditionalInputs'!$D$24, '4-AdditionalInputs'!$D$24-G31, 0)</f>
        <v>0</v>
      </c>
      <c r="H32" s="108">
        <f>IF(H31&lt;'4-AdditionalInputs'!$D$24, '4-AdditionalInputs'!$D$24-H31, 0)</f>
        <v>0</v>
      </c>
      <c r="I32" s="108">
        <f>IF(I31&lt;'4-AdditionalInputs'!$D$24, '4-AdditionalInputs'!$D$24-I31, 0)</f>
        <v>0</v>
      </c>
      <c r="J32" s="108">
        <f>IF(J31&lt;'4-AdditionalInputs'!$D$24, '4-AdditionalInputs'!$D$24-J31, 0)</f>
        <v>0</v>
      </c>
      <c r="K32" s="108">
        <f>IF(K31&lt;'4-AdditionalInputs'!$D$24, '4-AdditionalInputs'!$D$24-K31, 0)</f>
        <v>0</v>
      </c>
      <c r="L32" s="108">
        <f>IF(L31&lt;'4-AdditionalInputs'!$D$24, '4-AdditionalInputs'!$D$24-L31, 0)</f>
        <v>0</v>
      </c>
      <c r="M32" s="108">
        <f>IF(M31&lt;'4-AdditionalInputs'!$D$24, '4-AdditionalInputs'!$D$24-M31, 0)</f>
        <v>0</v>
      </c>
      <c r="N32" s="108">
        <f>IF(N31&lt;'4-AdditionalInputs'!$D$24, '4-AdditionalInputs'!$D$24-N31, 0)</f>
        <v>0</v>
      </c>
      <c r="O32" s="74">
        <f t="shared" si="3"/>
        <v>0</v>
      </c>
      <c r="Q32" s="71"/>
    </row>
    <row r="33" spans="1:17" x14ac:dyDescent="0.35">
      <c r="A33" s="71"/>
      <c r="B33" s="66" t="s">
        <v>28</v>
      </c>
      <c r="C33" s="108">
        <f>SUM(C31+C32)</f>
        <v>0</v>
      </c>
      <c r="D33" s="108">
        <f t="shared" ref="D33:N33" si="7">SUM(D31+D32)</f>
        <v>0</v>
      </c>
      <c r="E33" s="108">
        <f t="shared" si="7"/>
        <v>0</v>
      </c>
      <c r="F33" s="108">
        <f t="shared" si="7"/>
        <v>0</v>
      </c>
      <c r="G33" s="108">
        <f t="shared" si="7"/>
        <v>0</v>
      </c>
      <c r="H33" s="108">
        <f t="shared" si="7"/>
        <v>0</v>
      </c>
      <c r="I33" s="108">
        <f t="shared" si="7"/>
        <v>0</v>
      </c>
      <c r="J33" s="108">
        <f t="shared" si="7"/>
        <v>0</v>
      </c>
      <c r="K33" s="108">
        <f t="shared" si="7"/>
        <v>0</v>
      </c>
      <c r="L33" s="108">
        <f t="shared" si="7"/>
        <v>0</v>
      </c>
      <c r="M33" s="108">
        <f t="shared" si="7"/>
        <v>0</v>
      </c>
      <c r="N33" s="108">
        <f t="shared" si="7"/>
        <v>0</v>
      </c>
      <c r="O33" s="74"/>
      <c r="Q33" s="71"/>
    </row>
    <row r="34" spans="1:17" x14ac:dyDescent="0.35">
      <c r="A34" s="71"/>
      <c r="B34" s="47" t="s">
        <v>201</v>
      </c>
      <c r="C34" s="48">
        <f>C32-C27</f>
        <v>0</v>
      </c>
      <c r="D34" s="48">
        <f>D32+C34-D27</f>
        <v>0</v>
      </c>
      <c r="E34" s="48">
        <f t="shared" ref="E34:N34" si="8">E32+D34-E27</f>
        <v>0</v>
      </c>
      <c r="F34" s="48">
        <f t="shared" si="8"/>
        <v>0</v>
      </c>
      <c r="G34" s="48">
        <f t="shared" si="8"/>
        <v>0</v>
      </c>
      <c r="H34" s="48">
        <f t="shared" si="8"/>
        <v>0</v>
      </c>
      <c r="I34" s="48">
        <f>I32+H34-I27</f>
        <v>0</v>
      </c>
      <c r="J34" s="48">
        <f t="shared" si="8"/>
        <v>0</v>
      </c>
      <c r="K34" s="48">
        <f t="shared" si="8"/>
        <v>0</v>
      </c>
      <c r="L34" s="48">
        <f t="shared" si="8"/>
        <v>0</v>
      </c>
      <c r="M34" s="48">
        <f t="shared" si="8"/>
        <v>0</v>
      </c>
      <c r="N34" s="48">
        <f t="shared" si="8"/>
        <v>0</v>
      </c>
      <c r="O34" s="74"/>
      <c r="Q34" s="71"/>
    </row>
  </sheetData>
  <sheetProtection password="CC3D" sheet="1" objects="1" scenarios="1" formatColumns="0" formatRows="0"/>
  <mergeCells count="1">
    <mergeCell ref="B2:C2"/>
  </mergeCells>
  <phoneticPr fontId="3" type="noConversion"/>
  <conditionalFormatting sqref="C25:N25 C27:N28">
    <cfRule type="containsBlanks" dxfId="49" priority="27" stopIfTrue="1">
      <formula>LEN(TRIM(C25))=0</formula>
    </cfRule>
  </conditionalFormatting>
  <conditionalFormatting sqref="C29:O29">
    <cfRule type="expression" dxfId="48" priority="13" stopIfTrue="1">
      <formula>ISERROR(C29)</formula>
    </cfRule>
  </conditionalFormatting>
  <conditionalFormatting sqref="C30:N31 D8:N8 D31:N32 C24:O24">
    <cfRule type="expression" dxfId="47" priority="12" stopIfTrue="1">
      <formula>ISERROR(C8)</formula>
    </cfRule>
  </conditionalFormatting>
  <conditionalFormatting sqref="C33:N33">
    <cfRule type="expression" dxfId="46" priority="10" stopIfTrue="1">
      <formula>ISERROR(C33)</formula>
    </cfRule>
  </conditionalFormatting>
  <conditionalFormatting sqref="O30:O34">
    <cfRule type="expression" dxfId="45" priority="8" stopIfTrue="1">
      <formula>ISERROR(O30)</formula>
    </cfRule>
  </conditionalFormatting>
  <conditionalFormatting sqref="C32:N32">
    <cfRule type="containsBlanks" dxfId="44" priority="4">
      <formula>LEN(TRIM(C32))=0</formula>
    </cfRule>
  </conditionalFormatting>
  <conditionalFormatting sqref="C17:N17">
    <cfRule type="containsBlanks" dxfId="43" priority="26" stopIfTrue="1">
      <formula>LEN(TRIM(C17))=0</formula>
    </cfRule>
  </conditionalFormatting>
  <pageMargins left="0.25" right="0.25" top="0.75" bottom="0.75" header="0.3" footer="0.3"/>
  <pageSetup scale="85" orientation="landscape" r:id="rId1"/>
  <headerFooter scaleWithDoc="0">
    <oddHeader>&amp;C&amp;"Gill Sans MT,Regular"&amp;12Cash Flow Forecast Year 1</oddHeader>
    <oddFooter>&amp;L&amp;"Gill Sans MT,Regular"&amp;12&amp;F&amp;C&amp;"Gill Sans MT,Regular"&amp;12&amp;A&amp;R&amp;"Gill Sans MT,Regular"&amp;12&amp;D &amp;T</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C95B"/>
    <pageSetUpPr autoPageBreaks="0"/>
  </sheetPr>
  <dimension ref="A1:AB33"/>
  <sheetViews>
    <sheetView zoomScaleNormal="100" zoomScalePageLayoutView="80" workbookViewId="0">
      <selection activeCell="C16" sqref="C16"/>
    </sheetView>
  </sheetViews>
  <sheetFormatPr defaultColWidth="8.88671875" defaultRowHeight="13.8" x14ac:dyDescent="0.35"/>
  <cols>
    <col min="1" max="1" width="29.33203125" style="63" customWidth="1"/>
    <col min="2" max="2" width="13.88671875" style="63" customWidth="1"/>
    <col min="3" max="10" width="9.6640625" style="71" customWidth="1"/>
    <col min="11" max="11" width="10.44140625" style="71" customWidth="1"/>
    <col min="12" max="14" width="9.6640625" style="71" customWidth="1"/>
    <col min="15" max="15" width="12.44140625" style="71" bestFit="1" customWidth="1"/>
    <col min="16" max="16" width="9.6640625" style="71" customWidth="1"/>
    <col min="17" max="17" width="9.6640625" style="63" customWidth="1"/>
    <col min="18" max="27" width="9.6640625" style="71" customWidth="1"/>
    <col min="28" max="28" width="15.88671875" style="71" bestFit="1" customWidth="1"/>
    <col min="29" max="29" width="8.88671875" style="71" customWidth="1"/>
    <col min="30" max="16384" width="8.88671875" style="71"/>
  </cols>
  <sheetData>
    <row r="1" spans="1:28" x14ac:dyDescent="0.35">
      <c r="B1" s="228" t="s">
        <v>340</v>
      </c>
      <c r="C1" s="217"/>
      <c r="E1" s="217"/>
      <c r="F1" s="217"/>
      <c r="G1" s="217"/>
      <c r="H1" s="217"/>
      <c r="I1" s="63"/>
      <c r="J1" s="63"/>
      <c r="N1" s="63"/>
      <c r="O1" s="63"/>
      <c r="P1" s="218"/>
      <c r="Q1" s="218"/>
      <c r="R1" s="63"/>
      <c r="S1" s="63"/>
    </row>
    <row r="2" spans="1:28" x14ac:dyDescent="0.35">
      <c r="C2" s="63"/>
      <c r="E2" s="63"/>
      <c r="F2" s="63"/>
      <c r="G2" s="63"/>
      <c r="H2" s="190"/>
      <c r="I2" s="63"/>
      <c r="J2" s="63"/>
      <c r="N2" s="63"/>
      <c r="O2" s="63"/>
      <c r="P2" s="63"/>
      <c r="R2" s="63"/>
      <c r="S2" s="63"/>
    </row>
    <row r="3" spans="1:28" ht="19.5" customHeight="1" x14ac:dyDescent="0.35">
      <c r="B3" s="219" t="s">
        <v>130</v>
      </c>
      <c r="C3" s="219" t="s">
        <v>131</v>
      </c>
      <c r="E3" s="63"/>
      <c r="F3" s="63"/>
      <c r="G3" s="63"/>
      <c r="H3" s="190"/>
      <c r="I3" s="63"/>
      <c r="J3" s="63"/>
      <c r="N3" s="63"/>
      <c r="O3" s="63"/>
      <c r="P3" s="63"/>
      <c r="R3" s="63"/>
      <c r="S3" s="63"/>
    </row>
    <row r="4" spans="1:28" ht="19.5" customHeight="1" x14ac:dyDescent="0.35">
      <c r="B4" s="63" t="str">
        <f>IF(ISBLANK(Directions!C6), "Owner", Directions!C6)</f>
        <v>Thomas Francis</v>
      </c>
      <c r="C4" s="63" t="str">
        <f>IF(ISBLANK(Directions!D6), "Company 1", Directions!D6)</f>
        <v>Project "Dogen"</v>
      </c>
      <c r="E4" s="63"/>
      <c r="F4" s="63"/>
      <c r="G4" s="63"/>
      <c r="H4" s="190"/>
      <c r="I4" s="63"/>
      <c r="J4" s="63"/>
      <c r="N4" s="63"/>
      <c r="O4" s="63"/>
      <c r="P4" s="63"/>
      <c r="R4" s="63"/>
      <c r="S4" s="63"/>
    </row>
    <row r="6" spans="1:28" ht="14.4" thickBot="1" x14ac:dyDescent="0.4">
      <c r="A6" s="413"/>
      <c r="B6" s="413" t="s">
        <v>208</v>
      </c>
      <c r="C6" s="413" t="str">
        <f>'3a-SalesForecastYear1'!C16</f>
        <v>June</v>
      </c>
      <c r="D6" s="413" t="str">
        <f>'3a-SalesForecastYear1'!D16</f>
        <v>July</v>
      </c>
      <c r="E6" s="413" t="str">
        <f>'3a-SalesForecastYear1'!E16</f>
        <v>August</v>
      </c>
      <c r="F6" s="413" t="str">
        <f>'3a-SalesForecastYear1'!F16</f>
        <v>September</v>
      </c>
      <c r="G6" s="413" t="str">
        <f>'3a-SalesForecastYear1'!G16</f>
        <v>October</v>
      </c>
      <c r="H6" s="413" t="str">
        <f>'3a-SalesForecastYear1'!H16</f>
        <v>November</v>
      </c>
      <c r="I6" s="413" t="str">
        <f>'3a-SalesForecastYear1'!I16</f>
        <v>December</v>
      </c>
      <c r="J6" s="413" t="str">
        <f>'3a-SalesForecastYear1'!J16</f>
        <v>January</v>
      </c>
      <c r="K6" s="413" t="str">
        <f>'3a-SalesForecastYear1'!K16</f>
        <v>February</v>
      </c>
      <c r="L6" s="413" t="str">
        <f>'3a-SalesForecastYear1'!L16</f>
        <v>March</v>
      </c>
      <c r="M6" s="413" t="str">
        <f>'3a-SalesForecastYear1'!M16</f>
        <v>April</v>
      </c>
      <c r="N6" s="413" t="str">
        <f>'3a-SalesForecastYear1'!N16</f>
        <v>May</v>
      </c>
      <c r="O6" s="413" t="s">
        <v>209</v>
      </c>
      <c r="P6" s="413" t="str">
        <f>C6</f>
        <v>June</v>
      </c>
      <c r="Q6" s="413" t="str">
        <f t="shared" ref="Q6:AA6" si="0">D6</f>
        <v>July</v>
      </c>
      <c r="R6" s="413" t="str">
        <f t="shared" si="0"/>
        <v>August</v>
      </c>
      <c r="S6" s="413" t="str">
        <f t="shared" si="0"/>
        <v>September</v>
      </c>
      <c r="T6" s="413" t="str">
        <f t="shared" si="0"/>
        <v>October</v>
      </c>
      <c r="U6" s="413" t="str">
        <f t="shared" si="0"/>
        <v>November</v>
      </c>
      <c r="V6" s="413" t="str">
        <f t="shared" si="0"/>
        <v>December</v>
      </c>
      <c r="W6" s="413" t="str">
        <f t="shared" si="0"/>
        <v>January</v>
      </c>
      <c r="X6" s="413" t="str">
        <f t="shared" si="0"/>
        <v>February</v>
      </c>
      <c r="Y6" s="413" t="str">
        <f t="shared" si="0"/>
        <v>March</v>
      </c>
      <c r="Z6" s="413" t="str">
        <f t="shared" si="0"/>
        <v>April</v>
      </c>
      <c r="AA6" s="413" t="str">
        <f t="shared" si="0"/>
        <v>May</v>
      </c>
      <c r="AB6" s="413" t="s">
        <v>210</v>
      </c>
    </row>
    <row r="7" spans="1:28" ht="14.4" thickTop="1" x14ac:dyDescent="0.35">
      <c r="A7" s="418" t="s">
        <v>84</v>
      </c>
      <c r="B7" s="418"/>
      <c r="C7" s="368">
        <f>Y1EndingCashBal</f>
        <v>0</v>
      </c>
      <c r="D7" s="419">
        <f t="shared" ref="D7:N7" si="1">C32</f>
        <v>0</v>
      </c>
      <c r="E7" s="419">
        <f>D32</f>
        <v>0</v>
      </c>
      <c r="F7" s="419">
        <f t="shared" si="1"/>
        <v>0</v>
      </c>
      <c r="G7" s="419">
        <f t="shared" si="1"/>
        <v>0</v>
      </c>
      <c r="H7" s="419">
        <f t="shared" si="1"/>
        <v>0</v>
      </c>
      <c r="I7" s="419">
        <f t="shared" si="1"/>
        <v>0</v>
      </c>
      <c r="J7" s="419">
        <f t="shared" si="1"/>
        <v>0</v>
      </c>
      <c r="K7" s="419">
        <f t="shared" si="1"/>
        <v>0</v>
      </c>
      <c r="L7" s="419">
        <f t="shared" si="1"/>
        <v>0</v>
      </c>
      <c r="M7" s="419">
        <f t="shared" si="1"/>
        <v>0</v>
      </c>
      <c r="N7" s="419">
        <f t="shared" si="1"/>
        <v>0</v>
      </c>
      <c r="O7" s="421"/>
      <c r="P7" s="368">
        <f>N32</f>
        <v>0</v>
      </c>
      <c r="Q7" s="419">
        <f>P32</f>
        <v>0</v>
      </c>
      <c r="R7" s="419">
        <f t="shared" ref="R7:AA7" si="2">Q32</f>
        <v>0</v>
      </c>
      <c r="S7" s="419">
        <f t="shared" si="2"/>
        <v>0</v>
      </c>
      <c r="T7" s="419">
        <f t="shared" si="2"/>
        <v>0</v>
      </c>
      <c r="U7" s="419">
        <f t="shared" si="2"/>
        <v>0</v>
      </c>
      <c r="V7" s="419">
        <f t="shared" si="2"/>
        <v>0</v>
      </c>
      <c r="W7" s="419">
        <f t="shared" si="2"/>
        <v>0</v>
      </c>
      <c r="X7" s="419">
        <f t="shared" si="2"/>
        <v>0</v>
      </c>
      <c r="Y7" s="419">
        <f t="shared" si="2"/>
        <v>0</v>
      </c>
      <c r="Z7" s="419">
        <f t="shared" si="2"/>
        <v>0</v>
      </c>
      <c r="AA7" s="419">
        <f t="shared" si="2"/>
        <v>0</v>
      </c>
      <c r="AB7" s="421"/>
    </row>
    <row r="8" spans="1:28" x14ac:dyDescent="0.35">
      <c r="A8" s="66" t="s">
        <v>21</v>
      </c>
      <c r="B8" s="66"/>
      <c r="C8" s="68"/>
      <c r="D8" s="68"/>
      <c r="E8" s="68"/>
      <c r="F8" s="68"/>
      <c r="G8" s="68"/>
      <c r="H8" s="68"/>
      <c r="I8" s="68"/>
      <c r="J8" s="68"/>
      <c r="K8" s="68"/>
      <c r="L8" s="68"/>
      <c r="M8" s="68"/>
      <c r="N8" s="68"/>
      <c r="O8" s="33"/>
      <c r="P8" s="68"/>
      <c r="Q8" s="68"/>
      <c r="R8" s="68"/>
      <c r="S8" s="68"/>
      <c r="T8" s="68"/>
      <c r="U8" s="68"/>
      <c r="V8" s="68"/>
      <c r="W8" s="68"/>
      <c r="X8" s="68"/>
      <c r="Y8" s="68"/>
      <c r="Z8" s="68"/>
      <c r="AA8" s="68"/>
      <c r="AB8" s="33"/>
    </row>
    <row r="9" spans="1:28" x14ac:dyDescent="0.35">
      <c r="A9" s="220" t="s">
        <v>124</v>
      </c>
      <c r="B9" s="229">
        <f>'6a-CashFlowYear1'!O10</f>
        <v>0</v>
      </c>
      <c r="C9" s="105">
        <f>('3b-SalesForecastYrs1-3'!C47*'4-AdditionalInputs'!$D$9)</f>
        <v>0</v>
      </c>
      <c r="D9" s="105">
        <f>('3b-SalesForecastYrs1-3'!D47*'4-AdditionalInputs'!$D$9)</f>
        <v>0</v>
      </c>
      <c r="E9" s="105">
        <f>('3b-SalesForecastYrs1-3'!E47*'4-AdditionalInputs'!$D$9)</f>
        <v>0</v>
      </c>
      <c r="F9" s="105">
        <f>('3b-SalesForecastYrs1-3'!F47*'4-AdditionalInputs'!$D$9)</f>
        <v>0</v>
      </c>
      <c r="G9" s="105">
        <f>('3b-SalesForecastYrs1-3'!G47*'4-AdditionalInputs'!$D$9)</f>
        <v>0</v>
      </c>
      <c r="H9" s="105">
        <f>('3b-SalesForecastYrs1-3'!H47*'4-AdditionalInputs'!$D$9)</f>
        <v>0</v>
      </c>
      <c r="I9" s="105">
        <f>('3b-SalesForecastYrs1-3'!I47*'4-AdditionalInputs'!$D$9)</f>
        <v>0</v>
      </c>
      <c r="J9" s="105">
        <f>('3b-SalesForecastYrs1-3'!J47*'4-AdditionalInputs'!$D$9)</f>
        <v>0</v>
      </c>
      <c r="K9" s="105">
        <f>('3b-SalesForecastYrs1-3'!K47*'4-AdditionalInputs'!$D$9)</f>
        <v>0</v>
      </c>
      <c r="L9" s="105">
        <f>('3b-SalesForecastYrs1-3'!L47*'4-AdditionalInputs'!$D$9)</f>
        <v>0</v>
      </c>
      <c r="M9" s="105">
        <f>('3b-SalesForecastYrs1-3'!M47*'4-AdditionalInputs'!$D$9)</f>
        <v>0</v>
      </c>
      <c r="N9" s="105">
        <f>('3b-SalesForecastYrs1-3'!N47*'4-AdditionalInputs'!$D$9)</f>
        <v>0</v>
      </c>
      <c r="O9" s="227">
        <f>SUM(C9:N9)</f>
        <v>0</v>
      </c>
      <c r="P9" s="105">
        <f>('3b-SalesForecastYrs1-3'!R47*'4-AdditionalInputs'!$E$9)</f>
        <v>0</v>
      </c>
      <c r="Q9" s="105">
        <f>('3b-SalesForecastYrs1-3'!S47*'4-AdditionalInputs'!$E$9)</f>
        <v>0</v>
      </c>
      <c r="R9" s="105">
        <f>('3b-SalesForecastYrs1-3'!T47*'4-AdditionalInputs'!$E$9)</f>
        <v>0</v>
      </c>
      <c r="S9" s="105">
        <f>('3b-SalesForecastYrs1-3'!U47*'4-AdditionalInputs'!$E$9)</f>
        <v>0</v>
      </c>
      <c r="T9" s="105">
        <f>('3b-SalesForecastYrs1-3'!V47*'4-AdditionalInputs'!$E$9)</f>
        <v>0</v>
      </c>
      <c r="U9" s="105">
        <f>('3b-SalesForecastYrs1-3'!W47*'4-AdditionalInputs'!$E$9)</f>
        <v>0</v>
      </c>
      <c r="V9" s="105">
        <f>('3b-SalesForecastYrs1-3'!X47*'4-AdditionalInputs'!$E$9)</f>
        <v>0</v>
      </c>
      <c r="W9" s="105">
        <f>('3b-SalesForecastYrs1-3'!Y47*'4-AdditionalInputs'!$E$9)</f>
        <v>0</v>
      </c>
      <c r="X9" s="105">
        <f>('3b-SalesForecastYrs1-3'!Z47*'4-AdditionalInputs'!$E$9)</f>
        <v>0</v>
      </c>
      <c r="Y9" s="105">
        <f>('3b-SalesForecastYrs1-3'!AA47*'4-AdditionalInputs'!$E$9)</f>
        <v>0</v>
      </c>
      <c r="Z9" s="105">
        <f>('3b-SalesForecastYrs1-3'!AB47*'4-AdditionalInputs'!$E$9)</f>
        <v>0</v>
      </c>
      <c r="AA9" s="105">
        <f>('3b-SalesForecastYrs1-3'!AC47*'4-AdditionalInputs'!$E$9)</f>
        <v>0</v>
      </c>
      <c r="AB9" s="227">
        <f>SUM(P9:AA9)</f>
        <v>0</v>
      </c>
    </row>
    <row r="10" spans="1:28" x14ac:dyDescent="0.35">
      <c r="A10" s="220" t="s">
        <v>230</v>
      </c>
      <c r="B10" s="229">
        <f>'6a-CashFlowYear1'!O11</f>
        <v>0</v>
      </c>
      <c r="C10" s="105">
        <f>('3a-SalesForecastYear1'!M53*'4-AdditionalInputs'!D11)+('3a-SalesForecastYear1'!N53*'4-AdditionalInputs'!D10)</f>
        <v>0</v>
      </c>
      <c r="D10" s="105">
        <f>('3a-SalesForecastYear1'!N53*'4-AdditionalInputs'!$D$11)+('3b-SalesForecastYrs1-3'!C47*'4-AdditionalInputs'!$D$10)</f>
        <v>0</v>
      </c>
      <c r="E10" s="105">
        <f>('3b-SalesForecastYrs1-3'!C47*'4-AdditionalInputs'!$D$11)+('3b-SalesForecastYrs1-3'!D47*'4-AdditionalInputs'!$D$10)</f>
        <v>0</v>
      </c>
      <c r="F10" s="105">
        <f>('3b-SalesForecastYrs1-3'!D47*'4-AdditionalInputs'!$D$11)+('3b-SalesForecastYrs1-3'!E47*'4-AdditionalInputs'!$D$10)</f>
        <v>0</v>
      </c>
      <c r="G10" s="105">
        <f>('3b-SalesForecastYrs1-3'!E47*'4-AdditionalInputs'!$D$11)+('3b-SalesForecastYrs1-3'!F47*'4-AdditionalInputs'!$D$10)</f>
        <v>0</v>
      </c>
      <c r="H10" s="105">
        <f>('3b-SalesForecastYrs1-3'!F47*'4-AdditionalInputs'!$D$11)+('3b-SalesForecastYrs1-3'!G47*'4-AdditionalInputs'!$D$10)</f>
        <v>0</v>
      </c>
      <c r="I10" s="105">
        <f>('3b-SalesForecastYrs1-3'!G47*'4-AdditionalInputs'!$D$11)+('3b-SalesForecastYrs1-3'!H47*'4-AdditionalInputs'!$D$10)</f>
        <v>0</v>
      </c>
      <c r="J10" s="105">
        <f>('3b-SalesForecastYrs1-3'!H47*'4-AdditionalInputs'!$D$11)+('3b-SalesForecastYrs1-3'!I47*'4-AdditionalInputs'!$D$10)</f>
        <v>0</v>
      </c>
      <c r="K10" s="105">
        <f>('3b-SalesForecastYrs1-3'!I47*'4-AdditionalInputs'!$D$11)+('3b-SalesForecastYrs1-3'!J47*'4-AdditionalInputs'!$D$10)</f>
        <v>0</v>
      </c>
      <c r="L10" s="105">
        <f>('3b-SalesForecastYrs1-3'!J47*'4-AdditionalInputs'!$D$11)+('3b-SalesForecastYrs1-3'!K47*'4-AdditionalInputs'!$D$10)</f>
        <v>0</v>
      </c>
      <c r="M10" s="105">
        <f>('3b-SalesForecastYrs1-3'!K47*'4-AdditionalInputs'!$D$11)+('3b-SalesForecastYrs1-3'!L47*'4-AdditionalInputs'!$D$10)</f>
        <v>0</v>
      </c>
      <c r="N10" s="105">
        <f>('3b-SalesForecastYrs1-3'!L47*'4-AdditionalInputs'!$D$11)+('3b-SalesForecastYrs1-3'!M47*'4-AdditionalInputs'!$D$10)</f>
        <v>0</v>
      </c>
      <c r="O10" s="227">
        <f>SUM(C10:N10)</f>
        <v>0</v>
      </c>
      <c r="P10" s="105">
        <f>('3b-SalesForecastYrs1-3'!M47*'4-AdditionalInputs'!E11)+('3b-SalesForecastYrs1-3'!N47*'4-AdditionalInputs'!E10)</f>
        <v>0</v>
      </c>
      <c r="Q10" s="105">
        <f>('3b-SalesForecastYrs1-3'!N47*'4-AdditionalInputs'!E11)+('3b-SalesForecastYrs1-3'!R47*'4-AdditionalInputs'!E10)</f>
        <v>0</v>
      </c>
      <c r="R10" s="105">
        <f>('3b-SalesForecastYrs1-3'!R47*'4-AdditionalInputs'!$E$11)+('3b-SalesForecastYrs1-3'!S47*'4-AdditionalInputs'!$E$10)</f>
        <v>0</v>
      </c>
      <c r="S10" s="105">
        <f>('3b-SalesForecastYrs1-3'!S47*'4-AdditionalInputs'!$E$11)+('3b-SalesForecastYrs1-3'!T47*'4-AdditionalInputs'!$E$10)</f>
        <v>0</v>
      </c>
      <c r="T10" s="105">
        <f>('3b-SalesForecastYrs1-3'!T47*'4-AdditionalInputs'!$E$11)+('3b-SalesForecastYrs1-3'!U47*'4-AdditionalInputs'!$E$10)</f>
        <v>0</v>
      </c>
      <c r="U10" s="105">
        <f>('3b-SalesForecastYrs1-3'!U47*'4-AdditionalInputs'!$E$11)+('3b-SalesForecastYrs1-3'!V47*'4-AdditionalInputs'!$E$10)</f>
        <v>0</v>
      </c>
      <c r="V10" s="105">
        <f>('3b-SalesForecastYrs1-3'!V47*'4-AdditionalInputs'!$E$11)+('3b-SalesForecastYrs1-3'!W47*'4-AdditionalInputs'!$E$10)</f>
        <v>0</v>
      </c>
      <c r="W10" s="105">
        <f>('3b-SalesForecastYrs1-3'!W47*'4-AdditionalInputs'!$E$11)+('3b-SalesForecastYrs1-3'!X47*'4-AdditionalInputs'!$E$10)</f>
        <v>0</v>
      </c>
      <c r="X10" s="105">
        <f>('3b-SalesForecastYrs1-3'!X47*'4-AdditionalInputs'!$E$11)+('3b-SalesForecastYrs1-3'!Y47*'4-AdditionalInputs'!$E$10)</f>
        <v>0</v>
      </c>
      <c r="Y10" s="105">
        <f>('3b-SalesForecastYrs1-3'!Y47*'4-AdditionalInputs'!$E$11)+('3b-SalesForecastYrs1-3'!Z47*'4-AdditionalInputs'!$E$10)</f>
        <v>0</v>
      </c>
      <c r="Z10" s="105">
        <f>('3b-SalesForecastYrs1-3'!Z47*'4-AdditionalInputs'!$E$11)+('3b-SalesForecastYrs1-3'!AA47*'4-AdditionalInputs'!$E$10)</f>
        <v>0</v>
      </c>
      <c r="AA10" s="105">
        <f>('3b-SalesForecastYrs1-3'!AA47*'4-AdditionalInputs'!$E$11)+('3b-SalesForecastYrs1-3'!AB47*'4-AdditionalInputs'!$E$10)</f>
        <v>0</v>
      </c>
      <c r="AB10" s="227">
        <f>SUM(P10:AA10)</f>
        <v>0</v>
      </c>
    </row>
    <row r="11" spans="1:28" x14ac:dyDescent="0.35">
      <c r="A11" s="47" t="s">
        <v>22</v>
      </c>
      <c r="B11" s="229">
        <f>'6a-CashFlowYear1'!O12</f>
        <v>0</v>
      </c>
      <c r="C11" s="108">
        <f>SUM(C9:C10)</f>
        <v>0</v>
      </c>
      <c r="D11" s="108">
        <f t="shared" ref="D11:O11" si="3">SUM(D9:D10)</f>
        <v>0</v>
      </c>
      <c r="E11" s="108">
        <f t="shared" si="3"/>
        <v>0</v>
      </c>
      <c r="F11" s="108">
        <f t="shared" si="3"/>
        <v>0</v>
      </c>
      <c r="G11" s="108">
        <f t="shared" si="3"/>
        <v>0</v>
      </c>
      <c r="H11" s="108">
        <f t="shared" si="3"/>
        <v>0</v>
      </c>
      <c r="I11" s="108">
        <f t="shared" si="3"/>
        <v>0</v>
      </c>
      <c r="J11" s="108">
        <f t="shared" si="3"/>
        <v>0</v>
      </c>
      <c r="K11" s="108">
        <f t="shared" si="3"/>
        <v>0</v>
      </c>
      <c r="L11" s="108">
        <f t="shared" si="3"/>
        <v>0</v>
      </c>
      <c r="M11" s="108">
        <f t="shared" si="3"/>
        <v>0</v>
      </c>
      <c r="N11" s="108">
        <f t="shared" si="3"/>
        <v>0</v>
      </c>
      <c r="O11" s="227">
        <f t="shared" si="3"/>
        <v>0</v>
      </c>
      <c r="P11" s="105">
        <f>SUM(P9:P10)</f>
        <v>0</v>
      </c>
      <c r="Q11" s="105">
        <f t="shared" ref="Q11:AA11" si="4">SUM(Q9:Q10)</f>
        <v>0</v>
      </c>
      <c r="R11" s="105">
        <f t="shared" si="4"/>
        <v>0</v>
      </c>
      <c r="S11" s="105">
        <f t="shared" si="4"/>
        <v>0</v>
      </c>
      <c r="T11" s="105">
        <f t="shared" si="4"/>
        <v>0</v>
      </c>
      <c r="U11" s="105">
        <f t="shared" si="4"/>
        <v>0</v>
      </c>
      <c r="V11" s="105">
        <f t="shared" si="4"/>
        <v>0</v>
      </c>
      <c r="W11" s="105">
        <f t="shared" si="4"/>
        <v>0</v>
      </c>
      <c r="X11" s="105">
        <f t="shared" si="4"/>
        <v>0</v>
      </c>
      <c r="Y11" s="105">
        <f t="shared" si="4"/>
        <v>0</v>
      </c>
      <c r="Z11" s="105">
        <f t="shared" si="4"/>
        <v>0</v>
      </c>
      <c r="AA11" s="105">
        <f t="shared" si="4"/>
        <v>0</v>
      </c>
      <c r="AB11" s="227">
        <f>SUM(AB9:AB10)</f>
        <v>0</v>
      </c>
    </row>
    <row r="12" spans="1:28" x14ac:dyDescent="0.35">
      <c r="A12" s="47"/>
      <c r="B12" s="229"/>
      <c r="C12" s="105"/>
      <c r="D12" s="222"/>
      <c r="E12" s="222"/>
      <c r="F12" s="222"/>
      <c r="G12" s="222"/>
      <c r="H12" s="222"/>
      <c r="I12" s="222"/>
      <c r="J12" s="222"/>
      <c r="K12" s="222"/>
      <c r="L12" s="222"/>
      <c r="M12" s="222"/>
      <c r="N12" s="222"/>
      <c r="O12" s="227"/>
      <c r="P12" s="105"/>
      <c r="Q12" s="222"/>
      <c r="R12" s="222"/>
      <c r="S12" s="222"/>
      <c r="T12" s="222"/>
      <c r="U12" s="222"/>
      <c r="V12" s="222"/>
      <c r="W12" s="222"/>
      <c r="X12" s="222"/>
      <c r="Y12" s="222"/>
      <c r="Z12" s="222"/>
      <c r="AA12" s="222"/>
      <c r="AB12" s="227"/>
    </row>
    <row r="13" spans="1:28" x14ac:dyDescent="0.35">
      <c r="A13" s="66" t="s">
        <v>23</v>
      </c>
      <c r="B13" s="229"/>
      <c r="C13" s="105"/>
      <c r="D13" s="222"/>
      <c r="E13" s="222"/>
      <c r="F13" s="222"/>
      <c r="G13" s="222"/>
      <c r="H13" s="222"/>
      <c r="I13" s="222"/>
      <c r="J13" s="222"/>
      <c r="K13" s="222"/>
      <c r="L13" s="222"/>
      <c r="M13" s="222"/>
      <c r="N13" s="222"/>
      <c r="O13" s="227"/>
      <c r="P13" s="105"/>
      <c r="Q13" s="222"/>
      <c r="R13" s="222"/>
      <c r="S13" s="222"/>
      <c r="T13" s="222"/>
      <c r="U13" s="222"/>
      <c r="V13" s="222"/>
      <c r="W13" s="222"/>
      <c r="X13" s="222"/>
      <c r="Y13" s="222"/>
      <c r="Z13" s="222"/>
      <c r="AA13" s="222"/>
      <c r="AB13" s="227"/>
    </row>
    <row r="14" spans="1:28" x14ac:dyDescent="0.35">
      <c r="A14" s="220" t="s">
        <v>24</v>
      </c>
      <c r="B14" s="229"/>
      <c r="C14" s="105"/>
      <c r="D14" s="222"/>
      <c r="E14" s="222"/>
      <c r="F14" s="222"/>
      <c r="G14" s="222"/>
      <c r="H14" s="222"/>
      <c r="I14" s="222"/>
      <c r="J14" s="222"/>
      <c r="K14" s="222"/>
      <c r="L14" s="222"/>
      <c r="M14" s="222"/>
      <c r="N14" s="222"/>
      <c r="O14" s="227"/>
      <c r="P14" s="105"/>
      <c r="Q14" s="222"/>
      <c r="R14" s="222"/>
      <c r="S14" s="222"/>
      <c r="T14" s="222"/>
      <c r="U14" s="222"/>
      <c r="V14" s="222"/>
      <c r="W14" s="222"/>
      <c r="X14" s="222"/>
      <c r="Y14" s="222"/>
      <c r="Z14" s="222"/>
      <c r="AA14" s="222"/>
      <c r="AB14" s="227"/>
    </row>
    <row r="15" spans="1:28" x14ac:dyDescent="0.35">
      <c r="A15" s="223" t="s">
        <v>287</v>
      </c>
      <c r="B15" s="229">
        <f>'6a-CashFlowYear1'!O16</f>
        <v>0</v>
      </c>
      <c r="C15" s="105">
        <f>'4-AdditionalInputs'!$Q$35/12</f>
        <v>0</v>
      </c>
      <c r="D15" s="105">
        <f>'4-AdditionalInputs'!$Q$35/12</f>
        <v>0</v>
      </c>
      <c r="E15" s="105">
        <f>'4-AdditionalInputs'!$Q$35/12</f>
        <v>0</v>
      </c>
      <c r="F15" s="105">
        <f>'4-AdditionalInputs'!$Q$35/12</f>
        <v>0</v>
      </c>
      <c r="G15" s="105">
        <f>'4-AdditionalInputs'!$Q$35/12</f>
        <v>0</v>
      </c>
      <c r="H15" s="105">
        <f>'4-AdditionalInputs'!$Q$35/12</f>
        <v>0</v>
      </c>
      <c r="I15" s="105">
        <f>'4-AdditionalInputs'!$Q$35/12</f>
        <v>0</v>
      </c>
      <c r="J15" s="105">
        <f>'4-AdditionalInputs'!$Q$35/12</f>
        <v>0</v>
      </c>
      <c r="K15" s="105">
        <f>'4-AdditionalInputs'!$Q$35/12</f>
        <v>0</v>
      </c>
      <c r="L15" s="105">
        <f>'4-AdditionalInputs'!$Q$35/12</f>
        <v>0</v>
      </c>
      <c r="M15" s="105">
        <f>'4-AdditionalInputs'!$Q$35/12</f>
        <v>0</v>
      </c>
      <c r="N15" s="105">
        <f>'4-AdditionalInputs'!$Q$35/12</f>
        <v>0</v>
      </c>
      <c r="O15" s="227">
        <f>SUM(C15:N15)</f>
        <v>0</v>
      </c>
      <c r="P15" s="105">
        <f>'4-AdditionalInputs'!$R$35/12</f>
        <v>0</v>
      </c>
      <c r="Q15" s="105">
        <f>'4-AdditionalInputs'!$R$35/12</f>
        <v>0</v>
      </c>
      <c r="R15" s="105">
        <f>'4-AdditionalInputs'!$R$35/12</f>
        <v>0</v>
      </c>
      <c r="S15" s="105">
        <f>'4-AdditionalInputs'!$R$35/12</f>
        <v>0</v>
      </c>
      <c r="T15" s="105">
        <f>'4-AdditionalInputs'!$R$35/12</f>
        <v>0</v>
      </c>
      <c r="U15" s="105">
        <f>'4-AdditionalInputs'!$R$35/12</f>
        <v>0</v>
      </c>
      <c r="V15" s="105">
        <f>'4-AdditionalInputs'!$R$35/12</f>
        <v>0</v>
      </c>
      <c r="W15" s="105">
        <f>'4-AdditionalInputs'!$R$35/12</f>
        <v>0</v>
      </c>
      <c r="X15" s="105">
        <f>'4-AdditionalInputs'!$R$35/12</f>
        <v>0</v>
      </c>
      <c r="Y15" s="105">
        <f>'4-AdditionalInputs'!$R$35/12</f>
        <v>0</v>
      </c>
      <c r="Z15" s="105">
        <f>'4-AdditionalInputs'!$R$35/12</f>
        <v>0</v>
      </c>
      <c r="AA15" s="105">
        <f>'4-AdditionalInputs'!$R$35/12</f>
        <v>0</v>
      </c>
      <c r="AB15" s="227">
        <f>SUM(P15:AA15)</f>
        <v>0</v>
      </c>
    </row>
    <row r="16" spans="1:28" x14ac:dyDescent="0.35">
      <c r="A16" s="223" t="s">
        <v>288</v>
      </c>
      <c r="B16" s="229">
        <f>+'6a-CashFlowYear1'!O17</f>
        <v>0</v>
      </c>
      <c r="C16" s="183"/>
      <c r="D16" s="183"/>
      <c r="E16" s="183"/>
      <c r="F16" s="183"/>
      <c r="G16" s="183"/>
      <c r="H16" s="183"/>
      <c r="I16" s="183"/>
      <c r="J16" s="183"/>
      <c r="K16" s="183"/>
      <c r="L16" s="183"/>
      <c r="M16" s="183"/>
      <c r="N16" s="183"/>
      <c r="O16" s="227">
        <f>SUM(C16:N16)</f>
        <v>0</v>
      </c>
      <c r="P16" s="183"/>
      <c r="Q16" s="183"/>
      <c r="R16" s="183"/>
      <c r="S16" s="183"/>
      <c r="T16" s="183"/>
      <c r="U16" s="183"/>
      <c r="V16" s="183"/>
      <c r="W16" s="183"/>
      <c r="X16" s="183"/>
      <c r="Y16" s="183"/>
      <c r="Z16" s="183"/>
      <c r="AA16" s="183"/>
      <c r="AB16" s="227">
        <f>SUM(P16:AA16)</f>
        <v>0</v>
      </c>
    </row>
    <row r="17" spans="1:28" x14ac:dyDescent="0.35">
      <c r="A17" s="223" t="s">
        <v>29</v>
      </c>
      <c r="B17" s="229">
        <f>'6a-CashFlowYear1'!O18</f>
        <v>0</v>
      </c>
      <c r="C17" s="105">
        <f>('3b-SalesForecastYrs1-3'!C48*'4-AdditionalInputs'!$D$17)+('3a-SalesForecastYear1'!N54*'4-AdditionalInputs'!$D$18)+('3a-SalesForecastYear1'!M54*'4-AdditionalInputs'!$D$19)</f>
        <v>0</v>
      </c>
      <c r="D17" s="105">
        <f>('3b-SalesForecastYrs1-3'!D48*'4-AdditionalInputs'!$D$17)+('3b-SalesForecastYrs1-3'!C48*'4-AdditionalInputs'!$D$18)+('3a-SalesForecastYear1'!N54*'4-AdditionalInputs'!$D$19)</f>
        <v>0</v>
      </c>
      <c r="E17" s="105">
        <f>('3b-SalesForecastYrs1-3'!E48*'4-AdditionalInputs'!$D$17)+('3b-SalesForecastYrs1-3'!D48*'4-AdditionalInputs'!$D$18)+('3b-SalesForecastYrs1-3'!C48*'4-AdditionalInputs'!$D$19)</f>
        <v>0</v>
      </c>
      <c r="F17" s="105">
        <f>('3b-SalesForecastYrs1-3'!F48*'4-AdditionalInputs'!$D$17)+('3b-SalesForecastYrs1-3'!E48*'4-AdditionalInputs'!$D$18)+('3b-SalesForecastYrs1-3'!D48*'4-AdditionalInputs'!$D$19)</f>
        <v>0</v>
      </c>
      <c r="G17" s="105">
        <f>('3b-SalesForecastYrs1-3'!G48*'4-AdditionalInputs'!$D$17)+('3b-SalesForecastYrs1-3'!F48*'4-AdditionalInputs'!$D$18)+('3b-SalesForecastYrs1-3'!E48*'4-AdditionalInputs'!$D$19)</f>
        <v>0</v>
      </c>
      <c r="H17" s="105">
        <f>('3b-SalesForecastYrs1-3'!H48*'4-AdditionalInputs'!$D$17)+('3b-SalesForecastYrs1-3'!G48*'4-AdditionalInputs'!$D$18)+('3b-SalesForecastYrs1-3'!F48*'4-AdditionalInputs'!$D$19)</f>
        <v>0</v>
      </c>
      <c r="I17" s="105">
        <f>('3b-SalesForecastYrs1-3'!I48*'4-AdditionalInputs'!$D$17)+('3b-SalesForecastYrs1-3'!H48*'4-AdditionalInputs'!$D$18)+('3b-SalesForecastYrs1-3'!G48*'4-AdditionalInputs'!$D$19)</f>
        <v>0</v>
      </c>
      <c r="J17" s="105">
        <f>('3b-SalesForecastYrs1-3'!J48*'4-AdditionalInputs'!$D$17)+('3b-SalesForecastYrs1-3'!I48*'4-AdditionalInputs'!$D$18)+('3b-SalesForecastYrs1-3'!H48*'4-AdditionalInputs'!$D$19)</f>
        <v>0</v>
      </c>
      <c r="K17" s="105">
        <f>('3b-SalesForecastYrs1-3'!K48*'4-AdditionalInputs'!$D$17)+('3b-SalesForecastYrs1-3'!J48*'4-AdditionalInputs'!$D$18)+('3b-SalesForecastYrs1-3'!I48*'4-AdditionalInputs'!$D$19)</f>
        <v>0</v>
      </c>
      <c r="L17" s="105">
        <f>('3b-SalesForecastYrs1-3'!L48*'4-AdditionalInputs'!$D$17)+('3b-SalesForecastYrs1-3'!K48*'4-AdditionalInputs'!$D$18)+('3b-SalesForecastYrs1-3'!J48*'4-AdditionalInputs'!$D$19)</f>
        <v>0</v>
      </c>
      <c r="M17" s="105">
        <f>('3b-SalesForecastYrs1-3'!M48*'4-AdditionalInputs'!$D$17)+('3b-SalesForecastYrs1-3'!L48*'4-AdditionalInputs'!$D$18)+('3b-SalesForecastYrs1-3'!K48*'4-AdditionalInputs'!$D$19)</f>
        <v>0</v>
      </c>
      <c r="N17" s="105">
        <f>('3b-SalesForecastYrs1-3'!N48*'4-AdditionalInputs'!$D$17)+('3b-SalesForecastYrs1-3'!M48*'4-AdditionalInputs'!$D$18)+('3b-SalesForecastYrs1-3'!L48*'4-AdditionalInputs'!$D$19)</f>
        <v>0</v>
      </c>
      <c r="O17" s="227">
        <f>SUM(C17:N17)</f>
        <v>0</v>
      </c>
      <c r="P17" s="105">
        <f>('3b-SalesForecastYrs1-3'!R48*'4-AdditionalInputs'!$E$17)+('3b-SalesForecastYrs1-3'!N48*'4-AdditionalInputs'!$E$18)+('3b-SalesForecastYrs1-3'!M48*'4-AdditionalInputs'!$E$19)</f>
        <v>0</v>
      </c>
      <c r="Q17" s="105">
        <f>('3b-SalesForecastYrs1-3'!S48*'4-AdditionalInputs'!$E$17)+('3b-SalesForecastYrs1-3'!R48*'4-AdditionalInputs'!$E$18)+('3b-SalesForecastYrs1-3'!N48*'4-AdditionalInputs'!$E$19)</f>
        <v>0</v>
      </c>
      <c r="R17" s="105">
        <f>('3b-SalesForecastYrs1-3'!T48*'4-AdditionalInputs'!$E$17)+('3b-SalesForecastYrs1-3'!S48*'4-AdditionalInputs'!$E$18)+('3b-SalesForecastYrs1-3'!R48*'4-AdditionalInputs'!$E$19)</f>
        <v>0</v>
      </c>
      <c r="S17" s="105">
        <f>('3b-SalesForecastYrs1-3'!U48*'4-AdditionalInputs'!$E$17)+('3b-SalesForecastYrs1-3'!T48*'4-AdditionalInputs'!$E$18)+('3b-SalesForecastYrs1-3'!S48*'4-AdditionalInputs'!$E$19)</f>
        <v>0</v>
      </c>
      <c r="T17" s="105">
        <f>('3b-SalesForecastYrs1-3'!V48*'4-AdditionalInputs'!$E$17)+('3b-SalesForecastYrs1-3'!U48*'4-AdditionalInputs'!$E$18)+('3b-SalesForecastYrs1-3'!T48*'4-AdditionalInputs'!$E$19)</f>
        <v>0</v>
      </c>
      <c r="U17" s="105">
        <f>('3b-SalesForecastYrs1-3'!W48*'4-AdditionalInputs'!$E$17)+('3b-SalesForecastYrs1-3'!V48*'4-AdditionalInputs'!$E$18)+('3b-SalesForecastYrs1-3'!U48*'4-AdditionalInputs'!$E$19)</f>
        <v>0</v>
      </c>
      <c r="V17" s="105">
        <f>('3b-SalesForecastYrs1-3'!X48*'4-AdditionalInputs'!$E$17)+('3b-SalesForecastYrs1-3'!W48*'4-AdditionalInputs'!$E$18)+('3b-SalesForecastYrs1-3'!V48*'4-AdditionalInputs'!$E$19)</f>
        <v>0</v>
      </c>
      <c r="W17" s="105">
        <f>('3b-SalesForecastYrs1-3'!Y48*'4-AdditionalInputs'!$E$17)+('3b-SalesForecastYrs1-3'!X48*'4-AdditionalInputs'!$E$18)+('3b-SalesForecastYrs1-3'!W48*'4-AdditionalInputs'!$E$19)</f>
        <v>0</v>
      </c>
      <c r="X17" s="105">
        <f>('3b-SalesForecastYrs1-3'!Z48*'4-AdditionalInputs'!$E$17)+('3b-SalesForecastYrs1-3'!Y48*'4-AdditionalInputs'!$E$18)+('3b-SalesForecastYrs1-3'!X48*'4-AdditionalInputs'!$E$19)</f>
        <v>0</v>
      </c>
      <c r="Y17" s="105">
        <f>('3b-SalesForecastYrs1-3'!AA48*'4-AdditionalInputs'!$E$17)+('3b-SalesForecastYrs1-3'!Z48*'4-AdditionalInputs'!$E$18)+('3b-SalesForecastYrs1-3'!Y48*'4-AdditionalInputs'!$E$19)</f>
        <v>0</v>
      </c>
      <c r="Z17" s="105">
        <f>('3b-SalesForecastYrs1-3'!AB48*'4-AdditionalInputs'!$E$17)+('3b-SalesForecastYrs1-3'!AA48*'4-AdditionalInputs'!$E$18)+('3b-SalesForecastYrs1-3'!Z48*'4-AdditionalInputs'!$E$19)</f>
        <v>0</v>
      </c>
      <c r="AA17" s="105">
        <f>('3b-SalesForecastYrs1-3'!AC48*'4-AdditionalInputs'!$E$17)+('3b-SalesForecastYrs1-3'!AB48*'4-AdditionalInputs'!$E$18)+('3b-SalesForecastYrs1-3'!AA48*'4-AdditionalInputs'!$E$19)</f>
        <v>0</v>
      </c>
      <c r="AB17" s="227">
        <f t="shared" ref="AB17:AB27" si="5">SUM(P17:AA17)</f>
        <v>0</v>
      </c>
    </row>
    <row r="18" spans="1:28" x14ac:dyDescent="0.35">
      <c r="A18" s="220" t="s">
        <v>265</v>
      </c>
      <c r="B18" s="229"/>
      <c r="C18" s="105"/>
      <c r="D18" s="105"/>
      <c r="E18" s="105"/>
      <c r="F18" s="105"/>
      <c r="G18" s="105"/>
      <c r="H18" s="105"/>
      <c r="I18" s="105"/>
      <c r="J18" s="105"/>
      <c r="K18" s="105"/>
      <c r="L18" s="105"/>
      <c r="M18" s="105"/>
      <c r="N18" s="105"/>
      <c r="O18" s="227"/>
      <c r="P18" s="105"/>
      <c r="Q18" s="105"/>
      <c r="R18" s="105"/>
      <c r="S18" s="105"/>
      <c r="T18" s="105"/>
      <c r="U18" s="105"/>
      <c r="V18" s="105"/>
      <c r="W18" s="105"/>
      <c r="X18" s="105"/>
      <c r="Y18" s="105"/>
      <c r="Z18" s="105"/>
      <c r="AA18" s="105"/>
      <c r="AB18" s="227"/>
    </row>
    <row r="19" spans="1:28" x14ac:dyDescent="0.35">
      <c r="A19" s="223" t="s">
        <v>137</v>
      </c>
      <c r="B19" s="229">
        <f>'6a-CashFlowYear1'!O20</f>
        <v>0</v>
      </c>
      <c r="C19" s="105">
        <f>SUM('5b-OpExYrs1-3'!$E8:$E22)/12</f>
        <v>0</v>
      </c>
      <c r="D19" s="105">
        <f>SUM('5b-OpExYrs1-3'!$E8:$E22)/12</f>
        <v>0</v>
      </c>
      <c r="E19" s="105">
        <f>SUM('5b-OpExYrs1-3'!$E8:$E22)/12</f>
        <v>0</v>
      </c>
      <c r="F19" s="105">
        <f>SUM('5b-OpExYrs1-3'!$E8:$E22)/12</f>
        <v>0</v>
      </c>
      <c r="G19" s="105">
        <f>SUM('5b-OpExYrs1-3'!$E8:$E22)/12</f>
        <v>0</v>
      </c>
      <c r="H19" s="105">
        <f>SUM('5b-OpExYrs1-3'!$E8:$E22)/12</f>
        <v>0</v>
      </c>
      <c r="I19" s="105">
        <f>SUM('5b-OpExYrs1-3'!$E8:$E22)/12</f>
        <v>0</v>
      </c>
      <c r="J19" s="105">
        <f>SUM('5b-OpExYrs1-3'!$E8:$E22)/12</f>
        <v>0</v>
      </c>
      <c r="K19" s="105">
        <f>SUM('5b-OpExYrs1-3'!$E8:$E22)/12</f>
        <v>0</v>
      </c>
      <c r="L19" s="105">
        <f>SUM('5b-OpExYrs1-3'!$E8:$E22)/12</f>
        <v>0</v>
      </c>
      <c r="M19" s="105">
        <f>SUM('5b-OpExYrs1-3'!$E8:$E22)/12</f>
        <v>0</v>
      </c>
      <c r="N19" s="105">
        <f>SUM('5b-OpExYrs1-3'!$E8:$E22)/12</f>
        <v>0</v>
      </c>
      <c r="O19" s="227">
        <f>SUM(C19:N19)</f>
        <v>0</v>
      </c>
      <c r="P19" s="105">
        <f>SUM('5b-OpExYrs1-3'!$G8:$G22)/12</f>
        <v>0</v>
      </c>
      <c r="Q19" s="105">
        <f>SUM('5b-OpExYrs1-3'!$G8:$G22)/12</f>
        <v>0</v>
      </c>
      <c r="R19" s="105">
        <f>SUM('5b-OpExYrs1-3'!$G8:$G22)/12</f>
        <v>0</v>
      </c>
      <c r="S19" s="105">
        <f>SUM('5b-OpExYrs1-3'!$G8:$G22)/12</f>
        <v>0</v>
      </c>
      <c r="T19" s="105">
        <f>SUM('5b-OpExYrs1-3'!$G8:$G22)/12</f>
        <v>0</v>
      </c>
      <c r="U19" s="105">
        <f>SUM('5b-OpExYrs1-3'!$G8:$G22)/12</f>
        <v>0</v>
      </c>
      <c r="V19" s="105">
        <f>SUM('5b-OpExYrs1-3'!$G8:$G22)/12</f>
        <v>0</v>
      </c>
      <c r="W19" s="105">
        <f>SUM('5b-OpExYrs1-3'!$G8:$G22)/12</f>
        <v>0</v>
      </c>
      <c r="X19" s="105">
        <f>SUM('5b-OpExYrs1-3'!$G8:$G22)/12</f>
        <v>0</v>
      </c>
      <c r="Y19" s="105">
        <f>SUM('5b-OpExYrs1-3'!$G8:$G22)/12</f>
        <v>0</v>
      </c>
      <c r="Z19" s="105">
        <f>SUM('5b-OpExYrs1-3'!$G8:$G22)/12</f>
        <v>0</v>
      </c>
      <c r="AA19" s="105">
        <f>SUM('5b-OpExYrs1-3'!$G8:$G22)/12</f>
        <v>0</v>
      </c>
      <c r="AB19" s="227">
        <f t="shared" si="5"/>
        <v>0</v>
      </c>
    </row>
    <row r="20" spans="1:28" x14ac:dyDescent="0.35">
      <c r="A20" s="223" t="s">
        <v>213</v>
      </c>
      <c r="B20" s="229">
        <f>'6a-CashFlowYear1'!O21</f>
        <v>0</v>
      </c>
      <c r="C20" s="105">
        <f>'2b-PayrollYrs1-3'!$E$26/12</f>
        <v>0</v>
      </c>
      <c r="D20" s="105">
        <f>'2b-PayrollYrs1-3'!$E$26/12</f>
        <v>0</v>
      </c>
      <c r="E20" s="105">
        <f>'2b-PayrollYrs1-3'!$E$26/12</f>
        <v>0</v>
      </c>
      <c r="F20" s="105">
        <f>'2b-PayrollYrs1-3'!$E$26/12</f>
        <v>0</v>
      </c>
      <c r="G20" s="105">
        <f>'2b-PayrollYrs1-3'!$E$26/12</f>
        <v>0</v>
      </c>
      <c r="H20" s="105">
        <f>'2b-PayrollYrs1-3'!$E$26/12</f>
        <v>0</v>
      </c>
      <c r="I20" s="105">
        <f>'2b-PayrollYrs1-3'!$E$26/12</f>
        <v>0</v>
      </c>
      <c r="J20" s="105">
        <f>'2b-PayrollYrs1-3'!$E$26/12</f>
        <v>0</v>
      </c>
      <c r="K20" s="105">
        <f>'2b-PayrollYrs1-3'!$E$26/12</f>
        <v>0</v>
      </c>
      <c r="L20" s="105">
        <f>'2b-PayrollYrs1-3'!$E$26/12</f>
        <v>0</v>
      </c>
      <c r="M20" s="105">
        <f>'2b-PayrollYrs1-3'!$E$26/12</f>
        <v>0</v>
      </c>
      <c r="N20" s="105">
        <f>'2b-PayrollYrs1-3'!$E$26/12</f>
        <v>0</v>
      </c>
      <c r="O20" s="227">
        <f>SUM(C20:N20)</f>
        <v>0</v>
      </c>
      <c r="P20" s="105">
        <f>'2b-PayrollYrs1-3'!$G$26/12</f>
        <v>0</v>
      </c>
      <c r="Q20" s="105">
        <f>'2b-PayrollYrs1-3'!$G$26/12</f>
        <v>0</v>
      </c>
      <c r="R20" s="105">
        <f>'2b-PayrollYrs1-3'!$G$26/12</f>
        <v>0</v>
      </c>
      <c r="S20" s="105">
        <f>'2b-PayrollYrs1-3'!$G$26/12</f>
        <v>0</v>
      </c>
      <c r="T20" s="105">
        <f>'2b-PayrollYrs1-3'!$G$26/12</f>
        <v>0</v>
      </c>
      <c r="U20" s="105">
        <f>'2b-PayrollYrs1-3'!$G$26/12</f>
        <v>0</v>
      </c>
      <c r="V20" s="105">
        <f>'2b-PayrollYrs1-3'!$G$26/12</f>
        <v>0</v>
      </c>
      <c r="W20" s="105">
        <f>'2b-PayrollYrs1-3'!$G$26/12</f>
        <v>0</v>
      </c>
      <c r="X20" s="105">
        <f>'2b-PayrollYrs1-3'!$G$26/12</f>
        <v>0</v>
      </c>
      <c r="Y20" s="105">
        <f>'2b-PayrollYrs1-3'!$G$26/12</f>
        <v>0</v>
      </c>
      <c r="Z20" s="105">
        <f>'2b-PayrollYrs1-3'!$G$26/12</f>
        <v>0</v>
      </c>
      <c r="AA20" s="105">
        <f>'2b-PayrollYrs1-3'!$G$26/12</f>
        <v>0</v>
      </c>
      <c r="AB20" s="227">
        <f t="shared" si="5"/>
        <v>0</v>
      </c>
    </row>
    <row r="21" spans="1:28" x14ac:dyDescent="0.35">
      <c r="A21" s="223" t="s">
        <v>162</v>
      </c>
      <c r="B21" s="229">
        <f>'6a-CashFlowYear1'!O22</f>
        <v>0</v>
      </c>
      <c r="C21" s="105">
        <v>0</v>
      </c>
      <c r="D21" s="105">
        <v>0</v>
      </c>
      <c r="E21" s="105">
        <f>SUM('7b-IncomeStatementYrs1-3'!C65:E65)</f>
        <v>0</v>
      </c>
      <c r="F21" s="105">
        <v>0</v>
      </c>
      <c r="G21" s="105">
        <v>0</v>
      </c>
      <c r="H21" s="105">
        <f>SUM('7b-IncomeStatementYrs1-3'!F65:H65)</f>
        <v>0</v>
      </c>
      <c r="I21" s="105">
        <v>0</v>
      </c>
      <c r="J21" s="105">
        <v>0</v>
      </c>
      <c r="K21" s="105">
        <f>SUM('7b-IncomeStatementYrs1-3'!I65:K65)</f>
        <v>0</v>
      </c>
      <c r="L21" s="105">
        <v>0</v>
      </c>
      <c r="M21" s="105">
        <v>0</v>
      </c>
      <c r="N21" s="105">
        <f>SUM('7b-IncomeStatementYrs1-3'!L65:N65)</f>
        <v>0</v>
      </c>
      <c r="O21" s="227"/>
      <c r="P21" s="105">
        <v>0</v>
      </c>
      <c r="Q21" s="105">
        <v>0</v>
      </c>
      <c r="R21" s="105">
        <f>SUM('7b-IncomeStatementYrs1-3'!C69:E69)</f>
        <v>0</v>
      </c>
      <c r="S21" s="105">
        <v>0</v>
      </c>
      <c r="T21" s="105">
        <v>0</v>
      </c>
      <c r="U21" s="105">
        <f>SUM('7b-IncomeStatementYrs1-3'!F69:H69)</f>
        <v>0</v>
      </c>
      <c r="V21" s="105">
        <v>0</v>
      </c>
      <c r="W21" s="105">
        <v>0</v>
      </c>
      <c r="X21" s="105">
        <f>SUM('7b-IncomeStatementYrs1-3'!I69:K69)</f>
        <v>0</v>
      </c>
      <c r="Y21" s="105">
        <v>0</v>
      </c>
      <c r="Z21" s="105">
        <v>0</v>
      </c>
      <c r="AA21" s="105">
        <f>SUM('7b-IncomeStatementYrs1-3'!L69:N69)</f>
        <v>0</v>
      </c>
      <c r="AB21" s="227">
        <f t="shared" si="5"/>
        <v>0</v>
      </c>
    </row>
    <row r="22" spans="1:28" x14ac:dyDescent="0.35">
      <c r="A22" s="220" t="s">
        <v>25</v>
      </c>
      <c r="B22" s="229"/>
      <c r="C22" s="105"/>
      <c r="D22" s="222"/>
      <c r="E22" s="222"/>
      <c r="F22" s="222"/>
      <c r="G22" s="222"/>
      <c r="H22" s="222"/>
      <c r="I22" s="222"/>
      <c r="J22" s="222"/>
      <c r="K22" s="222"/>
      <c r="L22" s="222"/>
      <c r="M22" s="222"/>
      <c r="N22" s="222"/>
      <c r="O22" s="227"/>
      <c r="P22" s="105"/>
      <c r="Q22" s="222"/>
      <c r="R22" s="222"/>
      <c r="S22" s="222"/>
      <c r="T22" s="222"/>
      <c r="U22" s="222"/>
      <c r="V22" s="222"/>
      <c r="W22" s="222"/>
      <c r="X22" s="222"/>
      <c r="Y22" s="222"/>
      <c r="Z22" s="222"/>
      <c r="AA22" s="222"/>
      <c r="AB22" s="227"/>
    </row>
    <row r="23" spans="1:28" x14ac:dyDescent="0.35">
      <c r="A23" s="226" t="s">
        <v>26</v>
      </c>
      <c r="B23" s="229">
        <f>'6a-CashFlowYear1'!O24</f>
        <v>0</v>
      </c>
      <c r="C23" s="222">
        <f>SUM('Amortization&amp;Depreciation'!C19:C20)+SUM('Amortization&amp;Depreciation'!C39:C40)+SUM('Amortization&amp;Depreciation'!C59:C60)+SUM('Amortization&amp;Depreciation'!C79:C80)+SUM('Amortization&amp;Depreciation'!C99:C100)</f>
        <v>0</v>
      </c>
      <c r="D23" s="222">
        <f>SUM('Amortization&amp;Depreciation'!D19:D20)+SUM('Amortization&amp;Depreciation'!D39:D40)+SUM('Amortization&amp;Depreciation'!D59:D60)+SUM('Amortization&amp;Depreciation'!D79:D80)+SUM('Amortization&amp;Depreciation'!D99:D100)</f>
        <v>0</v>
      </c>
      <c r="E23" s="222">
        <f>SUM('Amortization&amp;Depreciation'!E19:E20)+SUM('Amortization&amp;Depreciation'!E39:E40)+SUM('Amortization&amp;Depreciation'!E59:E60)+SUM('Amortization&amp;Depreciation'!E79:E80)+SUM('Amortization&amp;Depreciation'!E99:E100)</f>
        <v>0</v>
      </c>
      <c r="F23" s="222">
        <f>SUM('Amortization&amp;Depreciation'!F19:F20)+SUM('Amortization&amp;Depreciation'!F39:F40)+SUM('Amortization&amp;Depreciation'!F59:F60)+SUM('Amortization&amp;Depreciation'!F79:F80)+SUM('Amortization&amp;Depreciation'!F99:F100)</f>
        <v>0</v>
      </c>
      <c r="G23" s="222">
        <f>SUM('Amortization&amp;Depreciation'!G19:G20)+SUM('Amortization&amp;Depreciation'!G39:G40)+SUM('Amortization&amp;Depreciation'!G59:G60)+SUM('Amortization&amp;Depreciation'!G79:G80)+SUM('Amortization&amp;Depreciation'!G99:G100)</f>
        <v>0</v>
      </c>
      <c r="H23" s="222">
        <f>SUM('Amortization&amp;Depreciation'!H19:H20)+SUM('Amortization&amp;Depreciation'!H39:H40)+SUM('Amortization&amp;Depreciation'!H59:H60)+SUM('Amortization&amp;Depreciation'!H79:H80)+SUM('Amortization&amp;Depreciation'!H99:H100)</f>
        <v>0</v>
      </c>
      <c r="I23" s="222">
        <f>SUM('Amortization&amp;Depreciation'!I19:I20)+SUM('Amortization&amp;Depreciation'!I39:I40)+SUM('Amortization&amp;Depreciation'!I59:I60)+SUM('Amortization&amp;Depreciation'!I79:I80)+SUM('Amortization&amp;Depreciation'!I99:I100)</f>
        <v>0</v>
      </c>
      <c r="J23" s="222">
        <f>SUM('Amortization&amp;Depreciation'!J19:J20)+SUM('Amortization&amp;Depreciation'!J39:J40)+SUM('Amortization&amp;Depreciation'!J59:J60)+SUM('Amortization&amp;Depreciation'!J79:J80)+SUM('Amortization&amp;Depreciation'!J99:J100)</f>
        <v>0</v>
      </c>
      <c r="K23" s="222">
        <f>SUM('Amortization&amp;Depreciation'!K19:K20)+SUM('Amortization&amp;Depreciation'!K39:K40)+SUM('Amortization&amp;Depreciation'!K59:K60)+SUM('Amortization&amp;Depreciation'!K79:K80)+SUM('Amortization&amp;Depreciation'!K99:K100)</f>
        <v>0</v>
      </c>
      <c r="L23" s="222">
        <f>SUM('Amortization&amp;Depreciation'!L19:L20)+SUM('Amortization&amp;Depreciation'!L39:L40)+SUM('Amortization&amp;Depreciation'!L59:L60)+SUM('Amortization&amp;Depreciation'!L79:L80)+SUM('Amortization&amp;Depreciation'!L99:L100)</f>
        <v>0</v>
      </c>
      <c r="M23" s="222">
        <f>SUM('Amortization&amp;Depreciation'!M19:M20)+SUM('Amortization&amp;Depreciation'!M39:M40)+SUM('Amortization&amp;Depreciation'!M59:M60)+SUM('Amortization&amp;Depreciation'!M79:M80)+SUM('Amortization&amp;Depreciation'!M99:M100)</f>
        <v>0</v>
      </c>
      <c r="N23" s="222">
        <f>SUM('Amortization&amp;Depreciation'!N19:N20)+SUM('Amortization&amp;Depreciation'!N39:N40)+SUM('Amortization&amp;Depreciation'!N59:N60)+SUM('Amortization&amp;Depreciation'!N79:N80)+SUM('Amortization&amp;Depreciation'!N99:N100)</f>
        <v>0</v>
      </c>
      <c r="O23" s="227">
        <f>SUM(C23:N23)</f>
        <v>0</v>
      </c>
      <c r="P23" s="222">
        <f>SUM('Amortization&amp;Depreciation'!C23:C24)+SUM('Amortization&amp;Depreciation'!C43:C44)+SUM('Amortization&amp;Depreciation'!C63:C64)+SUM('Amortization&amp;Depreciation'!C83:C84)+SUM('Amortization&amp;Depreciation'!C103:C104)</f>
        <v>0</v>
      </c>
      <c r="Q23" s="222">
        <f>SUM('Amortization&amp;Depreciation'!D23:D24)+SUM('Amortization&amp;Depreciation'!D43:D44)+SUM('Amortization&amp;Depreciation'!D63:D64)+SUM('Amortization&amp;Depreciation'!D83:D84)+SUM('Amortization&amp;Depreciation'!D103:D104)</f>
        <v>0</v>
      </c>
      <c r="R23" s="222">
        <f>SUM('Amortization&amp;Depreciation'!E23:E24)+SUM('Amortization&amp;Depreciation'!E43:E44)+SUM('Amortization&amp;Depreciation'!E63:E64)+SUM('Amortization&amp;Depreciation'!E83:E84)+SUM('Amortization&amp;Depreciation'!E103:E104)</f>
        <v>0</v>
      </c>
      <c r="S23" s="222">
        <f>SUM('Amortization&amp;Depreciation'!F23:F24)+SUM('Amortization&amp;Depreciation'!F43:F44)+SUM('Amortization&amp;Depreciation'!F63:F64)+SUM('Amortization&amp;Depreciation'!F83:F84)+SUM('Amortization&amp;Depreciation'!F103:F104)</f>
        <v>0</v>
      </c>
      <c r="T23" s="222">
        <f>SUM('Amortization&amp;Depreciation'!G23:G24)+SUM('Amortization&amp;Depreciation'!G43:G44)+SUM('Amortization&amp;Depreciation'!G63:G64)+SUM('Amortization&amp;Depreciation'!G83:G84)+SUM('Amortization&amp;Depreciation'!G103:G104)</f>
        <v>0</v>
      </c>
      <c r="U23" s="222">
        <f>SUM('Amortization&amp;Depreciation'!H23:H24)+SUM('Amortization&amp;Depreciation'!H43:H44)+SUM('Amortization&amp;Depreciation'!H63:H64)+SUM('Amortization&amp;Depreciation'!H83:H84)+SUM('Amortization&amp;Depreciation'!H103:H104)</f>
        <v>0</v>
      </c>
      <c r="V23" s="222">
        <f>SUM('Amortization&amp;Depreciation'!I23:I24)+SUM('Amortization&amp;Depreciation'!I43:I44)+SUM('Amortization&amp;Depreciation'!I63:I64)+SUM('Amortization&amp;Depreciation'!I83:I84)+SUM('Amortization&amp;Depreciation'!I103:I104)</f>
        <v>0</v>
      </c>
      <c r="W23" s="222">
        <f>SUM('Amortization&amp;Depreciation'!J23:J24)+SUM('Amortization&amp;Depreciation'!J43:J44)+SUM('Amortization&amp;Depreciation'!J63:J64)+SUM('Amortization&amp;Depreciation'!J83:J84)+SUM('Amortization&amp;Depreciation'!J103:J104)</f>
        <v>0</v>
      </c>
      <c r="X23" s="222">
        <f>SUM('Amortization&amp;Depreciation'!K23:K24)+SUM('Amortization&amp;Depreciation'!K43:K44)+SUM('Amortization&amp;Depreciation'!K63:K64)+SUM('Amortization&amp;Depreciation'!K83:K84)+SUM('Amortization&amp;Depreciation'!K103:K104)</f>
        <v>0</v>
      </c>
      <c r="Y23" s="222">
        <f>SUM('Amortization&amp;Depreciation'!L23:L24)+SUM('Amortization&amp;Depreciation'!L43:L44)+SUM('Amortization&amp;Depreciation'!L63:L64)+SUM('Amortization&amp;Depreciation'!L83:L84)+SUM('Amortization&amp;Depreciation'!L103:L104)</f>
        <v>0</v>
      </c>
      <c r="Z23" s="222">
        <f>SUM('Amortization&amp;Depreciation'!M23:M24)+SUM('Amortization&amp;Depreciation'!M43:M44)+SUM('Amortization&amp;Depreciation'!M63:M64)+SUM('Amortization&amp;Depreciation'!M83:M84)+SUM('Amortization&amp;Depreciation'!M103:M104)</f>
        <v>0</v>
      </c>
      <c r="AA23" s="222">
        <f>SUM('Amortization&amp;Depreciation'!N23:N24)+SUM('Amortization&amp;Depreciation'!N43:N44)+SUM('Amortization&amp;Depreciation'!N63:N64)+SUM('Amortization&amp;Depreciation'!N83:N84)+SUM('Amortization&amp;Depreciation'!N103:N104)</f>
        <v>0</v>
      </c>
      <c r="AB23" s="227">
        <f t="shared" si="5"/>
        <v>0</v>
      </c>
    </row>
    <row r="24" spans="1:28" x14ac:dyDescent="0.35">
      <c r="A24" s="226" t="s">
        <v>30</v>
      </c>
      <c r="B24" s="229">
        <f>'6a-CashFlowYear1'!O25</f>
        <v>0</v>
      </c>
      <c r="C24" s="183"/>
      <c r="D24" s="183"/>
      <c r="E24" s="183"/>
      <c r="F24" s="183"/>
      <c r="G24" s="183"/>
      <c r="H24" s="183"/>
      <c r="I24" s="183"/>
      <c r="J24" s="183"/>
      <c r="K24" s="183"/>
      <c r="L24" s="183"/>
      <c r="M24" s="183"/>
      <c r="N24" s="183"/>
      <c r="O24" s="227">
        <f>SUM(C24:N24)</f>
        <v>0</v>
      </c>
      <c r="P24" s="183"/>
      <c r="Q24" s="183"/>
      <c r="R24" s="183"/>
      <c r="S24" s="183"/>
      <c r="T24" s="183"/>
      <c r="U24" s="183"/>
      <c r="V24" s="183"/>
      <c r="W24" s="183"/>
      <c r="X24" s="183"/>
      <c r="Y24" s="183"/>
      <c r="Z24" s="183"/>
      <c r="AA24" s="183"/>
      <c r="AB24" s="227">
        <f t="shared" si="5"/>
        <v>0</v>
      </c>
    </row>
    <row r="25" spans="1:28" x14ac:dyDescent="0.35">
      <c r="A25" s="226" t="s">
        <v>202</v>
      </c>
      <c r="B25" s="229">
        <f>'6a-CashFlowYear1'!O26</f>
        <v>0</v>
      </c>
      <c r="C25" s="105">
        <f>'6a-CashFlowYear1'!N34*'4-AdditionalInputs'!$D$25/12</f>
        <v>0</v>
      </c>
      <c r="D25" s="105">
        <f>C33*'4-AdditionalInputs'!$D$25/12</f>
        <v>0</v>
      </c>
      <c r="E25" s="105">
        <f>D33*'4-AdditionalInputs'!$D$25/12</f>
        <v>0</v>
      </c>
      <c r="F25" s="105">
        <f>E33*'4-AdditionalInputs'!$D$25/12</f>
        <v>0</v>
      </c>
      <c r="G25" s="105">
        <f>F33*'4-AdditionalInputs'!$D$25/12</f>
        <v>0</v>
      </c>
      <c r="H25" s="105">
        <f>G33*'4-AdditionalInputs'!$D$25/12</f>
        <v>0</v>
      </c>
      <c r="I25" s="105">
        <f>H33*'4-AdditionalInputs'!$D$25/12</f>
        <v>0</v>
      </c>
      <c r="J25" s="105">
        <f>I33*'4-AdditionalInputs'!$D$25/12</f>
        <v>0</v>
      </c>
      <c r="K25" s="105">
        <f>J33*'4-AdditionalInputs'!$D$25/12</f>
        <v>0</v>
      </c>
      <c r="L25" s="105">
        <f>K33*'4-AdditionalInputs'!$D$25/12</f>
        <v>0</v>
      </c>
      <c r="M25" s="105">
        <f>L33*'4-AdditionalInputs'!$D$25/12</f>
        <v>0</v>
      </c>
      <c r="N25" s="105">
        <f>M33*'4-AdditionalInputs'!$D$25/12</f>
        <v>0</v>
      </c>
      <c r="O25" s="227">
        <f>SUM(C25:N25)</f>
        <v>0</v>
      </c>
      <c r="P25" s="105">
        <f>N33*'4-AdditionalInputs'!$D$25/12</f>
        <v>0</v>
      </c>
      <c r="Q25" s="105">
        <f>P33*'4-AdditionalInputs'!$D$25/12</f>
        <v>0</v>
      </c>
      <c r="R25" s="105">
        <f>Q33*'4-AdditionalInputs'!$D$25/12</f>
        <v>0</v>
      </c>
      <c r="S25" s="105">
        <f>R33*'4-AdditionalInputs'!$D$25/12</f>
        <v>0</v>
      </c>
      <c r="T25" s="105">
        <f>S33*'4-AdditionalInputs'!$D$25/12</f>
        <v>0</v>
      </c>
      <c r="U25" s="105">
        <f>T33*'4-AdditionalInputs'!$D$25/12</f>
        <v>0</v>
      </c>
      <c r="V25" s="105">
        <f>U33*'4-AdditionalInputs'!$D$25/12</f>
        <v>0</v>
      </c>
      <c r="W25" s="105">
        <f>V33*'4-AdditionalInputs'!$D$25/12</f>
        <v>0</v>
      </c>
      <c r="X25" s="105">
        <f>W33*'4-AdditionalInputs'!$D$25/12</f>
        <v>0</v>
      </c>
      <c r="Y25" s="105">
        <f>X33*'4-AdditionalInputs'!$D$25/12</f>
        <v>0</v>
      </c>
      <c r="Z25" s="105">
        <f>Y33*'4-AdditionalInputs'!$D$25/12</f>
        <v>0</v>
      </c>
      <c r="AA25" s="105">
        <f>Z33*'4-AdditionalInputs'!$D$25/12</f>
        <v>0</v>
      </c>
      <c r="AB25" s="227">
        <f t="shared" si="5"/>
        <v>0</v>
      </c>
    </row>
    <row r="26" spans="1:28" x14ac:dyDescent="0.35">
      <c r="A26" s="226" t="s">
        <v>203</v>
      </c>
      <c r="B26" s="229">
        <f>'6a-CashFlowYear1'!O27</f>
        <v>0</v>
      </c>
      <c r="C26" s="183"/>
      <c r="D26" s="183"/>
      <c r="E26" s="183"/>
      <c r="F26" s="183"/>
      <c r="G26" s="183"/>
      <c r="H26" s="183"/>
      <c r="I26" s="183"/>
      <c r="J26" s="183"/>
      <c r="K26" s="183"/>
      <c r="L26" s="183"/>
      <c r="M26" s="183"/>
      <c r="N26" s="183"/>
      <c r="O26" s="227">
        <f>SUM(C26:N26)</f>
        <v>0</v>
      </c>
      <c r="P26" s="183"/>
      <c r="Q26" s="183"/>
      <c r="R26" s="183"/>
      <c r="S26" s="183"/>
      <c r="T26" s="183"/>
      <c r="U26" s="183"/>
      <c r="V26" s="183"/>
      <c r="W26" s="183"/>
      <c r="X26" s="183"/>
      <c r="Y26" s="183"/>
      <c r="Z26" s="183"/>
      <c r="AA26" s="183"/>
      <c r="AB26" s="227">
        <f t="shared" si="5"/>
        <v>0</v>
      </c>
    </row>
    <row r="27" spans="1:28" x14ac:dyDescent="0.35">
      <c r="A27" s="226" t="s">
        <v>267</v>
      </c>
      <c r="B27" s="229">
        <f>'6a-CashFlowYear1'!O28</f>
        <v>0</v>
      </c>
      <c r="C27" s="183"/>
      <c r="D27" s="183"/>
      <c r="E27" s="183"/>
      <c r="F27" s="183"/>
      <c r="G27" s="183"/>
      <c r="H27" s="183"/>
      <c r="I27" s="183"/>
      <c r="J27" s="183"/>
      <c r="K27" s="183"/>
      <c r="L27" s="183"/>
      <c r="M27" s="183"/>
      <c r="N27" s="183"/>
      <c r="O27" s="227">
        <f>SUM(C27:N27)</f>
        <v>0</v>
      </c>
      <c r="P27" s="183"/>
      <c r="Q27" s="183"/>
      <c r="R27" s="183"/>
      <c r="S27" s="183"/>
      <c r="T27" s="183"/>
      <c r="U27" s="183"/>
      <c r="V27" s="183"/>
      <c r="W27" s="183"/>
      <c r="X27" s="183"/>
      <c r="Y27" s="183"/>
      <c r="Z27" s="183"/>
      <c r="AA27" s="183"/>
      <c r="AB27" s="227">
        <f t="shared" si="5"/>
        <v>0</v>
      </c>
    </row>
    <row r="28" spans="1:28" x14ac:dyDescent="0.35">
      <c r="A28" s="224" t="s">
        <v>27</v>
      </c>
      <c r="B28" s="229">
        <f>'6a-CashFlowYear1'!O29</f>
        <v>0</v>
      </c>
      <c r="C28" s="225">
        <f t="shared" ref="C28:AA28" si="6">SUM(C15:C27)</f>
        <v>0</v>
      </c>
      <c r="D28" s="225">
        <f t="shared" si="6"/>
        <v>0</v>
      </c>
      <c r="E28" s="225">
        <f t="shared" si="6"/>
        <v>0</v>
      </c>
      <c r="F28" s="225">
        <f t="shared" si="6"/>
        <v>0</v>
      </c>
      <c r="G28" s="225">
        <f t="shared" si="6"/>
        <v>0</v>
      </c>
      <c r="H28" s="225">
        <f t="shared" si="6"/>
        <v>0</v>
      </c>
      <c r="I28" s="225">
        <f t="shared" si="6"/>
        <v>0</v>
      </c>
      <c r="J28" s="225">
        <f t="shared" si="6"/>
        <v>0</v>
      </c>
      <c r="K28" s="225">
        <f t="shared" si="6"/>
        <v>0</v>
      </c>
      <c r="L28" s="225">
        <f t="shared" si="6"/>
        <v>0</v>
      </c>
      <c r="M28" s="225">
        <f t="shared" si="6"/>
        <v>0</v>
      </c>
      <c r="N28" s="225">
        <f t="shared" si="6"/>
        <v>0</v>
      </c>
      <c r="O28" s="227">
        <f t="shared" si="6"/>
        <v>0</v>
      </c>
      <c r="P28" s="225">
        <f t="shared" si="6"/>
        <v>0</v>
      </c>
      <c r="Q28" s="225">
        <f t="shared" si="6"/>
        <v>0</v>
      </c>
      <c r="R28" s="225">
        <f t="shared" si="6"/>
        <v>0</v>
      </c>
      <c r="S28" s="225">
        <f t="shared" si="6"/>
        <v>0</v>
      </c>
      <c r="T28" s="225">
        <f t="shared" si="6"/>
        <v>0</v>
      </c>
      <c r="U28" s="225">
        <f t="shared" si="6"/>
        <v>0</v>
      </c>
      <c r="V28" s="225">
        <f t="shared" si="6"/>
        <v>0</v>
      </c>
      <c r="W28" s="225">
        <f t="shared" si="6"/>
        <v>0</v>
      </c>
      <c r="X28" s="225">
        <f t="shared" si="6"/>
        <v>0</v>
      </c>
      <c r="Y28" s="225">
        <f t="shared" si="6"/>
        <v>0</v>
      </c>
      <c r="Z28" s="225">
        <f t="shared" si="6"/>
        <v>0</v>
      </c>
      <c r="AA28" s="225">
        <f t="shared" si="6"/>
        <v>0</v>
      </c>
      <c r="AB28" s="227">
        <f t="shared" ref="AB28:AB29" si="7">SUM(P28:AA28)</f>
        <v>0</v>
      </c>
    </row>
    <row r="29" spans="1:28" x14ac:dyDescent="0.35">
      <c r="A29" s="66" t="s">
        <v>125</v>
      </c>
      <c r="B29" s="229">
        <f>'6a-CashFlowYear1'!O30</f>
        <v>0</v>
      </c>
      <c r="C29" s="108">
        <f t="shared" ref="C29:AA29" si="8">C11-C28</f>
        <v>0</v>
      </c>
      <c r="D29" s="74">
        <f t="shared" si="8"/>
        <v>0</v>
      </c>
      <c r="E29" s="74">
        <f t="shared" si="8"/>
        <v>0</v>
      </c>
      <c r="F29" s="74">
        <f t="shared" si="8"/>
        <v>0</v>
      </c>
      <c r="G29" s="74">
        <f t="shared" si="8"/>
        <v>0</v>
      </c>
      <c r="H29" s="74">
        <f t="shared" si="8"/>
        <v>0</v>
      </c>
      <c r="I29" s="74">
        <f t="shared" si="8"/>
        <v>0</v>
      </c>
      <c r="J29" s="74">
        <f t="shared" si="8"/>
        <v>0</v>
      </c>
      <c r="K29" s="74">
        <f t="shared" si="8"/>
        <v>0</v>
      </c>
      <c r="L29" s="74">
        <f t="shared" si="8"/>
        <v>0</v>
      </c>
      <c r="M29" s="74">
        <f t="shared" si="8"/>
        <v>0</v>
      </c>
      <c r="N29" s="74">
        <f t="shared" si="8"/>
        <v>0</v>
      </c>
      <c r="O29" s="227">
        <f t="shared" si="8"/>
        <v>0</v>
      </c>
      <c r="P29" s="108">
        <f t="shared" si="8"/>
        <v>0</v>
      </c>
      <c r="Q29" s="74">
        <f t="shared" si="8"/>
        <v>0</v>
      </c>
      <c r="R29" s="74">
        <f t="shared" si="8"/>
        <v>0</v>
      </c>
      <c r="S29" s="74">
        <f t="shared" si="8"/>
        <v>0</v>
      </c>
      <c r="T29" s="74">
        <f t="shared" si="8"/>
        <v>0</v>
      </c>
      <c r="U29" s="74">
        <f t="shared" si="8"/>
        <v>0</v>
      </c>
      <c r="V29" s="74">
        <f t="shared" si="8"/>
        <v>0</v>
      </c>
      <c r="W29" s="74">
        <f t="shared" si="8"/>
        <v>0</v>
      </c>
      <c r="X29" s="74">
        <f t="shared" si="8"/>
        <v>0</v>
      </c>
      <c r="Y29" s="74">
        <f t="shared" si="8"/>
        <v>0</v>
      </c>
      <c r="Z29" s="74">
        <f t="shared" si="8"/>
        <v>0</v>
      </c>
      <c r="AA29" s="74">
        <f t="shared" si="8"/>
        <v>0</v>
      </c>
      <c r="AB29" s="227">
        <f t="shared" si="7"/>
        <v>0</v>
      </c>
    </row>
    <row r="30" spans="1:28" x14ac:dyDescent="0.35">
      <c r="A30" s="66" t="s">
        <v>231</v>
      </c>
      <c r="B30" s="66"/>
      <c r="C30" s="108">
        <f t="shared" ref="C30:N30" si="9">C7+C29</f>
        <v>0</v>
      </c>
      <c r="D30" s="108">
        <f t="shared" si="9"/>
        <v>0</v>
      </c>
      <c r="E30" s="108">
        <f t="shared" si="9"/>
        <v>0</v>
      </c>
      <c r="F30" s="108">
        <f t="shared" si="9"/>
        <v>0</v>
      </c>
      <c r="G30" s="108">
        <f t="shared" si="9"/>
        <v>0</v>
      </c>
      <c r="H30" s="108">
        <f t="shared" si="9"/>
        <v>0</v>
      </c>
      <c r="I30" s="108">
        <f t="shared" si="9"/>
        <v>0</v>
      </c>
      <c r="J30" s="108">
        <f t="shared" si="9"/>
        <v>0</v>
      </c>
      <c r="K30" s="108">
        <f t="shared" si="9"/>
        <v>0</v>
      </c>
      <c r="L30" s="108">
        <f t="shared" si="9"/>
        <v>0</v>
      </c>
      <c r="M30" s="108">
        <f t="shared" si="9"/>
        <v>0</v>
      </c>
      <c r="N30" s="108">
        <f t="shared" si="9"/>
        <v>0</v>
      </c>
      <c r="O30" s="227"/>
      <c r="P30" s="108">
        <f t="shared" ref="P30:AA30" si="10">P7+P29</f>
        <v>0</v>
      </c>
      <c r="Q30" s="108">
        <f t="shared" si="10"/>
        <v>0</v>
      </c>
      <c r="R30" s="108">
        <f t="shared" si="10"/>
        <v>0</v>
      </c>
      <c r="S30" s="108">
        <f t="shared" si="10"/>
        <v>0</v>
      </c>
      <c r="T30" s="108">
        <f t="shared" si="10"/>
        <v>0</v>
      </c>
      <c r="U30" s="108">
        <f t="shared" si="10"/>
        <v>0</v>
      </c>
      <c r="V30" s="108">
        <f t="shared" si="10"/>
        <v>0</v>
      </c>
      <c r="W30" s="108">
        <f t="shared" si="10"/>
        <v>0</v>
      </c>
      <c r="X30" s="108">
        <f t="shared" si="10"/>
        <v>0</v>
      </c>
      <c r="Y30" s="108">
        <f t="shared" si="10"/>
        <v>0</v>
      </c>
      <c r="Z30" s="108">
        <f t="shared" si="10"/>
        <v>0</v>
      </c>
      <c r="AA30" s="108">
        <f t="shared" si="10"/>
        <v>0</v>
      </c>
      <c r="AB30" s="227"/>
    </row>
    <row r="31" spans="1:28" x14ac:dyDescent="0.35">
      <c r="A31" s="66" t="s">
        <v>176</v>
      </c>
      <c r="B31" s="229">
        <f>'6a-CashFlowYear1'!O32</f>
        <v>0</v>
      </c>
      <c r="C31" s="108">
        <f>IF(C30&lt;'4-AdditionalInputs'!$D$24, '4-AdditionalInputs'!$D$24-C30, 0)</f>
        <v>0</v>
      </c>
      <c r="D31" s="108">
        <f>IF(D30&lt;'4-AdditionalInputs'!$D$24, '4-AdditionalInputs'!$D$24-D30, 0)</f>
        <v>0</v>
      </c>
      <c r="E31" s="108">
        <f>IF(E30&lt;'4-AdditionalInputs'!$D$24, '4-AdditionalInputs'!$D$24-E30, 0)</f>
        <v>0</v>
      </c>
      <c r="F31" s="108">
        <f>IF(F30&lt;'4-AdditionalInputs'!$D$24, '4-AdditionalInputs'!$D$24-F30, 0)</f>
        <v>0</v>
      </c>
      <c r="G31" s="108">
        <f>IF(G30&lt;'4-AdditionalInputs'!$D$24, '4-AdditionalInputs'!$D$24-G30, 0)</f>
        <v>0</v>
      </c>
      <c r="H31" s="108">
        <f>IF(H30&lt;'4-AdditionalInputs'!$D$24, '4-AdditionalInputs'!$D$24-H30, 0)</f>
        <v>0</v>
      </c>
      <c r="I31" s="108">
        <f>IF(I30&lt;'4-AdditionalInputs'!$D$24, '4-AdditionalInputs'!$D$24-I30, 0)</f>
        <v>0</v>
      </c>
      <c r="J31" s="108">
        <f>IF(J30&lt;'4-AdditionalInputs'!$D$24, '4-AdditionalInputs'!$D$24-J30, 0)</f>
        <v>0</v>
      </c>
      <c r="K31" s="108">
        <f>IF(K30&lt;'4-AdditionalInputs'!$D$24, '4-AdditionalInputs'!$D$24-K30, 0)</f>
        <v>0</v>
      </c>
      <c r="L31" s="108">
        <f>IF(L30&lt;'4-AdditionalInputs'!$D$24, '4-AdditionalInputs'!$D$24-L30, 0)</f>
        <v>0</v>
      </c>
      <c r="M31" s="108">
        <f>IF(M30&lt;'4-AdditionalInputs'!$D$24, '4-AdditionalInputs'!$D$24-M30, 0)</f>
        <v>0</v>
      </c>
      <c r="N31" s="108">
        <f>IF(N30&lt;'4-AdditionalInputs'!$D$24, '4-AdditionalInputs'!$D$24-N30, 0)</f>
        <v>0</v>
      </c>
      <c r="O31" s="227">
        <f>SUM(C31:N31)</f>
        <v>0</v>
      </c>
      <c r="P31" s="108">
        <f>IF(P30&lt;'4-AdditionalInputs'!$D$24, '4-AdditionalInputs'!$D$24-P30, 0)</f>
        <v>0</v>
      </c>
      <c r="Q31" s="108">
        <f>IF(Q30&lt;'4-AdditionalInputs'!$D$24, '4-AdditionalInputs'!$D$24-Q30, 0)</f>
        <v>0</v>
      </c>
      <c r="R31" s="108">
        <f>IF(R30&lt;'4-AdditionalInputs'!$D$24, '4-AdditionalInputs'!$D$24-R30, 0)</f>
        <v>0</v>
      </c>
      <c r="S31" s="108">
        <f>IF(S30&lt;'4-AdditionalInputs'!$D$24, '4-AdditionalInputs'!$D$24-S30, 0)</f>
        <v>0</v>
      </c>
      <c r="T31" s="108">
        <f>IF(T30&lt;'4-AdditionalInputs'!$D$24, '4-AdditionalInputs'!$D$24-T30, 0)</f>
        <v>0</v>
      </c>
      <c r="U31" s="108">
        <f>IF(U30&lt;'4-AdditionalInputs'!$D$24, '4-AdditionalInputs'!$D$24-U30, 0)</f>
        <v>0</v>
      </c>
      <c r="V31" s="108">
        <f>IF(V30&lt;'4-AdditionalInputs'!$D$24, '4-AdditionalInputs'!$D$24-V30, 0)</f>
        <v>0</v>
      </c>
      <c r="W31" s="108">
        <f>IF(W30&lt;'4-AdditionalInputs'!$D$24, '4-AdditionalInputs'!$D$24-W30, 0)</f>
        <v>0</v>
      </c>
      <c r="X31" s="108">
        <f>IF(X30&lt;'4-AdditionalInputs'!$D$24, '4-AdditionalInputs'!$D$24-X30, 0)</f>
        <v>0</v>
      </c>
      <c r="Y31" s="108">
        <f>IF(Y30&lt;'4-AdditionalInputs'!$D$24, '4-AdditionalInputs'!$D$24-Y30, 0)</f>
        <v>0</v>
      </c>
      <c r="Z31" s="108">
        <f>IF(Z30&lt;'4-AdditionalInputs'!$D$24, '4-AdditionalInputs'!$D$24-Z30, 0)</f>
        <v>0</v>
      </c>
      <c r="AA31" s="108">
        <f>IF(AA30&lt;'4-AdditionalInputs'!$D$24, '4-AdditionalInputs'!$D$24-AA30, 0)</f>
        <v>0</v>
      </c>
      <c r="AB31" s="227">
        <f>SUM(P31:AA31)</f>
        <v>0</v>
      </c>
    </row>
    <row r="32" spans="1:28" x14ac:dyDescent="0.35">
      <c r="A32" s="66" t="s">
        <v>28</v>
      </c>
      <c r="B32" s="66"/>
      <c r="C32" s="108">
        <f>SUM(C30+C31)</f>
        <v>0</v>
      </c>
      <c r="D32" s="108">
        <f t="shared" ref="D32:N32" si="11">SUM(D30+D31)</f>
        <v>0</v>
      </c>
      <c r="E32" s="108">
        <f t="shared" si="11"/>
        <v>0</v>
      </c>
      <c r="F32" s="108">
        <f t="shared" si="11"/>
        <v>0</v>
      </c>
      <c r="G32" s="108">
        <f t="shared" si="11"/>
        <v>0</v>
      </c>
      <c r="H32" s="108">
        <f t="shared" si="11"/>
        <v>0</v>
      </c>
      <c r="I32" s="108">
        <f t="shared" si="11"/>
        <v>0</v>
      </c>
      <c r="J32" s="108">
        <f t="shared" si="11"/>
        <v>0</v>
      </c>
      <c r="K32" s="108">
        <f t="shared" si="11"/>
        <v>0</v>
      </c>
      <c r="L32" s="108">
        <f t="shared" si="11"/>
        <v>0</v>
      </c>
      <c r="M32" s="108">
        <f t="shared" si="11"/>
        <v>0</v>
      </c>
      <c r="N32" s="108">
        <f t="shared" si="11"/>
        <v>0</v>
      </c>
      <c r="O32" s="66"/>
      <c r="P32" s="108">
        <f>SUM(P30+P31)</f>
        <v>0</v>
      </c>
      <c r="Q32" s="108">
        <f t="shared" ref="Q32:AA32" si="12">SUM(Q30+Q31)</f>
        <v>0</v>
      </c>
      <c r="R32" s="108">
        <f t="shared" si="12"/>
        <v>0</v>
      </c>
      <c r="S32" s="108">
        <f t="shared" si="12"/>
        <v>0</v>
      </c>
      <c r="T32" s="108">
        <f t="shared" si="12"/>
        <v>0</v>
      </c>
      <c r="U32" s="108">
        <f t="shared" si="12"/>
        <v>0</v>
      </c>
      <c r="V32" s="108">
        <f t="shared" si="12"/>
        <v>0</v>
      </c>
      <c r="W32" s="108">
        <f t="shared" si="12"/>
        <v>0</v>
      </c>
      <c r="X32" s="108">
        <f t="shared" si="12"/>
        <v>0</v>
      </c>
      <c r="Y32" s="108">
        <f t="shared" si="12"/>
        <v>0</v>
      </c>
      <c r="Z32" s="108">
        <f t="shared" si="12"/>
        <v>0</v>
      </c>
      <c r="AA32" s="108">
        <f t="shared" si="12"/>
        <v>0</v>
      </c>
      <c r="AB32" s="227"/>
    </row>
    <row r="33" spans="1:28" x14ac:dyDescent="0.35">
      <c r="A33" s="47" t="s">
        <v>201</v>
      </c>
      <c r="B33" s="47"/>
      <c r="C33" s="48">
        <f>IF(C31=0,'6a-CashFlowYear1'!N34-C26,'6a-CashFlowYear1'!N34+C31-C26)</f>
        <v>0</v>
      </c>
      <c r="D33" s="48">
        <f>D31+C33-D26</f>
        <v>0</v>
      </c>
      <c r="E33" s="48">
        <f t="shared" ref="E33:N33" si="13">E31+D33-E26</f>
        <v>0</v>
      </c>
      <c r="F33" s="48">
        <f t="shared" si="13"/>
        <v>0</v>
      </c>
      <c r="G33" s="48">
        <f t="shared" si="13"/>
        <v>0</v>
      </c>
      <c r="H33" s="48">
        <f t="shared" si="13"/>
        <v>0</v>
      </c>
      <c r="I33" s="48">
        <f t="shared" si="13"/>
        <v>0</v>
      </c>
      <c r="J33" s="48">
        <f t="shared" si="13"/>
        <v>0</v>
      </c>
      <c r="K33" s="48">
        <f t="shared" si="13"/>
        <v>0</v>
      </c>
      <c r="L33" s="48">
        <f t="shared" si="13"/>
        <v>0</v>
      </c>
      <c r="M33" s="48">
        <f t="shared" si="13"/>
        <v>0</v>
      </c>
      <c r="N33" s="48">
        <f t="shared" si="13"/>
        <v>0</v>
      </c>
      <c r="O33" s="47"/>
      <c r="P33" s="48">
        <f>IF(P31=0,N33-P26,N33+P31-P26)</f>
        <v>0</v>
      </c>
      <c r="Q33" s="48">
        <f>Q31+P33-Q26</f>
        <v>0</v>
      </c>
      <c r="R33" s="48">
        <f t="shared" ref="R33" si="14">R31+Q33-R26</f>
        <v>0</v>
      </c>
      <c r="S33" s="48">
        <f t="shared" ref="S33" si="15">S31+R33-S26</f>
        <v>0</v>
      </c>
      <c r="T33" s="48">
        <f t="shared" ref="T33" si="16">T31+S33-T26</f>
        <v>0</v>
      </c>
      <c r="U33" s="48">
        <f t="shared" ref="U33" si="17">U31+T33-U26</f>
        <v>0</v>
      </c>
      <c r="V33" s="48">
        <f t="shared" ref="V33" si="18">V31+U33-V26</f>
        <v>0</v>
      </c>
      <c r="W33" s="48">
        <f t="shared" ref="W33" si="19">W31+V33-W26</f>
        <v>0</v>
      </c>
      <c r="X33" s="48">
        <f t="shared" ref="X33" si="20">X31+W33-X26</f>
        <v>0</v>
      </c>
      <c r="Y33" s="48">
        <f t="shared" ref="Y33" si="21">Y31+X33-Y26</f>
        <v>0</v>
      </c>
      <c r="Z33" s="48">
        <f t="shared" ref="Z33" si="22">Z31+Y33-Z26</f>
        <v>0</v>
      </c>
      <c r="AA33" s="48">
        <f t="shared" ref="AA33" si="23">AA31+Z33-AA26</f>
        <v>0</v>
      </c>
      <c r="AB33" s="227"/>
    </row>
  </sheetData>
  <sheetProtection password="CC3D" sheet="1" objects="1" scenarios="1" formatColumns="0" formatRows="0"/>
  <phoneticPr fontId="3" type="noConversion"/>
  <conditionalFormatting sqref="C24:N24 C26:N27">
    <cfRule type="containsBlanks" dxfId="42" priority="23" stopIfTrue="1">
      <formula>LEN(TRIM(C24))=0</formula>
    </cfRule>
  </conditionalFormatting>
  <conditionalFormatting sqref="C28:O28">
    <cfRule type="expression" dxfId="41" priority="18" stopIfTrue="1">
      <formula>ISERROR(C28)</formula>
    </cfRule>
  </conditionalFormatting>
  <conditionalFormatting sqref="C29:N30 D7:N7 D31:N31 C23:O23">
    <cfRule type="expression" dxfId="40" priority="17" stopIfTrue="1">
      <formula>ISERROR(C7)</formula>
    </cfRule>
  </conditionalFormatting>
  <conditionalFormatting sqref="C32:N32">
    <cfRule type="expression" dxfId="39" priority="16" stopIfTrue="1">
      <formula>ISERROR(C32)</formula>
    </cfRule>
  </conditionalFormatting>
  <conditionalFormatting sqref="C31:N31">
    <cfRule type="containsBlanks" dxfId="38" priority="14">
      <formula>LEN(TRIM(C31))=0</formula>
    </cfRule>
  </conditionalFormatting>
  <conditionalFormatting sqref="P24:AA24 P26:AA27">
    <cfRule type="containsBlanks" dxfId="37" priority="25" stopIfTrue="1">
      <formula>LEN(TRIM(P24))=0</formula>
    </cfRule>
  </conditionalFormatting>
  <conditionalFormatting sqref="P28:AB28 AB29">
    <cfRule type="expression" dxfId="36" priority="11" stopIfTrue="1">
      <formula>ISERROR(P28)</formula>
    </cfRule>
  </conditionalFormatting>
  <conditionalFormatting sqref="P29:AA30 Q31:AA31 Q7:AA7">
    <cfRule type="expression" dxfId="35" priority="10" stopIfTrue="1">
      <formula>ISERROR(P7)</formula>
    </cfRule>
  </conditionalFormatting>
  <conditionalFormatting sqref="P32:AA32">
    <cfRule type="expression" dxfId="34" priority="9" stopIfTrue="1">
      <formula>ISERROR(P32)</formula>
    </cfRule>
  </conditionalFormatting>
  <conditionalFormatting sqref="AB30:AB33">
    <cfRule type="expression" dxfId="33" priority="8" stopIfTrue="1">
      <formula>ISERROR(AB30)</formula>
    </cfRule>
  </conditionalFormatting>
  <conditionalFormatting sqref="P31:AA31">
    <cfRule type="containsBlanks" dxfId="32" priority="7">
      <formula>LEN(TRIM(P31))=0</formula>
    </cfRule>
  </conditionalFormatting>
  <conditionalFormatting sqref="P23:AA23">
    <cfRule type="expression" dxfId="31" priority="5" stopIfTrue="1">
      <formula>ISERROR(P23)</formula>
    </cfRule>
  </conditionalFormatting>
  <conditionalFormatting sqref="O29">
    <cfRule type="expression" dxfId="30" priority="4" stopIfTrue="1">
      <formula>ISERROR(O29)</formula>
    </cfRule>
  </conditionalFormatting>
  <conditionalFormatting sqref="C16:N16">
    <cfRule type="containsBlanks" dxfId="29" priority="24" stopIfTrue="1">
      <formula>LEN(TRIM(C16))=0</formula>
    </cfRule>
  </conditionalFormatting>
  <conditionalFormatting sqref="P16:AA16">
    <cfRule type="containsBlanks" dxfId="28" priority="22" stopIfTrue="1">
      <formula>LEN(TRIM(P16))=0</formula>
    </cfRule>
  </conditionalFormatting>
  <conditionalFormatting sqref="O31">
    <cfRule type="expression" dxfId="27" priority="1" stopIfTrue="1">
      <formula>ISERROR(O31)</formula>
    </cfRule>
  </conditionalFormatting>
  <dataValidations disablePrompts="1" count="1">
    <dataValidation type="textLength" allowBlank="1" showInputMessage="1" showErrorMessage="1" sqref="B4" xr:uid="{00000000-0002-0000-0A00-000000000000}">
      <formula1>1</formula1>
      <formula2>15</formula2>
    </dataValidation>
  </dataValidations>
  <pageMargins left="0.7" right="0.7" top="0.75" bottom="0.75" header="0.3" footer="0.3"/>
  <pageSetup scale="71" fitToWidth="2" orientation="landscape" r:id="rId1"/>
  <headerFooter differentFirst="1" scaleWithDoc="0">
    <oddHeader>&amp;C&amp;"Gill Sans MT,Regular"&amp;12Cash Flow Forecast Years 1-3</oddHeader>
    <oddFooter>&amp;L&amp;F&amp;C&amp;A&amp;R&amp;D &amp;T</oddFooter>
    <evenHeader>&amp;C&amp;"Gill Sans MT,Regular"Cash Flow Forecast Years 1-3</evenHeader>
    <firstHeader>&amp;C&amp;"Gill Sans MT,Regular"&amp;12Cash Flow Forecast Years 1-3</firstHeader>
    <firstFooter>&amp;L&amp;F&amp;C&amp;A&amp;R&amp;D &amp;T</firstFooter>
  </headerFooter>
  <colBreaks count="1" manualBreakCount="1">
    <brk id="15" min="2" max="32" man="1"/>
  </colBreaks>
  <ignoredErrors>
    <ignoredError sqref="O31"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95B"/>
    <pageSetUpPr autoPageBreaks="0"/>
  </sheetPr>
  <dimension ref="A1:O67"/>
  <sheetViews>
    <sheetView zoomScale="70" zoomScaleNormal="70" zoomScalePageLayoutView="50" workbookViewId="0">
      <selection activeCell="B2" sqref="B2:C2"/>
    </sheetView>
  </sheetViews>
  <sheetFormatPr defaultColWidth="9.109375" defaultRowHeight="13.8" x14ac:dyDescent="0.35"/>
  <cols>
    <col min="1" max="1" width="9.109375" style="7"/>
    <col min="2" max="2" width="46.6640625" style="7" bestFit="1" customWidth="1"/>
    <col min="3" max="10" width="10.33203125" style="7" bestFit="1" customWidth="1"/>
    <col min="11" max="11" width="11.88671875" style="7" bestFit="1" customWidth="1"/>
    <col min="12" max="12" width="10.33203125" style="7" bestFit="1" customWidth="1"/>
    <col min="13" max="13" width="10" style="7" customWidth="1"/>
    <col min="14" max="14" width="11.109375" style="7" bestFit="1" customWidth="1"/>
    <col min="15" max="15" width="14.88671875" style="7" bestFit="1" customWidth="1"/>
    <col min="16" max="16384" width="9.109375" style="7"/>
  </cols>
  <sheetData>
    <row r="1" spans="2:15" x14ac:dyDescent="0.35">
      <c r="B1" s="230"/>
      <c r="C1" s="230"/>
    </row>
    <row r="2" spans="2:15" x14ac:dyDescent="0.35">
      <c r="B2" s="618" t="s">
        <v>336</v>
      </c>
      <c r="C2" s="618"/>
    </row>
    <row r="3" spans="2:15" x14ac:dyDescent="0.35">
      <c r="B3" s="231"/>
      <c r="C3" s="62"/>
      <c r="D3" s="232"/>
    </row>
    <row r="4" spans="2:15" x14ac:dyDescent="0.35">
      <c r="B4" s="233" t="s">
        <v>130</v>
      </c>
      <c r="C4" s="619" t="s">
        <v>131</v>
      </c>
      <c r="D4" s="619"/>
    </row>
    <row r="5" spans="2:15" x14ac:dyDescent="0.35">
      <c r="B5" s="333" t="str">
        <f>IF(ISBLANK(Directions!C6), "Owner", Directions!C6)</f>
        <v>Thomas Francis</v>
      </c>
      <c r="C5" s="620" t="str">
        <f>IF(ISBLANK(Directions!D6), "Company 1", Directions!D6)</f>
        <v>Project "Dogen"</v>
      </c>
      <c r="D5" s="620"/>
    </row>
    <row r="6" spans="2:15" x14ac:dyDescent="0.35">
      <c r="B6" s="234"/>
      <c r="C6" s="234"/>
    </row>
    <row r="7" spans="2:15" ht="14.4" thickBot="1" x14ac:dyDescent="0.4">
      <c r="B7" s="413"/>
      <c r="C7" s="413" t="str">
        <f>'2a-PayrollYear1'!F7</f>
        <v>June</v>
      </c>
      <c r="D7" s="413" t="str">
        <f>'2a-PayrollYear1'!G7</f>
        <v>July</v>
      </c>
      <c r="E7" s="413" t="str">
        <f>'2a-PayrollYear1'!H7</f>
        <v>August</v>
      </c>
      <c r="F7" s="413" t="str">
        <f>'2a-PayrollYear1'!I7</f>
        <v>September</v>
      </c>
      <c r="G7" s="413" t="str">
        <f>'2a-PayrollYear1'!J7</f>
        <v>October</v>
      </c>
      <c r="H7" s="413" t="str">
        <f>'2a-PayrollYear1'!K7</f>
        <v>November</v>
      </c>
      <c r="I7" s="413" t="str">
        <f>'2a-PayrollYear1'!L7</f>
        <v>December</v>
      </c>
      <c r="J7" s="413" t="str">
        <f>'2a-PayrollYear1'!M7</f>
        <v>January</v>
      </c>
      <c r="K7" s="413" t="str">
        <f>'2a-PayrollYear1'!N7</f>
        <v>February</v>
      </c>
      <c r="L7" s="413" t="str">
        <f>'2a-PayrollYear1'!O7</f>
        <v>March</v>
      </c>
      <c r="M7" s="413" t="str">
        <f>'2a-PayrollYear1'!P7</f>
        <v>April</v>
      </c>
      <c r="N7" s="413" t="str">
        <f>'2a-PayrollYear1'!Q7</f>
        <v>May</v>
      </c>
      <c r="O7" s="413" t="str">
        <f>'2a-PayrollYear1'!R7</f>
        <v>Annual Totals</v>
      </c>
    </row>
    <row r="8" spans="2:15" ht="14.4" thickTop="1" x14ac:dyDescent="0.35">
      <c r="B8" s="418" t="s">
        <v>140</v>
      </c>
      <c r="C8" s="390"/>
      <c r="D8" s="390"/>
      <c r="E8" s="390"/>
      <c r="F8" s="390"/>
      <c r="G8" s="390"/>
      <c r="H8" s="390"/>
      <c r="I8" s="390"/>
      <c r="J8" s="390"/>
      <c r="K8" s="390"/>
      <c r="L8" s="390"/>
      <c r="M8" s="390"/>
      <c r="N8" s="390"/>
      <c r="O8" s="390"/>
    </row>
    <row r="9" spans="2:15" x14ac:dyDescent="0.35">
      <c r="B9" s="235" t="str">
        <f>'3a-SalesForecastYear1'!B17</f>
        <v>Product 1</v>
      </c>
      <c r="C9" s="41">
        <f>'3a-SalesForecastYear1'!C19</f>
        <v>0</v>
      </c>
      <c r="D9" s="41">
        <f>'3a-SalesForecastYear1'!D19</f>
        <v>0</v>
      </c>
      <c r="E9" s="41">
        <f>'3a-SalesForecastYear1'!E19</f>
        <v>0</v>
      </c>
      <c r="F9" s="41">
        <f>'3a-SalesForecastYear1'!F19</f>
        <v>0</v>
      </c>
      <c r="G9" s="41">
        <f>'3a-SalesForecastYear1'!G19</f>
        <v>0</v>
      </c>
      <c r="H9" s="41">
        <f>'3a-SalesForecastYear1'!H19</f>
        <v>0</v>
      </c>
      <c r="I9" s="41">
        <f>'3a-SalesForecastYear1'!I19</f>
        <v>0</v>
      </c>
      <c r="J9" s="41">
        <f>'3a-SalesForecastYear1'!J19</f>
        <v>0</v>
      </c>
      <c r="K9" s="41">
        <f>'3a-SalesForecastYear1'!K19</f>
        <v>0</v>
      </c>
      <c r="L9" s="41">
        <f>'3a-SalesForecastYear1'!L19</f>
        <v>0</v>
      </c>
      <c r="M9" s="41">
        <f>'3a-SalesForecastYear1'!M19</f>
        <v>0</v>
      </c>
      <c r="N9" s="41">
        <f>'3a-SalesForecastYear1'!N19</f>
        <v>0</v>
      </c>
      <c r="O9" s="48">
        <f>SUM(C9:N9)</f>
        <v>0</v>
      </c>
    </row>
    <row r="10" spans="2:15" x14ac:dyDescent="0.35">
      <c r="B10" s="236" t="str">
        <f>'3a-SalesForecastYear1'!B23</f>
        <v>Product 2</v>
      </c>
      <c r="C10" s="41">
        <f>'3a-SalesForecastYear1'!C25</f>
        <v>0</v>
      </c>
      <c r="D10" s="41">
        <f>'3a-SalesForecastYear1'!D25</f>
        <v>0</v>
      </c>
      <c r="E10" s="41">
        <f>'3a-SalesForecastYear1'!E25</f>
        <v>0</v>
      </c>
      <c r="F10" s="41">
        <f>'3a-SalesForecastYear1'!F25</f>
        <v>0</v>
      </c>
      <c r="G10" s="41">
        <f>'3a-SalesForecastYear1'!G25</f>
        <v>0</v>
      </c>
      <c r="H10" s="41">
        <f>'3a-SalesForecastYear1'!H25</f>
        <v>0</v>
      </c>
      <c r="I10" s="41">
        <f>'3a-SalesForecastYear1'!I25</f>
        <v>0</v>
      </c>
      <c r="J10" s="41">
        <f>'3a-SalesForecastYear1'!J25</f>
        <v>0</v>
      </c>
      <c r="K10" s="41">
        <f>'3a-SalesForecastYear1'!K25</f>
        <v>0</v>
      </c>
      <c r="L10" s="41">
        <f>'3a-SalesForecastYear1'!L25</f>
        <v>0</v>
      </c>
      <c r="M10" s="41">
        <f>'3a-SalesForecastYear1'!M25</f>
        <v>0</v>
      </c>
      <c r="N10" s="41">
        <f>'3a-SalesForecastYear1'!N25</f>
        <v>0</v>
      </c>
      <c r="O10" s="48">
        <f t="shared" ref="O10:O15" si="0">SUM(C10:N10)</f>
        <v>0</v>
      </c>
    </row>
    <row r="11" spans="2:15" x14ac:dyDescent="0.35">
      <c r="B11" s="237" t="str">
        <f>'3a-SalesForecastYear1'!B29</f>
        <v>Product 3</v>
      </c>
      <c r="C11" s="41">
        <f>'3a-SalesForecastYear1'!C31</f>
        <v>0</v>
      </c>
      <c r="D11" s="41">
        <f>'3a-SalesForecastYear1'!D31</f>
        <v>0</v>
      </c>
      <c r="E11" s="41">
        <f>'3a-SalesForecastYear1'!E31</f>
        <v>0</v>
      </c>
      <c r="F11" s="41">
        <f>'3a-SalesForecastYear1'!F31</f>
        <v>0</v>
      </c>
      <c r="G11" s="41">
        <f>'3a-SalesForecastYear1'!G31</f>
        <v>0</v>
      </c>
      <c r="H11" s="41">
        <f>'3a-SalesForecastYear1'!H31</f>
        <v>0</v>
      </c>
      <c r="I11" s="41">
        <f>'3a-SalesForecastYear1'!I31</f>
        <v>0</v>
      </c>
      <c r="J11" s="41">
        <f>'3a-SalesForecastYear1'!J31</f>
        <v>0</v>
      </c>
      <c r="K11" s="41">
        <f>'3a-SalesForecastYear1'!K31</f>
        <v>0</v>
      </c>
      <c r="L11" s="41">
        <f>'3a-SalesForecastYear1'!L31</f>
        <v>0</v>
      </c>
      <c r="M11" s="41">
        <f>'3a-SalesForecastYear1'!M31</f>
        <v>0</v>
      </c>
      <c r="N11" s="41">
        <f>'3a-SalesForecastYear1'!N31</f>
        <v>0</v>
      </c>
      <c r="O11" s="48">
        <f t="shared" si="0"/>
        <v>0</v>
      </c>
    </row>
    <row r="12" spans="2:15" x14ac:dyDescent="0.35">
      <c r="B12" s="237" t="str">
        <f>'3a-SalesForecastYear1'!B35</f>
        <v>Product 4</v>
      </c>
      <c r="C12" s="41">
        <f>'3a-SalesForecastYear1'!C37</f>
        <v>0</v>
      </c>
      <c r="D12" s="41">
        <f>'3a-SalesForecastYear1'!D37</f>
        <v>0</v>
      </c>
      <c r="E12" s="41">
        <f>'3a-SalesForecastYear1'!E37</f>
        <v>0</v>
      </c>
      <c r="F12" s="41">
        <f>'3a-SalesForecastYear1'!F37</f>
        <v>0</v>
      </c>
      <c r="G12" s="41">
        <f>'3a-SalesForecastYear1'!G37</f>
        <v>0</v>
      </c>
      <c r="H12" s="41">
        <f>'3a-SalesForecastYear1'!H37</f>
        <v>0</v>
      </c>
      <c r="I12" s="41">
        <f>'3a-SalesForecastYear1'!I37</f>
        <v>0</v>
      </c>
      <c r="J12" s="41">
        <f>'3a-SalesForecastYear1'!J37</f>
        <v>0</v>
      </c>
      <c r="K12" s="41">
        <f>'3a-SalesForecastYear1'!K37</f>
        <v>0</v>
      </c>
      <c r="L12" s="41">
        <f>'3a-SalesForecastYear1'!L37</f>
        <v>0</v>
      </c>
      <c r="M12" s="41">
        <f>'3a-SalesForecastYear1'!M37</f>
        <v>0</v>
      </c>
      <c r="N12" s="41">
        <f>'3a-SalesForecastYear1'!N37</f>
        <v>0</v>
      </c>
      <c r="O12" s="48">
        <f t="shared" si="0"/>
        <v>0</v>
      </c>
    </row>
    <row r="13" spans="2:15" x14ac:dyDescent="0.35">
      <c r="B13" s="237" t="str">
        <f>'3a-SalesForecastYear1'!B41</f>
        <v>Product 5</v>
      </c>
      <c r="C13" s="41">
        <f>'3a-SalesForecastYear1'!C43</f>
        <v>0</v>
      </c>
      <c r="D13" s="41">
        <f>'3a-SalesForecastYear1'!D43</f>
        <v>0</v>
      </c>
      <c r="E13" s="41">
        <f>'3a-SalesForecastYear1'!E43</f>
        <v>0</v>
      </c>
      <c r="F13" s="41">
        <f>'3a-SalesForecastYear1'!F43</f>
        <v>0</v>
      </c>
      <c r="G13" s="41">
        <f>'3a-SalesForecastYear1'!G43</f>
        <v>0</v>
      </c>
      <c r="H13" s="41">
        <f>'3a-SalesForecastYear1'!H43</f>
        <v>0</v>
      </c>
      <c r="I13" s="41">
        <f>'3a-SalesForecastYear1'!I43</f>
        <v>0</v>
      </c>
      <c r="J13" s="41">
        <f>'3a-SalesForecastYear1'!J43</f>
        <v>0</v>
      </c>
      <c r="K13" s="41">
        <f>'3a-SalesForecastYear1'!K43</f>
        <v>0</v>
      </c>
      <c r="L13" s="41">
        <f>'3a-SalesForecastYear1'!L43</f>
        <v>0</v>
      </c>
      <c r="M13" s="41">
        <f>'3a-SalesForecastYear1'!M43</f>
        <v>0</v>
      </c>
      <c r="N13" s="41">
        <f>'3a-SalesForecastYear1'!N43</f>
        <v>0</v>
      </c>
      <c r="O13" s="48">
        <f t="shared" si="0"/>
        <v>0</v>
      </c>
    </row>
    <row r="14" spans="2:15" x14ac:dyDescent="0.35">
      <c r="B14" s="237" t="str">
        <f>'3a-SalesForecastYear1'!B47</f>
        <v>Product 6</v>
      </c>
      <c r="C14" s="41">
        <f>'3a-SalesForecastYear1'!C49</f>
        <v>0</v>
      </c>
      <c r="D14" s="41">
        <f>'3a-SalesForecastYear1'!D49</f>
        <v>0</v>
      </c>
      <c r="E14" s="41">
        <f>'3a-SalesForecastYear1'!E49</f>
        <v>0</v>
      </c>
      <c r="F14" s="41">
        <f>'3a-SalesForecastYear1'!F49</f>
        <v>0</v>
      </c>
      <c r="G14" s="41">
        <f>'3a-SalesForecastYear1'!G49</f>
        <v>0</v>
      </c>
      <c r="H14" s="41">
        <f>'3a-SalesForecastYear1'!H49</f>
        <v>0</v>
      </c>
      <c r="I14" s="41">
        <f>'3a-SalesForecastYear1'!I49</f>
        <v>0</v>
      </c>
      <c r="J14" s="41">
        <f>'3a-SalesForecastYear1'!J49</f>
        <v>0</v>
      </c>
      <c r="K14" s="41">
        <f>'3a-SalesForecastYear1'!K49</f>
        <v>0</v>
      </c>
      <c r="L14" s="41">
        <f>'3a-SalesForecastYear1'!L49</f>
        <v>0</v>
      </c>
      <c r="M14" s="41">
        <f>'3a-SalesForecastYear1'!M49</f>
        <v>0</v>
      </c>
      <c r="N14" s="41">
        <f>'3a-SalesForecastYear1'!N49</f>
        <v>0</v>
      </c>
      <c r="O14" s="48">
        <f t="shared" si="0"/>
        <v>0</v>
      </c>
    </row>
    <row r="15" spans="2:15" x14ac:dyDescent="0.35">
      <c r="B15" s="66" t="s">
        <v>139</v>
      </c>
      <c r="C15" s="238">
        <f>SUM(C9:C14)</f>
        <v>0</v>
      </c>
      <c r="D15" s="238">
        <f t="shared" ref="D15:N15" si="1">SUM(D9:D14)</f>
        <v>0</v>
      </c>
      <c r="E15" s="238">
        <f t="shared" si="1"/>
        <v>0</v>
      </c>
      <c r="F15" s="238">
        <f t="shared" si="1"/>
        <v>0</v>
      </c>
      <c r="G15" s="238">
        <f t="shared" si="1"/>
        <v>0</v>
      </c>
      <c r="H15" s="238">
        <f t="shared" si="1"/>
        <v>0</v>
      </c>
      <c r="I15" s="238">
        <f t="shared" si="1"/>
        <v>0</v>
      </c>
      <c r="J15" s="238">
        <f t="shared" si="1"/>
        <v>0</v>
      </c>
      <c r="K15" s="238">
        <f t="shared" si="1"/>
        <v>0</v>
      </c>
      <c r="L15" s="238">
        <f t="shared" si="1"/>
        <v>0</v>
      </c>
      <c r="M15" s="238">
        <f t="shared" si="1"/>
        <v>0</v>
      </c>
      <c r="N15" s="238">
        <f t="shared" si="1"/>
        <v>0</v>
      </c>
      <c r="O15" s="48">
        <f t="shared" si="0"/>
        <v>0</v>
      </c>
    </row>
    <row r="16" spans="2:15" x14ac:dyDescent="0.35">
      <c r="B16" s="66" t="s">
        <v>29</v>
      </c>
      <c r="C16" s="9"/>
      <c r="D16" s="9"/>
      <c r="E16" s="9"/>
      <c r="F16" s="9"/>
      <c r="G16" s="9"/>
      <c r="H16" s="9"/>
      <c r="I16" s="9"/>
      <c r="J16" s="9"/>
      <c r="K16" s="9"/>
      <c r="L16" s="9"/>
      <c r="M16" s="9"/>
      <c r="N16" s="9"/>
      <c r="O16" s="48"/>
    </row>
    <row r="17" spans="2:15" x14ac:dyDescent="0.35">
      <c r="B17" s="235" t="str">
        <f>'3a-SalesForecastYear1'!B17</f>
        <v>Product 1</v>
      </c>
      <c r="C17" s="41">
        <f>'3a-SalesForecastYear1'!C20</f>
        <v>0</v>
      </c>
      <c r="D17" s="41">
        <f>'3a-SalesForecastYear1'!D20</f>
        <v>0</v>
      </c>
      <c r="E17" s="41">
        <f>'3a-SalesForecastYear1'!E20</f>
        <v>0</v>
      </c>
      <c r="F17" s="41">
        <f>'3a-SalesForecastYear1'!F20</f>
        <v>0</v>
      </c>
      <c r="G17" s="41">
        <f>'3a-SalesForecastYear1'!G20</f>
        <v>0</v>
      </c>
      <c r="H17" s="41">
        <f>'3a-SalesForecastYear1'!H20</f>
        <v>0</v>
      </c>
      <c r="I17" s="41">
        <f>'3a-SalesForecastYear1'!I20</f>
        <v>0</v>
      </c>
      <c r="J17" s="41">
        <f>'3a-SalesForecastYear1'!J20</f>
        <v>0</v>
      </c>
      <c r="K17" s="41">
        <f>'3a-SalesForecastYear1'!K20</f>
        <v>0</v>
      </c>
      <c r="L17" s="41">
        <f>'3a-SalesForecastYear1'!L20</f>
        <v>0</v>
      </c>
      <c r="M17" s="41">
        <f>'3a-SalesForecastYear1'!M20</f>
        <v>0</v>
      </c>
      <c r="N17" s="41">
        <f>'3a-SalesForecastYear1'!N20</f>
        <v>0</v>
      </c>
      <c r="O17" s="48">
        <f>SUM(C17:N17)</f>
        <v>0</v>
      </c>
    </row>
    <row r="18" spans="2:15" x14ac:dyDescent="0.35">
      <c r="B18" s="236" t="str">
        <f>'3a-SalesForecastYear1'!B23</f>
        <v>Product 2</v>
      </c>
      <c r="C18" s="41">
        <f>'3a-SalesForecastYear1'!C26</f>
        <v>0</v>
      </c>
      <c r="D18" s="41">
        <f>'3a-SalesForecastYear1'!D26</f>
        <v>0</v>
      </c>
      <c r="E18" s="41">
        <f>'3a-SalesForecastYear1'!E26</f>
        <v>0</v>
      </c>
      <c r="F18" s="41">
        <f>'3a-SalesForecastYear1'!F26</f>
        <v>0</v>
      </c>
      <c r="G18" s="41">
        <f>'3a-SalesForecastYear1'!G26</f>
        <v>0</v>
      </c>
      <c r="H18" s="41">
        <f>'3a-SalesForecastYear1'!H26</f>
        <v>0</v>
      </c>
      <c r="I18" s="41">
        <f>'3a-SalesForecastYear1'!I26</f>
        <v>0</v>
      </c>
      <c r="J18" s="41">
        <f>'3a-SalesForecastYear1'!J26</f>
        <v>0</v>
      </c>
      <c r="K18" s="41">
        <f>'3a-SalesForecastYear1'!K26</f>
        <v>0</v>
      </c>
      <c r="L18" s="41">
        <f>'3a-SalesForecastYear1'!L26</f>
        <v>0</v>
      </c>
      <c r="M18" s="41">
        <f>'3a-SalesForecastYear1'!M26</f>
        <v>0</v>
      </c>
      <c r="N18" s="41">
        <f>'3a-SalesForecastYear1'!N26</f>
        <v>0</v>
      </c>
      <c r="O18" s="48">
        <f t="shared" ref="O18:O25" si="2">SUM(C18:N18)</f>
        <v>0</v>
      </c>
    </row>
    <row r="19" spans="2:15" x14ac:dyDescent="0.35">
      <c r="B19" s="237" t="str">
        <f>'3a-SalesForecastYear1'!B29</f>
        <v>Product 3</v>
      </c>
      <c r="C19" s="41">
        <f>'3a-SalesForecastYear1'!C32</f>
        <v>0</v>
      </c>
      <c r="D19" s="41">
        <f>'3a-SalesForecastYear1'!D32</f>
        <v>0</v>
      </c>
      <c r="E19" s="41">
        <f>'3a-SalesForecastYear1'!E32</f>
        <v>0</v>
      </c>
      <c r="F19" s="41">
        <f>'3a-SalesForecastYear1'!F32</f>
        <v>0</v>
      </c>
      <c r="G19" s="41">
        <f>'3a-SalesForecastYear1'!G32</f>
        <v>0</v>
      </c>
      <c r="H19" s="41">
        <f>'3a-SalesForecastYear1'!H32</f>
        <v>0</v>
      </c>
      <c r="I19" s="41">
        <f>'3a-SalesForecastYear1'!I32</f>
        <v>0</v>
      </c>
      <c r="J19" s="41">
        <f>'3a-SalesForecastYear1'!J32</f>
        <v>0</v>
      </c>
      <c r="K19" s="41">
        <f>'3a-SalesForecastYear1'!K32</f>
        <v>0</v>
      </c>
      <c r="L19" s="41">
        <f>'3a-SalesForecastYear1'!L32</f>
        <v>0</v>
      </c>
      <c r="M19" s="41">
        <f>'3a-SalesForecastYear1'!M32</f>
        <v>0</v>
      </c>
      <c r="N19" s="41">
        <f>'3a-SalesForecastYear1'!N32</f>
        <v>0</v>
      </c>
      <c r="O19" s="48">
        <f t="shared" si="2"/>
        <v>0</v>
      </c>
    </row>
    <row r="20" spans="2:15" x14ac:dyDescent="0.35">
      <c r="B20" s="237" t="str">
        <f>'3a-SalesForecastYear1'!B35</f>
        <v>Product 4</v>
      </c>
      <c r="C20" s="41">
        <f>'3a-SalesForecastYear1'!C38</f>
        <v>0</v>
      </c>
      <c r="D20" s="41">
        <f>'3a-SalesForecastYear1'!D38</f>
        <v>0</v>
      </c>
      <c r="E20" s="41">
        <f>'3a-SalesForecastYear1'!E38</f>
        <v>0</v>
      </c>
      <c r="F20" s="41">
        <f>'3a-SalesForecastYear1'!F38</f>
        <v>0</v>
      </c>
      <c r="G20" s="41">
        <f>'3a-SalesForecastYear1'!G38</f>
        <v>0</v>
      </c>
      <c r="H20" s="41">
        <f>'3a-SalesForecastYear1'!H38</f>
        <v>0</v>
      </c>
      <c r="I20" s="41">
        <f>'3a-SalesForecastYear1'!I38</f>
        <v>0</v>
      </c>
      <c r="J20" s="41">
        <f>'3a-SalesForecastYear1'!J38</f>
        <v>0</v>
      </c>
      <c r="K20" s="41">
        <f>'3a-SalesForecastYear1'!K38</f>
        <v>0</v>
      </c>
      <c r="L20" s="41">
        <f>'3a-SalesForecastYear1'!L38</f>
        <v>0</v>
      </c>
      <c r="M20" s="41">
        <f>'3a-SalesForecastYear1'!M38</f>
        <v>0</v>
      </c>
      <c r="N20" s="41">
        <f>'3a-SalesForecastYear1'!N38</f>
        <v>0</v>
      </c>
      <c r="O20" s="48">
        <f t="shared" si="2"/>
        <v>0</v>
      </c>
    </row>
    <row r="21" spans="2:15" x14ac:dyDescent="0.35">
      <c r="B21" s="237" t="str">
        <f>'3a-SalesForecastYear1'!B41</f>
        <v>Product 5</v>
      </c>
      <c r="C21" s="41">
        <f>'3a-SalesForecastYear1'!C44</f>
        <v>0</v>
      </c>
      <c r="D21" s="41">
        <f>'3a-SalesForecastYear1'!D44</f>
        <v>0</v>
      </c>
      <c r="E21" s="41">
        <f>'3a-SalesForecastYear1'!E44</f>
        <v>0</v>
      </c>
      <c r="F21" s="41">
        <f>'3a-SalesForecastYear1'!F44</f>
        <v>0</v>
      </c>
      <c r="G21" s="41">
        <f>'3a-SalesForecastYear1'!G44</f>
        <v>0</v>
      </c>
      <c r="H21" s="41">
        <f>'3a-SalesForecastYear1'!H44</f>
        <v>0</v>
      </c>
      <c r="I21" s="41">
        <f>'3a-SalesForecastYear1'!I44</f>
        <v>0</v>
      </c>
      <c r="J21" s="41">
        <f>'3a-SalesForecastYear1'!J44</f>
        <v>0</v>
      </c>
      <c r="K21" s="41">
        <f>'3a-SalesForecastYear1'!K44</f>
        <v>0</v>
      </c>
      <c r="L21" s="41">
        <f>'3a-SalesForecastYear1'!L44</f>
        <v>0</v>
      </c>
      <c r="M21" s="41">
        <f>'3a-SalesForecastYear1'!M44</f>
        <v>0</v>
      </c>
      <c r="N21" s="41">
        <f>'3a-SalesForecastYear1'!N44</f>
        <v>0</v>
      </c>
      <c r="O21" s="48">
        <f t="shared" si="2"/>
        <v>0</v>
      </c>
    </row>
    <row r="22" spans="2:15" x14ac:dyDescent="0.35">
      <c r="B22" s="237" t="str">
        <f>'3a-SalesForecastYear1'!B47</f>
        <v>Product 6</v>
      </c>
      <c r="C22" s="41">
        <f>'3a-SalesForecastYear1'!C50</f>
        <v>0</v>
      </c>
      <c r="D22" s="41">
        <f>'3a-SalesForecastYear1'!D50</f>
        <v>0</v>
      </c>
      <c r="E22" s="41">
        <f>'3a-SalesForecastYear1'!E50</f>
        <v>0</v>
      </c>
      <c r="F22" s="41">
        <f>'3a-SalesForecastYear1'!F50</f>
        <v>0</v>
      </c>
      <c r="G22" s="41">
        <f>'3a-SalesForecastYear1'!G50</f>
        <v>0</v>
      </c>
      <c r="H22" s="41">
        <f>'3a-SalesForecastYear1'!H50</f>
        <v>0</v>
      </c>
      <c r="I22" s="41">
        <f>'3a-SalesForecastYear1'!I50</f>
        <v>0</v>
      </c>
      <c r="J22" s="41">
        <f>'3a-SalesForecastYear1'!J50</f>
        <v>0</v>
      </c>
      <c r="K22" s="41">
        <f>'3a-SalesForecastYear1'!K50</f>
        <v>0</v>
      </c>
      <c r="L22" s="41">
        <f>'3a-SalesForecastYear1'!L50</f>
        <v>0</v>
      </c>
      <c r="M22" s="41">
        <f>'3a-SalesForecastYear1'!M50</f>
        <v>0</v>
      </c>
      <c r="N22" s="41">
        <f>'3a-SalesForecastYear1'!N50</f>
        <v>0</v>
      </c>
      <c r="O22" s="48">
        <f t="shared" si="2"/>
        <v>0</v>
      </c>
    </row>
    <row r="23" spans="2:15" x14ac:dyDescent="0.35">
      <c r="B23" s="239" t="s">
        <v>105</v>
      </c>
      <c r="C23" s="238">
        <f>SUM(C17:C22)</f>
        <v>0</v>
      </c>
      <c r="D23" s="238">
        <f t="shared" ref="D23:N23" si="3">SUM(D17:D22)</f>
        <v>0</v>
      </c>
      <c r="E23" s="238">
        <f t="shared" si="3"/>
        <v>0</v>
      </c>
      <c r="F23" s="238">
        <f t="shared" si="3"/>
        <v>0</v>
      </c>
      <c r="G23" s="238">
        <f t="shared" si="3"/>
        <v>0</v>
      </c>
      <c r="H23" s="238">
        <f t="shared" si="3"/>
        <v>0</v>
      </c>
      <c r="I23" s="238">
        <f t="shared" si="3"/>
        <v>0</v>
      </c>
      <c r="J23" s="238">
        <f t="shared" si="3"/>
        <v>0</v>
      </c>
      <c r="K23" s="238">
        <f t="shared" si="3"/>
        <v>0</v>
      </c>
      <c r="L23" s="238">
        <f t="shared" si="3"/>
        <v>0</v>
      </c>
      <c r="M23" s="238">
        <f t="shared" si="3"/>
        <v>0</v>
      </c>
      <c r="N23" s="238">
        <f t="shared" si="3"/>
        <v>0</v>
      </c>
      <c r="O23" s="48">
        <f t="shared" si="2"/>
        <v>0</v>
      </c>
    </row>
    <row r="24" spans="2:15" x14ac:dyDescent="0.35">
      <c r="B24" s="66" t="s">
        <v>136</v>
      </c>
      <c r="C24" s="238">
        <f t="shared" ref="C24:N24" si="4">C15-C23</f>
        <v>0</v>
      </c>
      <c r="D24" s="238">
        <f t="shared" si="4"/>
        <v>0</v>
      </c>
      <c r="E24" s="238">
        <f t="shared" si="4"/>
        <v>0</v>
      </c>
      <c r="F24" s="238">
        <f t="shared" si="4"/>
        <v>0</v>
      </c>
      <c r="G24" s="238">
        <f t="shared" si="4"/>
        <v>0</v>
      </c>
      <c r="H24" s="238">
        <f t="shared" si="4"/>
        <v>0</v>
      </c>
      <c r="I24" s="238">
        <f t="shared" si="4"/>
        <v>0</v>
      </c>
      <c r="J24" s="238">
        <f t="shared" si="4"/>
        <v>0</v>
      </c>
      <c r="K24" s="238">
        <f t="shared" si="4"/>
        <v>0</v>
      </c>
      <c r="L24" s="238">
        <f t="shared" si="4"/>
        <v>0</v>
      </c>
      <c r="M24" s="238">
        <f t="shared" si="4"/>
        <v>0</v>
      </c>
      <c r="N24" s="238">
        <f t="shared" si="4"/>
        <v>0</v>
      </c>
      <c r="O24" s="48">
        <f t="shared" si="2"/>
        <v>0</v>
      </c>
    </row>
    <row r="25" spans="2:15" x14ac:dyDescent="0.35">
      <c r="B25" s="66" t="s">
        <v>213</v>
      </c>
      <c r="C25" s="238">
        <f>'2a-PayrollYear1'!F25</f>
        <v>0</v>
      </c>
      <c r="D25" s="238">
        <f>'2a-PayrollYear1'!G25</f>
        <v>0</v>
      </c>
      <c r="E25" s="238">
        <f>'2a-PayrollYear1'!H25</f>
        <v>0</v>
      </c>
      <c r="F25" s="238">
        <f>'2a-PayrollYear1'!I25</f>
        <v>0</v>
      </c>
      <c r="G25" s="238">
        <f>'2a-PayrollYear1'!J25</f>
        <v>0</v>
      </c>
      <c r="H25" s="238">
        <f>'2a-PayrollYear1'!K25</f>
        <v>0</v>
      </c>
      <c r="I25" s="238">
        <f>'2a-PayrollYear1'!L25</f>
        <v>0</v>
      </c>
      <c r="J25" s="238">
        <f>'2a-PayrollYear1'!M25</f>
        <v>0</v>
      </c>
      <c r="K25" s="238">
        <f>'2a-PayrollYear1'!N25</f>
        <v>0</v>
      </c>
      <c r="L25" s="238">
        <f>'2a-PayrollYear1'!O25</f>
        <v>0</v>
      </c>
      <c r="M25" s="238">
        <f>'2a-PayrollYear1'!P25</f>
        <v>0</v>
      </c>
      <c r="N25" s="238">
        <f>'2a-PayrollYear1'!Q25</f>
        <v>0</v>
      </c>
      <c r="O25" s="48">
        <f t="shared" si="2"/>
        <v>0</v>
      </c>
    </row>
    <row r="26" spans="2:15" x14ac:dyDescent="0.35">
      <c r="B26" s="66" t="s">
        <v>137</v>
      </c>
      <c r="C26" s="9"/>
      <c r="D26" s="9"/>
      <c r="E26" s="9"/>
      <c r="F26" s="9"/>
      <c r="G26" s="9"/>
      <c r="H26" s="9"/>
      <c r="I26" s="9"/>
      <c r="J26" s="9"/>
      <c r="K26" s="9"/>
      <c r="L26" s="9"/>
      <c r="M26" s="9"/>
      <c r="N26" s="9"/>
      <c r="O26" s="48"/>
    </row>
    <row r="27" spans="2:15" x14ac:dyDescent="0.35">
      <c r="B27" s="274" t="str">
        <f>'5a-OpExYear1'!B10</f>
        <v>Advertising</v>
      </c>
      <c r="C27" s="41">
        <f>'5a-OpExYear1'!C10</f>
        <v>0</v>
      </c>
      <c r="D27" s="41">
        <f>'5a-OpExYear1'!D10</f>
        <v>0</v>
      </c>
      <c r="E27" s="41">
        <f>'5a-OpExYear1'!E10</f>
        <v>0</v>
      </c>
      <c r="F27" s="41">
        <f>'5a-OpExYear1'!F10</f>
        <v>0</v>
      </c>
      <c r="G27" s="41">
        <f>'5a-OpExYear1'!G10</f>
        <v>0</v>
      </c>
      <c r="H27" s="41">
        <f>'5a-OpExYear1'!H10</f>
        <v>0</v>
      </c>
      <c r="I27" s="41">
        <f>'5a-OpExYear1'!I10</f>
        <v>0</v>
      </c>
      <c r="J27" s="41">
        <f>'5a-OpExYear1'!J10</f>
        <v>0</v>
      </c>
      <c r="K27" s="41">
        <f>'5a-OpExYear1'!K10</f>
        <v>0</v>
      </c>
      <c r="L27" s="41">
        <f>'5a-OpExYear1'!L10</f>
        <v>0</v>
      </c>
      <c r="M27" s="41">
        <f>'5a-OpExYear1'!M10</f>
        <v>0</v>
      </c>
      <c r="N27" s="41">
        <f>'5a-OpExYear1'!N10</f>
        <v>0</v>
      </c>
      <c r="O27" s="48">
        <f>SUM(C27:N27)</f>
        <v>0</v>
      </c>
    </row>
    <row r="28" spans="2:15" x14ac:dyDescent="0.35">
      <c r="B28" s="274" t="str">
        <f>'5a-OpExYear1'!B11</f>
        <v>Car and Truck Expenses</v>
      </c>
      <c r="C28" s="41">
        <f>'5a-OpExYear1'!C11</f>
        <v>0</v>
      </c>
      <c r="D28" s="41">
        <f>'5a-OpExYear1'!D11</f>
        <v>0</v>
      </c>
      <c r="E28" s="41">
        <f>'5a-OpExYear1'!E11</f>
        <v>0</v>
      </c>
      <c r="F28" s="41">
        <f>'5a-OpExYear1'!F11</f>
        <v>0</v>
      </c>
      <c r="G28" s="41">
        <f>'5a-OpExYear1'!G11</f>
        <v>0</v>
      </c>
      <c r="H28" s="41">
        <f>'5a-OpExYear1'!H11</f>
        <v>0</v>
      </c>
      <c r="I28" s="41">
        <f>'5a-OpExYear1'!I11</f>
        <v>0</v>
      </c>
      <c r="J28" s="41">
        <f>'5a-OpExYear1'!J11</f>
        <v>0</v>
      </c>
      <c r="K28" s="41">
        <f>'5a-OpExYear1'!K11</f>
        <v>0</v>
      </c>
      <c r="L28" s="41">
        <f>'5a-OpExYear1'!L11</f>
        <v>0</v>
      </c>
      <c r="M28" s="41">
        <f>'5a-OpExYear1'!M11</f>
        <v>0</v>
      </c>
      <c r="N28" s="41">
        <f>'5a-OpExYear1'!N11</f>
        <v>0</v>
      </c>
      <c r="O28" s="48">
        <f t="shared" ref="O28:O45" si="5">SUM(C28:N28)</f>
        <v>0</v>
      </c>
    </row>
    <row r="29" spans="2:15" x14ac:dyDescent="0.35">
      <c r="B29" s="274" t="str">
        <f>'5a-OpExYear1'!B12</f>
        <v>Commissions and Fees</v>
      </c>
      <c r="C29" s="41">
        <f>'5a-OpExYear1'!C12</f>
        <v>0</v>
      </c>
      <c r="D29" s="41">
        <f>'5a-OpExYear1'!D12</f>
        <v>0</v>
      </c>
      <c r="E29" s="41">
        <f>'5a-OpExYear1'!E12</f>
        <v>0</v>
      </c>
      <c r="F29" s="41">
        <f>'5a-OpExYear1'!F12</f>
        <v>0</v>
      </c>
      <c r="G29" s="41">
        <f>'5a-OpExYear1'!G12</f>
        <v>0</v>
      </c>
      <c r="H29" s="41">
        <f>'5a-OpExYear1'!H12</f>
        <v>0</v>
      </c>
      <c r="I29" s="41">
        <f>'5a-OpExYear1'!I12</f>
        <v>0</v>
      </c>
      <c r="J29" s="41">
        <f>'5a-OpExYear1'!J12</f>
        <v>0</v>
      </c>
      <c r="K29" s="41">
        <f>'5a-OpExYear1'!K12</f>
        <v>0</v>
      </c>
      <c r="L29" s="41">
        <f>'5a-OpExYear1'!L12</f>
        <v>0</v>
      </c>
      <c r="M29" s="41">
        <f>'5a-OpExYear1'!M12</f>
        <v>0</v>
      </c>
      <c r="N29" s="41">
        <f>'5a-OpExYear1'!N12</f>
        <v>0</v>
      </c>
      <c r="O29" s="48">
        <f t="shared" si="5"/>
        <v>0</v>
      </c>
    </row>
    <row r="30" spans="2:15" x14ac:dyDescent="0.35">
      <c r="B30" s="274" t="str">
        <f>'5a-OpExYear1'!B13</f>
        <v>Contract Labor (Not included in payroll)</v>
      </c>
      <c r="C30" s="41">
        <f>'5a-OpExYear1'!C13</f>
        <v>0</v>
      </c>
      <c r="D30" s="41">
        <f>'5a-OpExYear1'!D13</f>
        <v>0</v>
      </c>
      <c r="E30" s="41">
        <f>'5a-OpExYear1'!E13</f>
        <v>0</v>
      </c>
      <c r="F30" s="41">
        <f>'5a-OpExYear1'!F13</f>
        <v>0</v>
      </c>
      <c r="G30" s="41">
        <f>'5a-OpExYear1'!G13</f>
        <v>0</v>
      </c>
      <c r="H30" s="41">
        <f>'5a-OpExYear1'!H13</f>
        <v>0</v>
      </c>
      <c r="I30" s="41">
        <f>'5a-OpExYear1'!I13</f>
        <v>0</v>
      </c>
      <c r="J30" s="41">
        <f>'5a-OpExYear1'!J13</f>
        <v>0</v>
      </c>
      <c r="K30" s="41">
        <f>'5a-OpExYear1'!K13</f>
        <v>0</v>
      </c>
      <c r="L30" s="41">
        <f>'5a-OpExYear1'!L13</f>
        <v>0</v>
      </c>
      <c r="M30" s="41">
        <f>'5a-OpExYear1'!M13</f>
        <v>0</v>
      </c>
      <c r="N30" s="41">
        <f>'5a-OpExYear1'!N13</f>
        <v>0</v>
      </c>
      <c r="O30" s="48">
        <f t="shared" si="5"/>
        <v>0</v>
      </c>
    </row>
    <row r="31" spans="2:15" x14ac:dyDescent="0.35">
      <c r="B31" s="274" t="str">
        <f>'5a-OpExYear1'!B14</f>
        <v>Insurance (other than health)</v>
      </c>
      <c r="C31" s="41">
        <f>'5a-OpExYear1'!C14</f>
        <v>0</v>
      </c>
      <c r="D31" s="41">
        <f>'5a-OpExYear1'!D14</f>
        <v>0</v>
      </c>
      <c r="E31" s="41">
        <f>'5a-OpExYear1'!E14</f>
        <v>0</v>
      </c>
      <c r="F31" s="41">
        <f>'5a-OpExYear1'!F14</f>
        <v>0</v>
      </c>
      <c r="G31" s="41">
        <f>'5a-OpExYear1'!G14</f>
        <v>0</v>
      </c>
      <c r="H31" s="41">
        <f>'5a-OpExYear1'!H14</f>
        <v>0</v>
      </c>
      <c r="I31" s="41">
        <f>'5a-OpExYear1'!I14</f>
        <v>0</v>
      </c>
      <c r="J31" s="41">
        <f>'5a-OpExYear1'!J14</f>
        <v>0</v>
      </c>
      <c r="K31" s="41">
        <f>'5a-OpExYear1'!K14</f>
        <v>0</v>
      </c>
      <c r="L31" s="41">
        <f>'5a-OpExYear1'!L14</f>
        <v>0</v>
      </c>
      <c r="M31" s="41">
        <f>'5a-OpExYear1'!M14</f>
        <v>0</v>
      </c>
      <c r="N31" s="41">
        <f>'5a-OpExYear1'!N14</f>
        <v>0</v>
      </c>
      <c r="O31" s="48">
        <f t="shared" si="5"/>
        <v>0</v>
      </c>
    </row>
    <row r="32" spans="2:15" x14ac:dyDescent="0.35">
      <c r="B32" s="274" t="str">
        <f>'5a-OpExYear1'!B15</f>
        <v>Legal and Professional Services</v>
      </c>
      <c r="C32" s="41">
        <f>'5a-OpExYear1'!C15</f>
        <v>0</v>
      </c>
      <c r="D32" s="41">
        <f>'5a-OpExYear1'!D15</f>
        <v>0</v>
      </c>
      <c r="E32" s="41">
        <f>'5a-OpExYear1'!E15</f>
        <v>0</v>
      </c>
      <c r="F32" s="41">
        <f>'5a-OpExYear1'!F15</f>
        <v>0</v>
      </c>
      <c r="G32" s="41">
        <f>'5a-OpExYear1'!G15</f>
        <v>0</v>
      </c>
      <c r="H32" s="41">
        <f>'5a-OpExYear1'!H15</f>
        <v>0</v>
      </c>
      <c r="I32" s="41">
        <f>'5a-OpExYear1'!I15</f>
        <v>0</v>
      </c>
      <c r="J32" s="41">
        <f>'5a-OpExYear1'!J15</f>
        <v>0</v>
      </c>
      <c r="K32" s="41">
        <f>'5a-OpExYear1'!K15</f>
        <v>0</v>
      </c>
      <c r="L32" s="41">
        <f>'5a-OpExYear1'!L15</f>
        <v>0</v>
      </c>
      <c r="M32" s="41">
        <f>'5a-OpExYear1'!M15</f>
        <v>0</v>
      </c>
      <c r="N32" s="41">
        <f>'5a-OpExYear1'!N15</f>
        <v>0</v>
      </c>
      <c r="O32" s="48">
        <f t="shared" si="5"/>
        <v>0</v>
      </c>
    </row>
    <row r="33" spans="2:15" x14ac:dyDescent="0.35">
      <c r="B33" s="274" t="str">
        <f>'5a-OpExYear1'!B16</f>
        <v>Licenses</v>
      </c>
      <c r="C33" s="41">
        <f>'5a-OpExYear1'!C16</f>
        <v>0</v>
      </c>
      <c r="D33" s="41">
        <f>'5a-OpExYear1'!D16</f>
        <v>0</v>
      </c>
      <c r="E33" s="41">
        <f>'5a-OpExYear1'!E16</f>
        <v>0</v>
      </c>
      <c r="F33" s="41">
        <f>'5a-OpExYear1'!F16</f>
        <v>0</v>
      </c>
      <c r="G33" s="41">
        <f>'5a-OpExYear1'!G16</f>
        <v>0</v>
      </c>
      <c r="H33" s="41">
        <f>'5a-OpExYear1'!H16</f>
        <v>0</v>
      </c>
      <c r="I33" s="41">
        <f>'5a-OpExYear1'!I16</f>
        <v>0</v>
      </c>
      <c r="J33" s="41">
        <f>'5a-OpExYear1'!J16</f>
        <v>0</v>
      </c>
      <c r="K33" s="41">
        <f>'5a-OpExYear1'!K16</f>
        <v>0</v>
      </c>
      <c r="L33" s="41">
        <f>'5a-OpExYear1'!L16</f>
        <v>0</v>
      </c>
      <c r="M33" s="41">
        <f>'5a-OpExYear1'!M16</f>
        <v>0</v>
      </c>
      <c r="N33" s="41">
        <f>'5a-OpExYear1'!N16</f>
        <v>0</v>
      </c>
      <c r="O33" s="48">
        <f t="shared" si="5"/>
        <v>0</v>
      </c>
    </row>
    <row r="34" spans="2:15" x14ac:dyDescent="0.35">
      <c r="B34" s="274" t="str">
        <f>'5a-OpExYear1'!B17</f>
        <v>Office Expense</v>
      </c>
      <c r="C34" s="41">
        <f>'5a-OpExYear1'!C17</f>
        <v>0</v>
      </c>
      <c r="D34" s="41">
        <f>'5a-OpExYear1'!D17</f>
        <v>0</v>
      </c>
      <c r="E34" s="41">
        <f>'5a-OpExYear1'!E17</f>
        <v>0</v>
      </c>
      <c r="F34" s="41">
        <f>'5a-OpExYear1'!F17</f>
        <v>0</v>
      </c>
      <c r="G34" s="41">
        <f>'5a-OpExYear1'!G17</f>
        <v>0</v>
      </c>
      <c r="H34" s="41">
        <f>'5a-OpExYear1'!H17</f>
        <v>0</v>
      </c>
      <c r="I34" s="41">
        <f>'5a-OpExYear1'!I17</f>
        <v>0</v>
      </c>
      <c r="J34" s="41">
        <f>'5a-OpExYear1'!J17</f>
        <v>0</v>
      </c>
      <c r="K34" s="41">
        <f>'5a-OpExYear1'!K17</f>
        <v>0</v>
      </c>
      <c r="L34" s="41">
        <f>'5a-OpExYear1'!L17</f>
        <v>0</v>
      </c>
      <c r="M34" s="41">
        <f>'5a-OpExYear1'!M17</f>
        <v>0</v>
      </c>
      <c r="N34" s="41">
        <f>'5a-OpExYear1'!N17</f>
        <v>0</v>
      </c>
      <c r="O34" s="48">
        <f t="shared" si="5"/>
        <v>0</v>
      </c>
    </row>
    <row r="35" spans="2:15" x14ac:dyDescent="0.35">
      <c r="B35" s="274" t="str">
        <f>'5a-OpExYear1'!B18</f>
        <v>Rent or Lease -- Vehicles, Machinery, Equipment</v>
      </c>
      <c r="C35" s="41">
        <f>'5a-OpExYear1'!C18</f>
        <v>0</v>
      </c>
      <c r="D35" s="41">
        <f>'5a-OpExYear1'!D18</f>
        <v>0</v>
      </c>
      <c r="E35" s="41">
        <f>'5a-OpExYear1'!E18</f>
        <v>0</v>
      </c>
      <c r="F35" s="41">
        <f>'5a-OpExYear1'!F18</f>
        <v>0</v>
      </c>
      <c r="G35" s="41">
        <f>'5a-OpExYear1'!G18</f>
        <v>0</v>
      </c>
      <c r="H35" s="41">
        <f>'5a-OpExYear1'!H18</f>
        <v>0</v>
      </c>
      <c r="I35" s="41">
        <f>'5a-OpExYear1'!I18</f>
        <v>0</v>
      </c>
      <c r="J35" s="41">
        <f>'5a-OpExYear1'!J18</f>
        <v>0</v>
      </c>
      <c r="K35" s="41">
        <f>'5a-OpExYear1'!K18</f>
        <v>0</v>
      </c>
      <c r="L35" s="41">
        <f>'5a-OpExYear1'!L18</f>
        <v>0</v>
      </c>
      <c r="M35" s="41">
        <f>'5a-OpExYear1'!M18</f>
        <v>0</v>
      </c>
      <c r="N35" s="41">
        <f>'5a-OpExYear1'!N18</f>
        <v>0</v>
      </c>
      <c r="O35" s="48">
        <f t="shared" si="5"/>
        <v>0</v>
      </c>
    </row>
    <row r="36" spans="2:15" x14ac:dyDescent="0.35">
      <c r="B36" s="274" t="str">
        <f>'5a-OpExYear1'!B19</f>
        <v>Rent or Lease -- Other Business Property</v>
      </c>
      <c r="C36" s="41">
        <f>'5a-OpExYear1'!C19</f>
        <v>0</v>
      </c>
      <c r="D36" s="41">
        <f>'5a-OpExYear1'!D19</f>
        <v>0</v>
      </c>
      <c r="E36" s="41">
        <f>'5a-OpExYear1'!E19</f>
        <v>0</v>
      </c>
      <c r="F36" s="41">
        <f>'5a-OpExYear1'!F19</f>
        <v>0</v>
      </c>
      <c r="G36" s="41">
        <f>'5a-OpExYear1'!G19</f>
        <v>0</v>
      </c>
      <c r="H36" s="41">
        <f>'5a-OpExYear1'!H19</f>
        <v>0</v>
      </c>
      <c r="I36" s="41">
        <f>'5a-OpExYear1'!I19</f>
        <v>0</v>
      </c>
      <c r="J36" s="41">
        <f>'5a-OpExYear1'!J19</f>
        <v>0</v>
      </c>
      <c r="K36" s="41">
        <f>'5a-OpExYear1'!K19</f>
        <v>0</v>
      </c>
      <c r="L36" s="41">
        <f>'5a-OpExYear1'!L19</f>
        <v>0</v>
      </c>
      <c r="M36" s="41">
        <f>'5a-OpExYear1'!M19</f>
        <v>0</v>
      </c>
      <c r="N36" s="41">
        <f>'5a-OpExYear1'!N19</f>
        <v>0</v>
      </c>
      <c r="O36" s="48">
        <f t="shared" si="5"/>
        <v>0</v>
      </c>
    </row>
    <row r="37" spans="2:15" x14ac:dyDescent="0.35">
      <c r="B37" s="274" t="str">
        <f>'5a-OpExYear1'!B20</f>
        <v>Repairs and Maintenance</v>
      </c>
      <c r="C37" s="41">
        <f>'5a-OpExYear1'!C20</f>
        <v>0</v>
      </c>
      <c r="D37" s="41">
        <f>'5a-OpExYear1'!D20</f>
        <v>0</v>
      </c>
      <c r="E37" s="41">
        <f>'5a-OpExYear1'!E20</f>
        <v>0</v>
      </c>
      <c r="F37" s="41">
        <f>'5a-OpExYear1'!F20</f>
        <v>0</v>
      </c>
      <c r="G37" s="41">
        <f>'5a-OpExYear1'!G20</f>
        <v>0</v>
      </c>
      <c r="H37" s="41">
        <f>'5a-OpExYear1'!H20</f>
        <v>0</v>
      </c>
      <c r="I37" s="41">
        <f>'5a-OpExYear1'!I20</f>
        <v>0</v>
      </c>
      <c r="J37" s="41">
        <f>'5a-OpExYear1'!J20</f>
        <v>0</v>
      </c>
      <c r="K37" s="41">
        <f>'5a-OpExYear1'!K20</f>
        <v>0</v>
      </c>
      <c r="L37" s="41">
        <f>'5a-OpExYear1'!L20</f>
        <v>0</v>
      </c>
      <c r="M37" s="41">
        <f>'5a-OpExYear1'!M20</f>
        <v>0</v>
      </c>
      <c r="N37" s="41">
        <f>'5a-OpExYear1'!N20</f>
        <v>0</v>
      </c>
      <c r="O37" s="48">
        <f t="shared" si="5"/>
        <v>0</v>
      </c>
    </row>
    <row r="38" spans="2:15" x14ac:dyDescent="0.35">
      <c r="B38" s="274" t="str">
        <f>'5a-OpExYear1'!B21</f>
        <v>Supplies</v>
      </c>
      <c r="C38" s="41">
        <f>'5a-OpExYear1'!C21</f>
        <v>0</v>
      </c>
      <c r="D38" s="41">
        <f>'5a-OpExYear1'!D21</f>
        <v>0</v>
      </c>
      <c r="E38" s="41">
        <f>'5a-OpExYear1'!E21</f>
        <v>0</v>
      </c>
      <c r="F38" s="41">
        <f>'5a-OpExYear1'!F21</f>
        <v>0</v>
      </c>
      <c r="G38" s="41">
        <f>'5a-OpExYear1'!G21</f>
        <v>0</v>
      </c>
      <c r="H38" s="41">
        <f>'5a-OpExYear1'!H21</f>
        <v>0</v>
      </c>
      <c r="I38" s="41">
        <f>'5a-OpExYear1'!I21</f>
        <v>0</v>
      </c>
      <c r="J38" s="41">
        <f>'5a-OpExYear1'!J21</f>
        <v>0</v>
      </c>
      <c r="K38" s="41">
        <f>'5a-OpExYear1'!K21</f>
        <v>0</v>
      </c>
      <c r="L38" s="41">
        <f>'5a-OpExYear1'!L21</f>
        <v>0</v>
      </c>
      <c r="M38" s="41">
        <f>'5a-OpExYear1'!M21</f>
        <v>0</v>
      </c>
      <c r="N38" s="41">
        <f>'5a-OpExYear1'!N21</f>
        <v>0</v>
      </c>
      <c r="O38" s="48">
        <f t="shared" si="5"/>
        <v>0</v>
      </c>
    </row>
    <row r="39" spans="2:15" x14ac:dyDescent="0.35">
      <c r="B39" s="274" t="str">
        <f>'5a-OpExYear1'!B22</f>
        <v>Travel, Meals and Entertainment</v>
      </c>
      <c r="C39" s="41">
        <f>'5a-OpExYear1'!C22</f>
        <v>0</v>
      </c>
      <c r="D39" s="41">
        <f>'5a-OpExYear1'!D22</f>
        <v>0</v>
      </c>
      <c r="E39" s="41">
        <f>'5a-OpExYear1'!E22</f>
        <v>0</v>
      </c>
      <c r="F39" s="41">
        <f>'5a-OpExYear1'!F22</f>
        <v>0</v>
      </c>
      <c r="G39" s="41">
        <f>'5a-OpExYear1'!G22</f>
        <v>0</v>
      </c>
      <c r="H39" s="41">
        <f>'5a-OpExYear1'!H22</f>
        <v>0</v>
      </c>
      <c r="I39" s="41">
        <f>'5a-OpExYear1'!I22</f>
        <v>0</v>
      </c>
      <c r="J39" s="41">
        <f>'5a-OpExYear1'!J22</f>
        <v>0</v>
      </c>
      <c r="K39" s="41">
        <f>'5a-OpExYear1'!K22</f>
        <v>0</v>
      </c>
      <c r="L39" s="41">
        <f>'5a-OpExYear1'!L22</f>
        <v>0</v>
      </c>
      <c r="M39" s="41">
        <f>'5a-OpExYear1'!M22</f>
        <v>0</v>
      </c>
      <c r="N39" s="41">
        <f>'5a-OpExYear1'!N22</f>
        <v>0</v>
      </c>
      <c r="O39" s="48">
        <f t="shared" si="5"/>
        <v>0</v>
      </c>
    </row>
    <row r="40" spans="2:15" x14ac:dyDescent="0.35">
      <c r="B40" s="274" t="str">
        <f>'5a-OpExYear1'!B23</f>
        <v>Utilities</v>
      </c>
      <c r="C40" s="41">
        <f>'5a-OpExYear1'!C23</f>
        <v>0</v>
      </c>
      <c r="D40" s="41">
        <f>'5a-OpExYear1'!D23</f>
        <v>0</v>
      </c>
      <c r="E40" s="41">
        <f>'5a-OpExYear1'!E23</f>
        <v>0</v>
      </c>
      <c r="F40" s="41">
        <f>'5a-OpExYear1'!F23</f>
        <v>0</v>
      </c>
      <c r="G40" s="41">
        <f>'5a-OpExYear1'!G23</f>
        <v>0</v>
      </c>
      <c r="H40" s="41">
        <f>'5a-OpExYear1'!H23</f>
        <v>0</v>
      </c>
      <c r="I40" s="41">
        <f>'5a-OpExYear1'!I23</f>
        <v>0</v>
      </c>
      <c r="J40" s="41">
        <f>'5a-OpExYear1'!J23</f>
        <v>0</v>
      </c>
      <c r="K40" s="41">
        <f>'5a-OpExYear1'!K23</f>
        <v>0</v>
      </c>
      <c r="L40" s="41">
        <f>'5a-OpExYear1'!L23</f>
        <v>0</v>
      </c>
      <c r="M40" s="41">
        <f>'5a-OpExYear1'!M23</f>
        <v>0</v>
      </c>
      <c r="N40" s="41">
        <f>'5a-OpExYear1'!N23</f>
        <v>0</v>
      </c>
      <c r="O40" s="48">
        <f t="shared" si="5"/>
        <v>0</v>
      </c>
    </row>
    <row r="41" spans="2:15" x14ac:dyDescent="0.35">
      <c r="B41" s="274" t="str">
        <f>'5a-OpExYear1'!B24</f>
        <v xml:space="preserve">Miscellaneous </v>
      </c>
      <c r="C41" s="41">
        <f>'5a-OpExYear1'!C24</f>
        <v>0</v>
      </c>
      <c r="D41" s="41">
        <f>'5a-OpExYear1'!D24</f>
        <v>0</v>
      </c>
      <c r="E41" s="41">
        <f>'5a-OpExYear1'!E24</f>
        <v>0</v>
      </c>
      <c r="F41" s="41">
        <f>'5a-OpExYear1'!F24</f>
        <v>0</v>
      </c>
      <c r="G41" s="41">
        <f>'5a-OpExYear1'!G24</f>
        <v>0</v>
      </c>
      <c r="H41" s="41">
        <f>'5a-OpExYear1'!H24</f>
        <v>0</v>
      </c>
      <c r="I41" s="41">
        <f>'5a-OpExYear1'!I24</f>
        <v>0</v>
      </c>
      <c r="J41" s="41">
        <f>'5a-OpExYear1'!J24</f>
        <v>0</v>
      </c>
      <c r="K41" s="41">
        <f>'5a-OpExYear1'!K24</f>
        <v>0</v>
      </c>
      <c r="L41" s="41">
        <f>'5a-OpExYear1'!L24</f>
        <v>0</v>
      </c>
      <c r="M41" s="41">
        <f>'5a-OpExYear1'!M24</f>
        <v>0</v>
      </c>
      <c r="N41" s="41">
        <f>'5a-OpExYear1'!N24</f>
        <v>0</v>
      </c>
      <c r="O41" s="48">
        <f t="shared" si="5"/>
        <v>0</v>
      </c>
    </row>
    <row r="42" spans="2:15" x14ac:dyDescent="0.35">
      <c r="B42" s="240" t="s">
        <v>275</v>
      </c>
      <c r="C42" s="41"/>
      <c r="D42" s="41"/>
      <c r="E42" s="41"/>
      <c r="F42" s="41"/>
      <c r="G42" s="41"/>
      <c r="H42" s="41"/>
      <c r="I42" s="41"/>
      <c r="J42" s="41"/>
      <c r="K42" s="41"/>
      <c r="L42" s="41"/>
      <c r="M42" s="41"/>
      <c r="N42" s="41"/>
      <c r="O42" s="48"/>
    </row>
    <row r="43" spans="2:15" x14ac:dyDescent="0.35">
      <c r="B43" s="240" t="s">
        <v>276</v>
      </c>
      <c r="C43" s="41"/>
      <c r="D43" s="41"/>
      <c r="E43" s="41"/>
      <c r="F43" s="41"/>
      <c r="G43" s="41"/>
      <c r="H43" s="41"/>
      <c r="I43" s="41"/>
      <c r="J43" s="41"/>
      <c r="K43" s="41"/>
      <c r="L43" s="41"/>
      <c r="M43" s="41"/>
      <c r="N43" s="41"/>
      <c r="O43" s="48"/>
    </row>
    <row r="44" spans="2:15" x14ac:dyDescent="0.35">
      <c r="B44" s="241" t="s">
        <v>229</v>
      </c>
      <c r="C44" s="238">
        <f>SUM(C27:C43)</f>
        <v>0</v>
      </c>
      <c r="D44" s="238">
        <f t="shared" ref="D44:N44" si="6">SUM(D27:D43)</f>
        <v>0</v>
      </c>
      <c r="E44" s="238">
        <f t="shared" si="6"/>
        <v>0</v>
      </c>
      <c r="F44" s="238">
        <f t="shared" si="6"/>
        <v>0</v>
      </c>
      <c r="G44" s="238">
        <f t="shared" si="6"/>
        <v>0</v>
      </c>
      <c r="H44" s="238">
        <f t="shared" si="6"/>
        <v>0</v>
      </c>
      <c r="I44" s="238">
        <f t="shared" si="6"/>
        <v>0</v>
      </c>
      <c r="J44" s="238">
        <f t="shared" si="6"/>
        <v>0</v>
      </c>
      <c r="K44" s="238">
        <f t="shared" si="6"/>
        <v>0</v>
      </c>
      <c r="L44" s="238">
        <f t="shared" si="6"/>
        <v>0</v>
      </c>
      <c r="M44" s="238">
        <f t="shared" si="6"/>
        <v>0</v>
      </c>
      <c r="N44" s="238">
        <f t="shared" si="6"/>
        <v>0</v>
      </c>
      <c r="O44" s="48">
        <f t="shared" si="5"/>
        <v>0</v>
      </c>
    </row>
    <row r="45" spans="2:15" x14ac:dyDescent="0.35">
      <c r="B45" s="241" t="s">
        <v>348</v>
      </c>
      <c r="C45" s="238">
        <f>C24-C25-C44</f>
        <v>0</v>
      </c>
      <c r="D45" s="238">
        <f t="shared" ref="D45:N45" si="7">+D24-D25-D44</f>
        <v>0</v>
      </c>
      <c r="E45" s="238">
        <f t="shared" si="7"/>
        <v>0</v>
      </c>
      <c r="F45" s="238">
        <f t="shared" si="7"/>
        <v>0</v>
      </c>
      <c r="G45" s="238">
        <f t="shared" si="7"/>
        <v>0</v>
      </c>
      <c r="H45" s="238">
        <f t="shared" si="7"/>
        <v>0</v>
      </c>
      <c r="I45" s="238">
        <f t="shared" si="7"/>
        <v>0</v>
      </c>
      <c r="J45" s="238">
        <f t="shared" si="7"/>
        <v>0</v>
      </c>
      <c r="K45" s="238">
        <f t="shared" si="7"/>
        <v>0</v>
      </c>
      <c r="L45" s="238">
        <f t="shared" si="7"/>
        <v>0</v>
      </c>
      <c r="M45" s="238">
        <f t="shared" si="7"/>
        <v>0</v>
      </c>
      <c r="N45" s="238">
        <f t="shared" si="7"/>
        <v>0</v>
      </c>
      <c r="O45" s="48">
        <f t="shared" si="5"/>
        <v>0</v>
      </c>
    </row>
    <row r="46" spans="2:15" x14ac:dyDescent="0.35">
      <c r="B46" s="242" t="s">
        <v>144</v>
      </c>
      <c r="C46" s="9"/>
      <c r="D46" s="9"/>
      <c r="E46" s="9"/>
      <c r="F46" s="9"/>
      <c r="G46" s="9"/>
      <c r="H46" s="9"/>
      <c r="I46" s="9"/>
      <c r="J46" s="9"/>
      <c r="K46" s="9"/>
      <c r="L46" s="9"/>
      <c r="M46" s="9"/>
      <c r="N46" s="9"/>
      <c r="O46" s="48"/>
    </row>
    <row r="47" spans="2:15" x14ac:dyDescent="0.35">
      <c r="B47" s="243" t="s">
        <v>293</v>
      </c>
      <c r="C47" s="41">
        <f>+'Amortization&amp;Depreciation'!C138+'Amortization&amp;Depreciation'!C149</f>
        <v>0</v>
      </c>
      <c r="D47" s="41">
        <f>+'Amortization&amp;Depreciation'!D138+'Amortization&amp;Depreciation'!D149</f>
        <v>0</v>
      </c>
      <c r="E47" s="41">
        <f>+'Amortization&amp;Depreciation'!E138+'Amortization&amp;Depreciation'!E149</f>
        <v>0</v>
      </c>
      <c r="F47" s="41">
        <f>+'Amortization&amp;Depreciation'!F138+'Amortization&amp;Depreciation'!F149</f>
        <v>0</v>
      </c>
      <c r="G47" s="41">
        <f>+'Amortization&amp;Depreciation'!G138+'Amortization&amp;Depreciation'!G149</f>
        <v>0</v>
      </c>
      <c r="H47" s="41">
        <f>+'Amortization&amp;Depreciation'!H138+'Amortization&amp;Depreciation'!H149</f>
        <v>0</v>
      </c>
      <c r="I47" s="41">
        <f>+'Amortization&amp;Depreciation'!I138+'Amortization&amp;Depreciation'!I149</f>
        <v>0</v>
      </c>
      <c r="J47" s="41">
        <f>+'Amortization&amp;Depreciation'!J138+'Amortization&amp;Depreciation'!J149</f>
        <v>0</v>
      </c>
      <c r="K47" s="41">
        <f>+'Amortization&amp;Depreciation'!K138+'Amortization&amp;Depreciation'!K149</f>
        <v>0</v>
      </c>
      <c r="L47" s="41">
        <f>+'Amortization&amp;Depreciation'!L138+'Amortization&amp;Depreciation'!L149</f>
        <v>0</v>
      </c>
      <c r="M47" s="41">
        <f>+'Amortization&amp;Depreciation'!M138+'Amortization&amp;Depreciation'!M149</f>
        <v>0</v>
      </c>
      <c r="N47" s="41">
        <f>+'Amortization&amp;Depreciation'!N138+'Amortization&amp;Depreciation'!N149</f>
        <v>0</v>
      </c>
      <c r="O47" s="48">
        <f>SUM(C47:N47)</f>
        <v>0</v>
      </c>
    </row>
    <row r="48" spans="2:15" x14ac:dyDescent="0.35">
      <c r="B48" s="243" t="s">
        <v>31</v>
      </c>
      <c r="C48" s="41">
        <f>'Amortization&amp;Depreciation'!C119</f>
        <v>0</v>
      </c>
      <c r="D48" s="41">
        <f>+'Amortization&amp;Depreciation'!D119</f>
        <v>0</v>
      </c>
      <c r="E48" s="41">
        <f>+'Amortization&amp;Depreciation'!E119</f>
        <v>0</v>
      </c>
      <c r="F48" s="41">
        <f>+'Amortization&amp;Depreciation'!F119</f>
        <v>0</v>
      </c>
      <c r="G48" s="41">
        <f>+'Amortization&amp;Depreciation'!G119</f>
        <v>0</v>
      </c>
      <c r="H48" s="41">
        <f>+'Amortization&amp;Depreciation'!H119</f>
        <v>0</v>
      </c>
      <c r="I48" s="41">
        <f>+'Amortization&amp;Depreciation'!I119</f>
        <v>0</v>
      </c>
      <c r="J48" s="41">
        <f>+'Amortization&amp;Depreciation'!J119</f>
        <v>0</v>
      </c>
      <c r="K48" s="41">
        <f>+'Amortization&amp;Depreciation'!K119</f>
        <v>0</v>
      </c>
      <c r="L48" s="41">
        <f>+'Amortization&amp;Depreciation'!L119</f>
        <v>0</v>
      </c>
      <c r="M48" s="41">
        <f>+'Amortization&amp;Depreciation'!M119</f>
        <v>0</v>
      </c>
      <c r="N48" s="41">
        <f>+'Amortization&amp;Depreciation'!N119</f>
        <v>0</v>
      </c>
      <c r="O48" s="48">
        <f>SUM(C48:N48)</f>
        <v>0</v>
      </c>
    </row>
    <row r="49" spans="1:15" x14ac:dyDescent="0.35">
      <c r="B49" s="243" t="s">
        <v>58</v>
      </c>
      <c r="C49" s="40"/>
      <c r="D49" s="40"/>
      <c r="E49" s="40"/>
      <c r="F49" s="40"/>
      <c r="G49" s="40"/>
      <c r="H49" s="40"/>
      <c r="I49" s="40"/>
      <c r="J49" s="40"/>
      <c r="K49" s="40"/>
      <c r="L49" s="40"/>
      <c r="M49" s="40"/>
      <c r="N49" s="40"/>
      <c r="O49" s="48"/>
    </row>
    <row r="50" spans="1:15" x14ac:dyDescent="0.35">
      <c r="B50" s="244" t="s">
        <v>54</v>
      </c>
      <c r="C50" s="41">
        <f>+'Amortization&amp;Depreciation'!C15</f>
        <v>0</v>
      </c>
      <c r="D50" s="41">
        <f>+'Amortization&amp;Depreciation'!D15</f>
        <v>0</v>
      </c>
      <c r="E50" s="41">
        <f>+'Amortization&amp;Depreciation'!E15</f>
        <v>0</v>
      </c>
      <c r="F50" s="41">
        <f>+'Amortization&amp;Depreciation'!F15</f>
        <v>0</v>
      </c>
      <c r="G50" s="41">
        <f>+'Amortization&amp;Depreciation'!G15</f>
        <v>0</v>
      </c>
      <c r="H50" s="41">
        <f>+'Amortization&amp;Depreciation'!H15</f>
        <v>0</v>
      </c>
      <c r="I50" s="41">
        <f>+'Amortization&amp;Depreciation'!I15</f>
        <v>0</v>
      </c>
      <c r="J50" s="41">
        <f>+'Amortization&amp;Depreciation'!J15</f>
        <v>0</v>
      </c>
      <c r="K50" s="41">
        <f>+'Amortization&amp;Depreciation'!K15</f>
        <v>0</v>
      </c>
      <c r="L50" s="41">
        <f>+'Amortization&amp;Depreciation'!L15</f>
        <v>0</v>
      </c>
      <c r="M50" s="41">
        <f>+'Amortization&amp;Depreciation'!M15</f>
        <v>0</v>
      </c>
      <c r="N50" s="41">
        <f>+'Amortization&amp;Depreciation'!N15</f>
        <v>0</v>
      </c>
      <c r="O50" s="48">
        <f t="shared" ref="O50:O59" si="8">SUM(C50:N50)</f>
        <v>0</v>
      </c>
    </row>
    <row r="51" spans="1:15" x14ac:dyDescent="0.35">
      <c r="B51" s="244" t="s">
        <v>55</v>
      </c>
      <c r="C51" s="41">
        <f>+'Amortization&amp;Depreciation'!C35</f>
        <v>0</v>
      </c>
      <c r="D51" s="41">
        <f>+'Amortization&amp;Depreciation'!D35</f>
        <v>0</v>
      </c>
      <c r="E51" s="41">
        <f>+'Amortization&amp;Depreciation'!E35</f>
        <v>0</v>
      </c>
      <c r="F51" s="41">
        <f>+'Amortization&amp;Depreciation'!F35</f>
        <v>0</v>
      </c>
      <c r="G51" s="41">
        <f>+'Amortization&amp;Depreciation'!G35</f>
        <v>0</v>
      </c>
      <c r="H51" s="41">
        <f>+'Amortization&amp;Depreciation'!H35</f>
        <v>0</v>
      </c>
      <c r="I51" s="41">
        <f>+'Amortization&amp;Depreciation'!I35</f>
        <v>0</v>
      </c>
      <c r="J51" s="41">
        <f>+'Amortization&amp;Depreciation'!J35</f>
        <v>0</v>
      </c>
      <c r="K51" s="41">
        <f>+'Amortization&amp;Depreciation'!K35</f>
        <v>0</v>
      </c>
      <c r="L51" s="41">
        <f>+'Amortization&amp;Depreciation'!L35</f>
        <v>0</v>
      </c>
      <c r="M51" s="41">
        <f>+'Amortization&amp;Depreciation'!M35</f>
        <v>0</v>
      </c>
      <c r="N51" s="41">
        <f>+'Amortization&amp;Depreciation'!N35</f>
        <v>0</v>
      </c>
      <c r="O51" s="48">
        <f t="shared" si="8"/>
        <v>0</v>
      </c>
    </row>
    <row r="52" spans="1:15" x14ac:dyDescent="0.35">
      <c r="B52" s="244" t="s">
        <v>146</v>
      </c>
      <c r="C52" s="41">
        <f>+'Amortization&amp;Depreciation'!C55</f>
        <v>0</v>
      </c>
      <c r="D52" s="41">
        <f>+'Amortization&amp;Depreciation'!D55</f>
        <v>0</v>
      </c>
      <c r="E52" s="41">
        <f>+'Amortization&amp;Depreciation'!E55</f>
        <v>0</v>
      </c>
      <c r="F52" s="41">
        <f>+'Amortization&amp;Depreciation'!F55</f>
        <v>0</v>
      </c>
      <c r="G52" s="41">
        <f>+'Amortization&amp;Depreciation'!G55</f>
        <v>0</v>
      </c>
      <c r="H52" s="41">
        <f>+'Amortization&amp;Depreciation'!H55</f>
        <v>0</v>
      </c>
      <c r="I52" s="41">
        <f>+'Amortization&amp;Depreciation'!I55</f>
        <v>0</v>
      </c>
      <c r="J52" s="41">
        <f>+'Amortization&amp;Depreciation'!J55</f>
        <v>0</v>
      </c>
      <c r="K52" s="41">
        <f>+'Amortization&amp;Depreciation'!K55</f>
        <v>0</v>
      </c>
      <c r="L52" s="41">
        <f>+'Amortization&amp;Depreciation'!L55</f>
        <v>0</v>
      </c>
      <c r="M52" s="41">
        <f>+'Amortization&amp;Depreciation'!M55</f>
        <v>0</v>
      </c>
      <c r="N52" s="41">
        <f>+'Amortization&amp;Depreciation'!N55</f>
        <v>0</v>
      </c>
      <c r="O52" s="48">
        <f t="shared" si="8"/>
        <v>0</v>
      </c>
    </row>
    <row r="53" spans="1:15" x14ac:dyDescent="0.35">
      <c r="B53" s="244" t="s">
        <v>147</v>
      </c>
      <c r="C53" s="41">
        <f>+'Amortization&amp;Depreciation'!C75</f>
        <v>0</v>
      </c>
      <c r="D53" s="41">
        <f>+'Amortization&amp;Depreciation'!D75</f>
        <v>0</v>
      </c>
      <c r="E53" s="41">
        <f>+'Amortization&amp;Depreciation'!E75</f>
        <v>0</v>
      </c>
      <c r="F53" s="41">
        <f>+'Amortization&amp;Depreciation'!F75</f>
        <v>0</v>
      </c>
      <c r="G53" s="41">
        <f>+'Amortization&amp;Depreciation'!G75</f>
        <v>0</v>
      </c>
      <c r="H53" s="41">
        <f>+'Amortization&amp;Depreciation'!H75</f>
        <v>0</v>
      </c>
      <c r="I53" s="41">
        <f>+'Amortization&amp;Depreciation'!I75</f>
        <v>0</v>
      </c>
      <c r="J53" s="41">
        <f>+'Amortization&amp;Depreciation'!J75</f>
        <v>0</v>
      </c>
      <c r="K53" s="41">
        <f>+'Amortization&amp;Depreciation'!K75</f>
        <v>0</v>
      </c>
      <c r="L53" s="41">
        <f>+'Amortization&amp;Depreciation'!L75</f>
        <v>0</v>
      </c>
      <c r="M53" s="41">
        <f>+'Amortization&amp;Depreciation'!M75</f>
        <v>0</v>
      </c>
      <c r="N53" s="41">
        <f>+'Amortization&amp;Depreciation'!N75</f>
        <v>0</v>
      </c>
      <c r="O53" s="48">
        <f>SUM(C53:N53)</f>
        <v>0</v>
      </c>
    </row>
    <row r="54" spans="1:15" x14ac:dyDescent="0.35">
      <c r="B54" s="244" t="s">
        <v>148</v>
      </c>
      <c r="C54" s="41">
        <f>+'Amortization&amp;Depreciation'!C95</f>
        <v>0</v>
      </c>
      <c r="D54" s="41">
        <f>+'Amortization&amp;Depreciation'!D95</f>
        <v>0</v>
      </c>
      <c r="E54" s="41">
        <f>+'Amortization&amp;Depreciation'!E95</f>
        <v>0</v>
      </c>
      <c r="F54" s="41">
        <f>+'Amortization&amp;Depreciation'!F95</f>
        <v>0</v>
      </c>
      <c r="G54" s="41">
        <f>+'Amortization&amp;Depreciation'!G95</f>
        <v>0</v>
      </c>
      <c r="H54" s="41">
        <f>+'Amortization&amp;Depreciation'!H95</f>
        <v>0</v>
      </c>
      <c r="I54" s="41">
        <f>+'Amortization&amp;Depreciation'!I95</f>
        <v>0</v>
      </c>
      <c r="J54" s="41">
        <f>+'Amortization&amp;Depreciation'!J95</f>
        <v>0</v>
      </c>
      <c r="K54" s="41">
        <f>+'Amortization&amp;Depreciation'!K95</f>
        <v>0</v>
      </c>
      <c r="L54" s="41">
        <f>+'Amortization&amp;Depreciation'!L95</f>
        <v>0</v>
      </c>
      <c r="M54" s="41">
        <f>+'Amortization&amp;Depreciation'!M95</f>
        <v>0</v>
      </c>
      <c r="N54" s="41">
        <f>+'Amortization&amp;Depreciation'!N95</f>
        <v>0</v>
      </c>
      <c r="O54" s="48">
        <f t="shared" si="8"/>
        <v>0</v>
      </c>
    </row>
    <row r="55" spans="1:15" x14ac:dyDescent="0.35">
      <c r="B55" s="244" t="s">
        <v>285</v>
      </c>
      <c r="C55" s="41">
        <f>'6a-CashFlowYear1'!C26</f>
        <v>0</v>
      </c>
      <c r="D55" s="41">
        <f>+'6a-CashFlowYear1'!D26</f>
        <v>0</v>
      </c>
      <c r="E55" s="41">
        <f>+'6a-CashFlowYear1'!E26</f>
        <v>0</v>
      </c>
      <c r="F55" s="41">
        <f>+'6a-CashFlowYear1'!F26</f>
        <v>0</v>
      </c>
      <c r="G55" s="41">
        <f>+'6a-CashFlowYear1'!G26</f>
        <v>0</v>
      </c>
      <c r="H55" s="41">
        <f>+'6a-CashFlowYear1'!H26</f>
        <v>0</v>
      </c>
      <c r="I55" s="41">
        <f>+'6a-CashFlowYear1'!I26</f>
        <v>0</v>
      </c>
      <c r="J55" s="41">
        <f>+'6a-CashFlowYear1'!J26</f>
        <v>0</v>
      </c>
      <c r="K55" s="41">
        <f>+'6a-CashFlowYear1'!K26</f>
        <v>0</v>
      </c>
      <c r="L55" s="41">
        <f>+'6a-CashFlowYear1'!L26</f>
        <v>0</v>
      </c>
      <c r="M55" s="41">
        <f>+'6a-CashFlowYear1'!M26</f>
        <v>0</v>
      </c>
      <c r="N55" s="41">
        <f>+'6a-CashFlowYear1'!N26</f>
        <v>0</v>
      </c>
      <c r="O55" s="48">
        <f t="shared" si="8"/>
        <v>0</v>
      </c>
    </row>
    <row r="56" spans="1:15" x14ac:dyDescent="0.35">
      <c r="B56" s="243" t="s">
        <v>284</v>
      </c>
      <c r="C56" s="41">
        <f>+'3a-SalesForecastYear1'!C53*'4-AdditionalInputs'!$C$12</f>
        <v>0</v>
      </c>
      <c r="D56" s="41">
        <f>+'3a-SalesForecastYear1'!D53*'4-AdditionalInputs'!$C$12</f>
        <v>0</v>
      </c>
      <c r="E56" s="41">
        <f>+'3a-SalesForecastYear1'!E53*'4-AdditionalInputs'!$C$12</f>
        <v>0</v>
      </c>
      <c r="F56" s="41">
        <f>+'3a-SalesForecastYear1'!F53*'4-AdditionalInputs'!$C$12</f>
        <v>0</v>
      </c>
      <c r="G56" s="41">
        <f>+'3a-SalesForecastYear1'!G53*'4-AdditionalInputs'!$C$12</f>
        <v>0</v>
      </c>
      <c r="H56" s="41">
        <f>+'3a-SalesForecastYear1'!H53*'4-AdditionalInputs'!$C$12</f>
        <v>0</v>
      </c>
      <c r="I56" s="41">
        <f>+'3a-SalesForecastYear1'!I53*'4-AdditionalInputs'!$C$12</f>
        <v>0</v>
      </c>
      <c r="J56" s="41">
        <f>+'3a-SalesForecastYear1'!J53*'4-AdditionalInputs'!$C$12</f>
        <v>0</v>
      </c>
      <c r="K56" s="41">
        <f>+'3a-SalesForecastYear1'!K53*'4-AdditionalInputs'!$C$12</f>
        <v>0</v>
      </c>
      <c r="L56" s="41">
        <f>+'3a-SalesForecastYear1'!L53*'4-AdditionalInputs'!$C$12</f>
        <v>0</v>
      </c>
      <c r="M56" s="41">
        <f>+'3a-SalesForecastYear1'!M53*'4-AdditionalInputs'!$C$12</f>
        <v>0</v>
      </c>
      <c r="N56" s="41">
        <f>+'3a-SalesForecastYear1'!N53*'4-AdditionalInputs'!$C$12</f>
        <v>0</v>
      </c>
      <c r="O56" s="48">
        <f t="shared" si="8"/>
        <v>0</v>
      </c>
    </row>
    <row r="57" spans="1:15" x14ac:dyDescent="0.35">
      <c r="B57" s="241" t="s">
        <v>160</v>
      </c>
      <c r="C57" s="41">
        <f>SUM(C47:C56)</f>
        <v>0</v>
      </c>
      <c r="D57" s="41">
        <f t="shared" ref="D57:N57" si="9">SUM(D47:D56)</f>
        <v>0</v>
      </c>
      <c r="E57" s="41">
        <f t="shared" si="9"/>
        <v>0</v>
      </c>
      <c r="F57" s="41">
        <f t="shared" si="9"/>
        <v>0</v>
      </c>
      <c r="G57" s="41">
        <f t="shared" si="9"/>
        <v>0</v>
      </c>
      <c r="H57" s="41">
        <f t="shared" si="9"/>
        <v>0</v>
      </c>
      <c r="I57" s="41">
        <f t="shared" si="9"/>
        <v>0</v>
      </c>
      <c r="J57" s="41">
        <f t="shared" si="9"/>
        <v>0</v>
      </c>
      <c r="K57" s="41">
        <f t="shared" si="9"/>
        <v>0</v>
      </c>
      <c r="L57" s="41">
        <f t="shared" si="9"/>
        <v>0</v>
      </c>
      <c r="M57" s="41">
        <f t="shared" si="9"/>
        <v>0</v>
      </c>
      <c r="N57" s="41">
        <f t="shared" si="9"/>
        <v>0</v>
      </c>
      <c r="O57" s="48">
        <f t="shared" si="8"/>
        <v>0</v>
      </c>
    </row>
    <row r="58" spans="1:15" x14ac:dyDescent="0.35">
      <c r="B58" s="66" t="s">
        <v>237</v>
      </c>
      <c r="C58" s="48">
        <f t="shared" ref="C58:N58" si="10">C24-C25-C44-C57</f>
        <v>0</v>
      </c>
      <c r="D58" s="48">
        <f t="shared" si="10"/>
        <v>0</v>
      </c>
      <c r="E58" s="48">
        <f t="shared" si="10"/>
        <v>0</v>
      </c>
      <c r="F58" s="48">
        <f t="shared" si="10"/>
        <v>0</v>
      </c>
      <c r="G58" s="48">
        <f t="shared" si="10"/>
        <v>0</v>
      </c>
      <c r="H58" s="48">
        <f t="shared" si="10"/>
        <v>0</v>
      </c>
      <c r="I58" s="48">
        <f t="shared" si="10"/>
        <v>0</v>
      </c>
      <c r="J58" s="48">
        <f t="shared" si="10"/>
        <v>0</v>
      </c>
      <c r="K58" s="48">
        <f t="shared" si="10"/>
        <v>0</v>
      </c>
      <c r="L58" s="48">
        <f t="shared" si="10"/>
        <v>0</v>
      </c>
      <c r="M58" s="48">
        <f t="shared" si="10"/>
        <v>0</v>
      </c>
      <c r="N58" s="48">
        <f t="shared" si="10"/>
        <v>0</v>
      </c>
      <c r="O58" s="48">
        <f t="shared" si="8"/>
        <v>0</v>
      </c>
    </row>
    <row r="59" spans="1:15" x14ac:dyDescent="0.35">
      <c r="B59" s="47" t="s">
        <v>238</v>
      </c>
      <c r="C59" s="245">
        <f>IF(C65&gt;0,C64*'4-AdditionalInputs'!$C$39,0)</f>
        <v>0</v>
      </c>
      <c r="D59" s="245">
        <f>+IF(D65&gt;0,IF(C65&lt;0,(D64-ABS(C65))*'4-AdditionalInputs'!$C$39,'7a-IncomeStatementYear1'!D64*'4-AdditionalInputs'!$C$39),IF('7a-IncomeStatementYear1'!C65&gt;0,-'7a-IncomeStatementYear1'!C65*'4-AdditionalInputs'!$C$39,0))</f>
        <v>0</v>
      </c>
      <c r="E59" s="245">
        <f>+IF(E65&gt;0,IF(D65&lt;0,(E64-ABS(D65))*'4-AdditionalInputs'!$C$39,'7a-IncomeStatementYear1'!E64*'4-AdditionalInputs'!$C$39),IF('7a-IncomeStatementYear1'!D65&gt;0,-'7a-IncomeStatementYear1'!D65*'4-AdditionalInputs'!$C$39,0))</f>
        <v>0</v>
      </c>
      <c r="F59" s="245">
        <f>+IF(F65&gt;0,IF(E65&lt;0,(F64-ABS(E65))*'4-AdditionalInputs'!$C$39,'7a-IncomeStatementYear1'!F64*'4-AdditionalInputs'!$C$39),IF('7a-IncomeStatementYear1'!E65&gt;0,-'7a-IncomeStatementYear1'!E65*'4-AdditionalInputs'!$C$39,0))</f>
        <v>0</v>
      </c>
      <c r="G59" s="245">
        <f>+IF(G65&gt;0,IF(F65&lt;0,(G64-ABS(F65))*'4-AdditionalInputs'!$C$39,'7a-IncomeStatementYear1'!G64*'4-AdditionalInputs'!$C$39),IF('7a-IncomeStatementYear1'!F65&gt;0,-'7a-IncomeStatementYear1'!F65*'4-AdditionalInputs'!$C$39,0))</f>
        <v>0</v>
      </c>
      <c r="H59" s="245">
        <f>+IF(H65&gt;0,IF(G65&lt;0,(H64-ABS(G65))*'4-AdditionalInputs'!$C$39,'7a-IncomeStatementYear1'!H64*'4-AdditionalInputs'!$C$39),IF('7a-IncomeStatementYear1'!G65&gt;0,-'7a-IncomeStatementYear1'!G65*'4-AdditionalInputs'!$C$39,0))</f>
        <v>0</v>
      </c>
      <c r="I59" s="245">
        <f>+IF(I65&gt;0,IF(H65&lt;0,(I64-ABS(H65))*'4-AdditionalInputs'!$C$39,'7a-IncomeStatementYear1'!I64*'4-AdditionalInputs'!$C$39),IF('7a-IncomeStatementYear1'!H65&gt;0,-'7a-IncomeStatementYear1'!H65*'4-AdditionalInputs'!$C$39,0))</f>
        <v>0</v>
      </c>
      <c r="J59" s="245">
        <f>+IF(J65&gt;0,IF(I65&lt;0,(J64-ABS(I65))*'4-AdditionalInputs'!$C$39,'7a-IncomeStatementYear1'!J64*'4-AdditionalInputs'!$C$39),IF('7a-IncomeStatementYear1'!I65&gt;0,-'7a-IncomeStatementYear1'!I65*'4-AdditionalInputs'!$C$39,0))</f>
        <v>0</v>
      </c>
      <c r="K59" s="245">
        <f>+IF(K65&gt;0,IF(J65&lt;0,(K64-ABS(J65))*'4-AdditionalInputs'!$C$39,'7a-IncomeStatementYear1'!K64*'4-AdditionalInputs'!$C$39),IF('7a-IncomeStatementYear1'!J65&gt;0,-'7a-IncomeStatementYear1'!J65*'4-AdditionalInputs'!$C$39,0))</f>
        <v>0</v>
      </c>
      <c r="L59" s="245">
        <f>+IF(L65&gt;0,IF(K65&lt;0,(L64-ABS(K65))*'4-AdditionalInputs'!$C$39,'7a-IncomeStatementYear1'!L64*'4-AdditionalInputs'!$C$39),IF('7a-IncomeStatementYear1'!K65&gt;0,-'7a-IncomeStatementYear1'!K65*'4-AdditionalInputs'!$C$39,0))</f>
        <v>0</v>
      </c>
      <c r="M59" s="245">
        <f>+IF(M65&gt;0,IF(L65&lt;0,(M64-ABS(L65))*'4-AdditionalInputs'!$C$39,'7a-IncomeStatementYear1'!M64*'4-AdditionalInputs'!$C$39),IF('7a-IncomeStatementYear1'!L65&gt;0,-'7a-IncomeStatementYear1'!L65*'4-AdditionalInputs'!$C$39,0))</f>
        <v>0</v>
      </c>
      <c r="N59" s="245">
        <f>+IF(N65&gt;0,IF(M65&lt;0,(N64-ABS(M65))*'4-AdditionalInputs'!$C$39,'7a-IncomeStatementYear1'!N64*'4-AdditionalInputs'!$C$39),IF('7a-IncomeStatementYear1'!M65&gt;0,-'7a-IncomeStatementYear1'!M65*'4-AdditionalInputs'!$C$39,0))</f>
        <v>0</v>
      </c>
      <c r="O59" s="48">
        <f t="shared" si="8"/>
        <v>0</v>
      </c>
    </row>
    <row r="60" spans="1:15" x14ac:dyDescent="0.35">
      <c r="B60" s="47" t="s">
        <v>315</v>
      </c>
      <c r="C60" s="48">
        <f t="shared" ref="C60:M60" si="11">C58-C59</f>
        <v>0</v>
      </c>
      <c r="D60" s="48">
        <f t="shared" si="11"/>
        <v>0</v>
      </c>
      <c r="E60" s="48">
        <f t="shared" si="11"/>
        <v>0</v>
      </c>
      <c r="F60" s="48">
        <f t="shared" si="11"/>
        <v>0</v>
      </c>
      <c r="G60" s="48">
        <f t="shared" si="11"/>
        <v>0</v>
      </c>
      <c r="H60" s="48">
        <f t="shared" si="11"/>
        <v>0</v>
      </c>
      <c r="I60" s="48">
        <f t="shared" si="11"/>
        <v>0</v>
      </c>
      <c r="J60" s="48">
        <f t="shared" si="11"/>
        <v>0</v>
      </c>
      <c r="K60" s="48">
        <f t="shared" si="11"/>
        <v>0</v>
      </c>
      <c r="L60" s="48">
        <f t="shared" si="11"/>
        <v>0</v>
      </c>
      <c r="M60" s="48">
        <f t="shared" si="11"/>
        <v>0</v>
      </c>
      <c r="N60" s="48">
        <f t="shared" ref="N60" si="12">N58-N59</f>
        <v>0</v>
      </c>
      <c r="O60" s="48">
        <f>SUM(C60:N60)</f>
        <v>0</v>
      </c>
    </row>
    <row r="63" spans="1:15" x14ac:dyDescent="0.35">
      <c r="A63" s="536"/>
      <c r="B63" s="537" t="s">
        <v>300</v>
      </c>
      <c r="C63" s="538"/>
      <c r="D63" s="538"/>
      <c r="E63" s="538"/>
      <c r="F63" s="538"/>
      <c r="G63" s="538"/>
      <c r="H63" s="538"/>
      <c r="I63" s="538"/>
      <c r="J63" s="538"/>
      <c r="K63" s="538"/>
      <c r="L63" s="538"/>
      <c r="M63" s="538"/>
      <c r="N63" s="538"/>
      <c r="O63" s="536"/>
    </row>
    <row r="64" spans="1:15" x14ac:dyDescent="0.35">
      <c r="A64" s="536"/>
      <c r="B64" s="538" t="s">
        <v>301</v>
      </c>
      <c r="C64" s="539">
        <f>C45-C48-C50-C51-C52-C53-C54-C55-C56</f>
        <v>0</v>
      </c>
      <c r="D64" s="539">
        <f t="shared" ref="D64:N64" si="13">D45-D48-D50-D51-D52-D53-D54-D55-D56</f>
        <v>0</v>
      </c>
      <c r="E64" s="539">
        <f t="shared" si="13"/>
        <v>0</v>
      </c>
      <c r="F64" s="539">
        <f t="shared" si="13"/>
        <v>0</v>
      </c>
      <c r="G64" s="539">
        <f t="shared" si="13"/>
        <v>0</v>
      </c>
      <c r="H64" s="539">
        <f t="shared" si="13"/>
        <v>0</v>
      </c>
      <c r="I64" s="539">
        <f t="shared" si="13"/>
        <v>0</v>
      </c>
      <c r="J64" s="539">
        <f t="shared" si="13"/>
        <v>0</v>
      </c>
      <c r="K64" s="539">
        <f t="shared" si="13"/>
        <v>0</v>
      </c>
      <c r="L64" s="539">
        <f t="shared" si="13"/>
        <v>0</v>
      </c>
      <c r="M64" s="539">
        <f t="shared" si="13"/>
        <v>0</v>
      </c>
      <c r="N64" s="539">
        <f t="shared" si="13"/>
        <v>0</v>
      </c>
      <c r="O64" s="536"/>
    </row>
    <row r="65" spans="1:15" x14ac:dyDescent="0.35">
      <c r="A65" s="536"/>
      <c r="B65" s="538" t="s">
        <v>343</v>
      </c>
      <c r="C65" s="539">
        <f>C64</f>
        <v>0</v>
      </c>
      <c r="D65" s="539">
        <f>C65+D64</f>
        <v>0</v>
      </c>
      <c r="E65" s="539">
        <f>D65+E64</f>
        <v>0</v>
      </c>
      <c r="F65" s="539">
        <f>E65+F64</f>
        <v>0</v>
      </c>
      <c r="G65" s="539">
        <f>F65+G64</f>
        <v>0</v>
      </c>
      <c r="H65" s="539">
        <f t="shared" ref="H65:N65" si="14">+G65+H64</f>
        <v>0</v>
      </c>
      <c r="I65" s="539">
        <f t="shared" si="14"/>
        <v>0</v>
      </c>
      <c r="J65" s="539">
        <f t="shared" si="14"/>
        <v>0</v>
      </c>
      <c r="K65" s="539">
        <f t="shared" si="14"/>
        <v>0</v>
      </c>
      <c r="L65" s="539">
        <f t="shared" si="14"/>
        <v>0</v>
      </c>
      <c r="M65" s="539">
        <f t="shared" si="14"/>
        <v>0</v>
      </c>
      <c r="N65" s="539">
        <f t="shared" si="14"/>
        <v>0</v>
      </c>
      <c r="O65" s="536"/>
    </row>
    <row r="66" spans="1:15" x14ac:dyDescent="0.35">
      <c r="A66" s="536"/>
      <c r="B66" s="536"/>
      <c r="C66" s="536"/>
      <c r="D66" s="536"/>
      <c r="E66" s="536"/>
      <c r="F66" s="536"/>
      <c r="G66" s="536"/>
      <c r="H66" s="536"/>
      <c r="I66" s="536"/>
      <c r="J66" s="536"/>
      <c r="K66" s="536"/>
      <c r="L66" s="536"/>
      <c r="M66" s="536"/>
      <c r="N66" s="536"/>
      <c r="O66" s="536"/>
    </row>
    <row r="67" spans="1:15" x14ac:dyDescent="0.35">
      <c r="A67" s="536"/>
      <c r="B67" s="536"/>
      <c r="C67" s="536"/>
      <c r="D67" s="536"/>
      <c r="E67" s="536"/>
      <c r="F67" s="536"/>
      <c r="G67" s="536"/>
      <c r="H67" s="536"/>
      <c r="I67" s="536"/>
      <c r="J67" s="536"/>
      <c r="K67" s="536"/>
      <c r="L67" s="536"/>
      <c r="M67" s="536"/>
      <c r="N67" s="536"/>
      <c r="O67" s="536"/>
    </row>
  </sheetData>
  <sheetProtection algorithmName="SHA-512" hashValue="plhvkYi/ZG3V6H/C0UZHnEUOZ+PxBL5j9IKuQ66GDWLrKBX1biW4SHNBJe0uv4cCMFoUCQ3yG5qi1rCSFlVL0A==" saltValue="j7fGUqBrls9+PlftYwLcWQ==" spinCount="100000" sheet="1" objects="1" scenarios="1" formatCells="0" formatColumns="0"/>
  <mergeCells count="3">
    <mergeCell ref="B2:C2"/>
    <mergeCell ref="C4:D4"/>
    <mergeCell ref="C5:D5"/>
  </mergeCells>
  <phoneticPr fontId="3" type="noConversion"/>
  <conditionalFormatting sqref="C59:N59">
    <cfRule type="containsBlanks" dxfId="26" priority="1">
      <formula>LEN(TRIM(C59))=0</formula>
    </cfRule>
  </conditionalFormatting>
  <printOptions horizontalCentered="1"/>
  <pageMargins left="0.25" right="0.25" top="0.75" bottom="0.75" header="0.3" footer="0.3"/>
  <pageSetup scale="63" orientation="landscape" r:id="rId1"/>
  <headerFooter scaleWithDoc="0">
    <oddHeader>&amp;C&amp;"Gill Sans MT,Regular"&amp;12Income Statement Year 1</oddHeader>
    <oddFooter>&amp;L&amp;F&amp;C&amp;A&amp;R&amp;D &amp;T</oddFooter>
  </headerFooter>
  <rowBreaks count="1" manualBreakCount="1">
    <brk id="60" min="1" max="14"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C95B"/>
    <pageSetUpPr fitToPage="1"/>
  </sheetPr>
  <dimension ref="A1:W82"/>
  <sheetViews>
    <sheetView topLeftCell="A34" zoomScale="90" zoomScaleNormal="90" zoomScalePageLayoutView="70" workbookViewId="0">
      <selection activeCell="K47" sqref="K47"/>
    </sheetView>
  </sheetViews>
  <sheetFormatPr defaultColWidth="8.88671875" defaultRowHeight="13.8" x14ac:dyDescent="0.35"/>
  <cols>
    <col min="1" max="1" width="3.88671875" style="246" customWidth="1"/>
    <col min="2" max="2" width="46.6640625" style="251" bestFit="1" customWidth="1"/>
    <col min="3" max="3" width="17.44140625" style="251" bestFit="1" customWidth="1"/>
    <col min="4" max="4" width="9.33203125" style="278" customWidth="1"/>
    <col min="5" max="5" width="13.88671875" style="251" bestFit="1" customWidth="1"/>
    <col min="6" max="6" width="9.33203125" style="279" customWidth="1"/>
    <col min="7" max="7" width="12.44140625" style="251" bestFit="1" customWidth="1"/>
    <col min="8" max="8" width="9.6640625" style="278" bestFit="1" customWidth="1"/>
    <col min="9" max="10" width="9.6640625" style="246" bestFit="1" customWidth="1"/>
    <col min="11" max="11" width="9.6640625" style="251" bestFit="1" customWidth="1"/>
    <col min="12" max="14" width="10.109375" style="251" bestFit="1" customWidth="1"/>
    <col min="15" max="15" width="11.5546875" style="251" bestFit="1" customWidth="1"/>
    <col min="16" max="16384" width="8.88671875" style="251"/>
  </cols>
  <sheetData>
    <row r="1" spans="2:11" s="246" customFormat="1" x14ac:dyDescent="0.35">
      <c r="D1" s="247"/>
      <c r="F1" s="248"/>
      <c r="H1" s="247"/>
      <c r="I1" s="63"/>
      <c r="J1" s="63"/>
    </row>
    <row r="2" spans="2:11" s="251" customFormat="1" x14ac:dyDescent="0.35">
      <c r="B2" s="618" t="s">
        <v>335</v>
      </c>
      <c r="C2" s="618"/>
      <c r="D2" s="249"/>
      <c r="E2" s="202"/>
      <c r="F2" s="250"/>
      <c r="G2" s="202"/>
      <c r="H2" s="249"/>
      <c r="I2" s="621"/>
      <c r="J2" s="621"/>
      <c r="K2" s="621"/>
    </row>
    <row r="3" spans="2:11" s="251" customFormat="1" x14ac:dyDescent="0.35">
      <c r="B3" s="252"/>
      <c r="C3" s="252"/>
      <c r="D3" s="249"/>
      <c r="E3" s="202"/>
      <c r="F3" s="250"/>
      <c r="G3" s="202"/>
      <c r="H3" s="249"/>
      <c r="I3" s="621"/>
      <c r="J3" s="621"/>
      <c r="K3" s="621"/>
    </row>
    <row r="4" spans="2:11" s="251" customFormat="1" ht="19.5" customHeight="1" x14ac:dyDescent="0.35">
      <c r="B4" s="233" t="s">
        <v>130</v>
      </c>
      <c r="C4" s="233" t="s">
        <v>131</v>
      </c>
      <c r="D4" s="253"/>
      <c r="E4" s="233"/>
      <c r="F4" s="254"/>
      <c r="G4" s="202"/>
      <c r="H4" s="253"/>
      <c r="I4" s="63"/>
      <c r="J4" s="63"/>
    </row>
    <row r="5" spans="2:11" s="251" customFormat="1" ht="18.75" customHeight="1" x14ac:dyDescent="0.35">
      <c r="B5" s="333" t="str">
        <f>IF(ISBLANK(Directions!C6), "Owner", Directions!C6)</f>
        <v>Thomas Francis</v>
      </c>
      <c r="C5" s="234" t="str">
        <f>IF(ISBLANK(Directions!D6), "Company 1", Directions!D6)</f>
        <v>Project "Dogen"</v>
      </c>
      <c r="D5" s="255"/>
      <c r="E5" s="234"/>
      <c r="F5" s="256"/>
      <c r="G5" s="202"/>
      <c r="H5" s="255"/>
      <c r="I5" s="63"/>
      <c r="J5" s="63"/>
    </row>
    <row r="6" spans="2:11" s="246" customFormat="1" x14ac:dyDescent="0.35">
      <c r="D6" s="247"/>
      <c r="F6" s="248"/>
      <c r="H6" s="247"/>
      <c r="I6" s="63"/>
      <c r="J6" s="63"/>
    </row>
    <row r="7" spans="2:11" s="251" customFormat="1" ht="14.4" thickBot="1" x14ac:dyDescent="0.4">
      <c r="B7" s="413" t="s">
        <v>140</v>
      </c>
      <c r="C7" s="414">
        <f>IF(Directions!F6&gt;0,Directions!F6,"First Year")</f>
        <v>2021</v>
      </c>
      <c r="D7" s="414"/>
      <c r="E7" s="414">
        <f>IF(Directions!F6&gt;0,Directions!F6+1,"Second Year")</f>
        <v>2022</v>
      </c>
      <c r="F7" s="414"/>
      <c r="G7" s="414">
        <f>IF(Directions!F6&gt;0,Directions!F6+2,"Third Year")</f>
        <v>2023</v>
      </c>
      <c r="H7" s="414"/>
      <c r="I7" s="63"/>
      <c r="J7" s="63"/>
    </row>
    <row r="8" spans="2:11" s="251" customFormat="1" ht="14.4" thickTop="1" x14ac:dyDescent="0.35">
      <c r="B8" s="422" t="str">
        <f>'3a-SalesForecastYear1'!B17</f>
        <v>Product 1</v>
      </c>
      <c r="C8" s="527">
        <f>'3b-SalesForecastYrs1-3'!B13</f>
        <v>0</v>
      </c>
      <c r="D8" s="423"/>
      <c r="E8" s="527">
        <f>'3b-SalesForecastYrs1-3'!O13</f>
        <v>0</v>
      </c>
      <c r="F8" s="424"/>
      <c r="G8" s="527">
        <f>'3b-SalesForecastYrs1-3'!AD13</f>
        <v>0</v>
      </c>
      <c r="H8" s="423"/>
      <c r="I8" s="63"/>
      <c r="J8" s="63"/>
    </row>
    <row r="9" spans="2:11" s="251" customFormat="1" x14ac:dyDescent="0.35">
      <c r="B9" s="258" t="str">
        <f>'3a-SalesForecastYear1'!B23</f>
        <v>Product 2</v>
      </c>
      <c r="C9" s="57">
        <f>'3b-SalesForecastYrs1-3'!B19</f>
        <v>0</v>
      </c>
      <c r="D9" s="261"/>
      <c r="E9" s="57">
        <f>'3b-SalesForecastYrs1-3'!O19</f>
        <v>0</v>
      </c>
      <c r="F9" s="262"/>
      <c r="G9" s="57">
        <f>'3b-SalesForecastYrs1-3'!AD19</f>
        <v>0</v>
      </c>
      <c r="H9" s="261"/>
      <c r="I9" s="63"/>
      <c r="J9" s="63"/>
    </row>
    <row r="10" spans="2:11" s="251" customFormat="1" x14ac:dyDescent="0.35">
      <c r="B10" s="235" t="str">
        <f>'3a-SalesForecastYear1'!B29</f>
        <v>Product 3</v>
      </c>
      <c r="C10" s="57">
        <f>'3b-SalesForecastYrs1-3'!B25</f>
        <v>0</v>
      </c>
      <c r="D10" s="259"/>
      <c r="E10" s="57">
        <f>'3b-SalesForecastYrs1-3'!O25</f>
        <v>0</v>
      </c>
      <c r="F10" s="260"/>
      <c r="G10" s="57">
        <f>'3b-SalesForecastYrs1-3'!AD25</f>
        <v>0</v>
      </c>
      <c r="H10" s="259"/>
      <c r="I10" s="63"/>
      <c r="J10" s="63"/>
    </row>
    <row r="11" spans="2:11" s="251" customFormat="1" x14ac:dyDescent="0.35">
      <c r="B11" s="258" t="str">
        <f>'3a-SalesForecastYear1'!B35</f>
        <v>Product 4</v>
      </c>
      <c r="C11" s="57">
        <f>'3b-SalesForecastYrs1-3'!B31</f>
        <v>0</v>
      </c>
      <c r="D11" s="259"/>
      <c r="E11" s="57">
        <f>'3b-SalesForecastYrs1-3'!O31</f>
        <v>0</v>
      </c>
      <c r="F11" s="260"/>
      <c r="G11" s="57">
        <f>'3b-SalesForecastYrs1-3'!AD31</f>
        <v>0</v>
      </c>
      <c r="H11" s="259"/>
      <c r="I11" s="63"/>
      <c r="J11" s="63"/>
    </row>
    <row r="12" spans="2:11" s="251" customFormat="1" x14ac:dyDescent="0.35">
      <c r="B12" s="258" t="str">
        <f>'3a-SalesForecastYear1'!B41</f>
        <v>Product 5</v>
      </c>
      <c r="C12" s="57">
        <f>'3b-SalesForecastYrs1-3'!B37</f>
        <v>0</v>
      </c>
      <c r="D12" s="259"/>
      <c r="E12" s="57">
        <f>'3b-SalesForecastYrs1-3'!O37</f>
        <v>0</v>
      </c>
      <c r="F12" s="260"/>
      <c r="G12" s="57">
        <f>'3b-SalesForecastYrs1-3'!AD37</f>
        <v>0</v>
      </c>
      <c r="H12" s="259"/>
      <c r="I12" s="63"/>
      <c r="J12" s="63"/>
    </row>
    <row r="13" spans="2:11" s="251" customFormat="1" x14ac:dyDescent="0.35">
      <c r="B13" s="258" t="str">
        <f>'3a-SalesForecastYear1'!B47</f>
        <v>Product 6</v>
      </c>
      <c r="C13" s="57">
        <f>'3b-SalesForecastYrs1-3'!B43</f>
        <v>0</v>
      </c>
      <c r="D13" s="259"/>
      <c r="E13" s="57">
        <f>'3b-SalesForecastYrs1-3'!O43</f>
        <v>0</v>
      </c>
      <c r="F13" s="260"/>
      <c r="G13" s="57">
        <f>'3b-SalesForecastYrs1-3'!AD43</f>
        <v>0</v>
      </c>
      <c r="H13" s="259"/>
      <c r="I13" s="63"/>
      <c r="J13" s="63"/>
    </row>
    <row r="14" spans="2:11" s="251" customFormat="1" x14ac:dyDescent="0.35">
      <c r="B14" s="257" t="s">
        <v>139</v>
      </c>
      <c r="C14" s="227">
        <f>SUM(C8:C13)</f>
        <v>0</v>
      </c>
      <c r="D14" s="263">
        <v>1</v>
      </c>
      <c r="E14" s="227">
        <f>SUM(E8:E13)</f>
        <v>0</v>
      </c>
      <c r="F14" s="264">
        <v>1</v>
      </c>
      <c r="G14" s="227">
        <f>SUM(G8:G13)</f>
        <v>0</v>
      </c>
      <c r="H14" s="263">
        <v>1</v>
      </c>
      <c r="I14" s="63"/>
      <c r="J14" s="63"/>
    </row>
    <row r="15" spans="2:11" s="251" customFormat="1" ht="14.4" thickBot="1" x14ac:dyDescent="0.4">
      <c r="B15" s="413" t="s">
        <v>29</v>
      </c>
      <c r="C15" s="413"/>
      <c r="D15" s="413"/>
      <c r="E15" s="413"/>
      <c r="F15" s="413"/>
      <c r="G15" s="413"/>
      <c r="H15" s="413"/>
      <c r="I15" s="63"/>
      <c r="J15" s="63"/>
    </row>
    <row r="16" spans="2:11" s="251" customFormat="1" ht="14.4" thickTop="1" x14ac:dyDescent="0.35">
      <c r="B16" s="422" t="str">
        <f>'3a-SalesForecastYear1'!B17</f>
        <v>Product 1</v>
      </c>
      <c r="C16" s="527">
        <f>'3b-SalesForecastYrs1-3'!B14</f>
        <v>0</v>
      </c>
      <c r="D16" s="423"/>
      <c r="E16" s="527">
        <f>'3b-SalesForecastYrs1-3'!O14</f>
        <v>0</v>
      </c>
      <c r="F16" s="425"/>
      <c r="G16" s="527">
        <f>'3b-SalesForecastYrs1-3'!AD14</f>
        <v>0</v>
      </c>
      <c r="H16" s="423"/>
      <c r="I16" s="63"/>
      <c r="J16" s="63"/>
    </row>
    <row r="17" spans="1:10" x14ac:dyDescent="0.35">
      <c r="A17" s="251"/>
      <c r="B17" s="258" t="str">
        <f>'3a-SalesForecastYear1'!B23</f>
        <v>Product 2</v>
      </c>
      <c r="C17" s="57">
        <f>'3b-SalesForecastYrs1-3'!B20</f>
        <v>0</v>
      </c>
      <c r="D17" s="259"/>
      <c r="E17" s="57">
        <f>'3b-SalesForecastYrs1-3'!O20</f>
        <v>0</v>
      </c>
      <c r="F17" s="267"/>
      <c r="G17" s="57">
        <f>'3b-SalesForecastYrs1-3'!AD20</f>
        <v>0</v>
      </c>
      <c r="H17" s="259"/>
      <c r="I17" s="63"/>
      <c r="J17" s="63"/>
    </row>
    <row r="18" spans="1:10" x14ac:dyDescent="0.35">
      <c r="A18" s="251"/>
      <c r="B18" s="235" t="str">
        <f>'3a-SalesForecastYear1'!B29</f>
        <v>Product 3</v>
      </c>
      <c r="C18" s="57">
        <f>'3b-SalesForecastYrs1-3'!B26</f>
        <v>0</v>
      </c>
      <c r="D18" s="259"/>
      <c r="E18" s="57">
        <f>'3b-SalesForecastYrs1-3'!O26</f>
        <v>0</v>
      </c>
      <c r="F18" s="267"/>
      <c r="G18" s="57">
        <f>'3b-SalesForecastYrs1-3'!AD26</f>
        <v>0</v>
      </c>
      <c r="H18" s="259"/>
      <c r="I18" s="63"/>
      <c r="J18" s="63"/>
    </row>
    <row r="19" spans="1:10" x14ac:dyDescent="0.35">
      <c r="A19" s="251"/>
      <c r="B19" s="258" t="str">
        <f>'3a-SalesForecastYear1'!B35</f>
        <v>Product 4</v>
      </c>
      <c r="C19" s="57">
        <f>'3b-SalesForecastYrs1-3'!B32</f>
        <v>0</v>
      </c>
      <c r="D19" s="259"/>
      <c r="E19" s="57">
        <f>'3b-SalesForecastYrs1-3'!O32</f>
        <v>0</v>
      </c>
      <c r="F19" s="267"/>
      <c r="G19" s="57">
        <f>'3b-SalesForecastYrs1-3'!AD32</f>
        <v>0</v>
      </c>
      <c r="H19" s="259"/>
      <c r="I19" s="63"/>
      <c r="J19" s="63"/>
    </row>
    <row r="20" spans="1:10" x14ac:dyDescent="0.35">
      <c r="A20" s="251"/>
      <c r="B20" s="258" t="str">
        <f>'3a-SalesForecastYear1'!B41</f>
        <v>Product 5</v>
      </c>
      <c r="C20" s="57">
        <f>'3b-SalesForecastYrs1-3'!B38</f>
        <v>0</v>
      </c>
      <c r="D20" s="259"/>
      <c r="E20" s="57">
        <f>'3b-SalesForecastYrs1-3'!O38</f>
        <v>0</v>
      </c>
      <c r="F20" s="267"/>
      <c r="G20" s="57">
        <f>'3b-SalesForecastYrs1-3'!AD38</f>
        <v>0</v>
      </c>
      <c r="H20" s="259"/>
      <c r="I20" s="63"/>
      <c r="J20" s="63"/>
    </row>
    <row r="21" spans="1:10" x14ac:dyDescent="0.35">
      <c r="A21" s="251"/>
      <c r="B21" s="258" t="str">
        <f>'3a-SalesForecastYear1'!B47</f>
        <v>Product 6</v>
      </c>
      <c r="C21" s="57">
        <f>'3b-SalesForecastYrs1-3'!B44</f>
        <v>0</v>
      </c>
      <c r="D21" s="259"/>
      <c r="E21" s="57">
        <f>'3b-SalesForecastYrs1-3'!O44</f>
        <v>0</v>
      </c>
      <c r="F21" s="267"/>
      <c r="G21" s="57">
        <f>'3b-SalesForecastYrs1-3'!AD44</f>
        <v>0</v>
      </c>
      <c r="H21" s="259"/>
      <c r="I21" s="63"/>
      <c r="J21" s="63"/>
    </row>
    <row r="22" spans="1:10" x14ac:dyDescent="0.35">
      <c r="A22" s="251"/>
      <c r="B22" s="257" t="s">
        <v>105</v>
      </c>
      <c r="C22" s="383">
        <f>SUM(C16:C21)</f>
        <v>0</v>
      </c>
      <c r="D22" s="268">
        <f>IF(C14=0,0,C22/C14)</f>
        <v>0</v>
      </c>
      <c r="E22" s="383">
        <f>SUM(E16:E21)</f>
        <v>0</v>
      </c>
      <c r="F22" s="268">
        <f>IF(E14=0,0,E22/E14)</f>
        <v>0</v>
      </c>
      <c r="G22" s="383">
        <f>SUM(G16:G21)</f>
        <v>0</v>
      </c>
      <c r="H22" s="268">
        <f>IF(G14=0,0,G22/G14)</f>
        <v>0</v>
      </c>
      <c r="I22" s="63"/>
      <c r="J22" s="63"/>
    </row>
    <row r="23" spans="1:10" x14ac:dyDescent="0.35">
      <c r="A23" s="251"/>
      <c r="B23" s="257" t="s">
        <v>136</v>
      </c>
      <c r="C23" s="378">
        <f>C14-C22</f>
        <v>0</v>
      </c>
      <c r="D23" s="268">
        <f>IF(C14=0,0,C23/C14)</f>
        <v>0</v>
      </c>
      <c r="E23" s="378">
        <f>E14-E22</f>
        <v>0</v>
      </c>
      <c r="F23" s="268">
        <f>IF(E14=0,0,E23/E14)</f>
        <v>0</v>
      </c>
      <c r="G23" s="378">
        <f>G14-G22</f>
        <v>0</v>
      </c>
      <c r="H23" s="268">
        <f>IF(G14=0,0,G23/G14)</f>
        <v>0</v>
      </c>
      <c r="I23" s="63"/>
      <c r="J23" s="63"/>
    </row>
    <row r="24" spans="1:10" x14ac:dyDescent="0.35">
      <c r="A24" s="251"/>
      <c r="B24" s="257" t="s">
        <v>213</v>
      </c>
      <c r="C24" s="378">
        <f>'2a-PayrollYear1'!R25</f>
        <v>0</v>
      </c>
      <c r="D24" s="268"/>
      <c r="E24" s="378">
        <f>'2b-PayrollYrs1-3'!E26</f>
        <v>0</v>
      </c>
      <c r="F24" s="269"/>
      <c r="G24" s="378">
        <f>'2b-PayrollYrs1-3'!G26</f>
        <v>0</v>
      </c>
      <c r="H24" s="270"/>
      <c r="I24" s="63"/>
      <c r="J24" s="63"/>
    </row>
    <row r="25" spans="1:10" ht="14.4" thickBot="1" x14ac:dyDescent="0.4">
      <c r="A25" s="251"/>
      <c r="B25" s="413" t="s">
        <v>137</v>
      </c>
      <c r="C25" s="413"/>
      <c r="D25" s="413"/>
      <c r="E25" s="413"/>
      <c r="F25" s="413"/>
      <c r="G25" s="413"/>
      <c r="H25" s="413"/>
      <c r="I25" s="63"/>
      <c r="J25" s="63"/>
    </row>
    <row r="26" spans="1:10" s="22" customFormat="1" ht="14.4" thickTop="1" x14ac:dyDescent="0.35">
      <c r="B26" s="566" t="str">
        <f>'5a-OpExYear1'!B10</f>
        <v>Advertising</v>
      </c>
      <c r="C26" s="199">
        <f>'5b-OpExYrs1-3'!C8</f>
        <v>0</v>
      </c>
      <c r="D26" s="426"/>
      <c r="E26" s="427">
        <f>'5b-OpExYrs1-3'!E8</f>
        <v>0</v>
      </c>
      <c r="F26" s="428"/>
      <c r="G26" s="427">
        <f>'5b-OpExYrs1-3'!G8</f>
        <v>0</v>
      </c>
      <c r="H26" s="429"/>
    </row>
    <row r="27" spans="1:10" s="22" customFormat="1" x14ac:dyDescent="0.35">
      <c r="B27" s="566" t="str">
        <f>'5a-OpExYear1'!B11</f>
        <v>Car and Truck Expenses</v>
      </c>
      <c r="C27" s="105">
        <f>'5b-OpExYrs1-3'!C9</f>
        <v>0</v>
      </c>
      <c r="D27" s="271"/>
      <c r="E27" s="222">
        <f>'5b-OpExYrs1-3'!E9</f>
        <v>0</v>
      </c>
      <c r="F27" s="266"/>
      <c r="G27" s="222">
        <f>'5b-OpExYrs1-3'!G9</f>
        <v>0</v>
      </c>
      <c r="H27" s="261"/>
    </row>
    <row r="28" spans="1:10" s="22" customFormat="1" x14ac:dyDescent="0.35">
      <c r="B28" s="566" t="str">
        <f>'5a-OpExYear1'!B12</f>
        <v>Commissions and Fees</v>
      </c>
      <c r="C28" s="105">
        <f>'5b-OpExYrs1-3'!C10</f>
        <v>0</v>
      </c>
      <c r="D28" s="271"/>
      <c r="E28" s="222">
        <f>'5b-OpExYrs1-3'!E10</f>
        <v>0</v>
      </c>
      <c r="F28" s="266"/>
      <c r="G28" s="222">
        <f>'5b-OpExYrs1-3'!G10</f>
        <v>0</v>
      </c>
      <c r="H28" s="261"/>
    </row>
    <row r="29" spans="1:10" s="22" customFormat="1" x14ac:dyDescent="0.35">
      <c r="B29" s="566" t="str">
        <f>'5a-OpExYear1'!B13</f>
        <v>Contract Labor (Not included in payroll)</v>
      </c>
      <c r="C29" s="105">
        <f>'5b-OpExYrs1-3'!C11</f>
        <v>0</v>
      </c>
      <c r="D29" s="271"/>
      <c r="E29" s="222">
        <f>'5b-OpExYrs1-3'!E11</f>
        <v>0</v>
      </c>
      <c r="F29" s="266"/>
      <c r="G29" s="222">
        <f>'5b-OpExYrs1-3'!G11</f>
        <v>0</v>
      </c>
      <c r="H29" s="261"/>
    </row>
    <row r="30" spans="1:10" s="22" customFormat="1" x14ac:dyDescent="0.35">
      <c r="B30" s="566" t="str">
        <f>'5a-OpExYear1'!B14</f>
        <v>Insurance (other than health)</v>
      </c>
      <c r="C30" s="105">
        <f>'5b-OpExYrs1-3'!C12</f>
        <v>0</v>
      </c>
      <c r="D30" s="271"/>
      <c r="E30" s="222">
        <f>'5b-OpExYrs1-3'!E12</f>
        <v>0</v>
      </c>
      <c r="F30" s="266"/>
      <c r="G30" s="222">
        <f>'5b-OpExYrs1-3'!G12</f>
        <v>0</v>
      </c>
      <c r="H30" s="261"/>
    </row>
    <row r="31" spans="1:10" x14ac:dyDescent="0.35">
      <c r="A31" s="251"/>
      <c r="B31" s="566" t="str">
        <f>'5a-OpExYear1'!B15</f>
        <v>Legal and Professional Services</v>
      </c>
      <c r="C31" s="105">
        <f>'5b-OpExYrs1-3'!C13</f>
        <v>0</v>
      </c>
      <c r="D31" s="271"/>
      <c r="E31" s="222">
        <f>'5b-OpExYrs1-3'!E13</f>
        <v>0</v>
      </c>
      <c r="F31" s="266"/>
      <c r="G31" s="222">
        <f>'5b-OpExYrs1-3'!G13</f>
        <v>0</v>
      </c>
      <c r="H31" s="261"/>
      <c r="I31" s="63"/>
      <c r="J31" s="63"/>
    </row>
    <row r="32" spans="1:10" x14ac:dyDescent="0.35">
      <c r="A32" s="251"/>
      <c r="B32" s="566" t="str">
        <f>'5a-OpExYear1'!B16</f>
        <v>Licenses</v>
      </c>
      <c r="C32" s="105">
        <f>'5b-OpExYrs1-3'!C14</f>
        <v>0</v>
      </c>
      <c r="D32" s="271"/>
      <c r="E32" s="222">
        <f>'5b-OpExYrs1-3'!E14</f>
        <v>0</v>
      </c>
      <c r="F32" s="266"/>
      <c r="G32" s="222">
        <f>'5b-OpExYrs1-3'!G14</f>
        <v>0</v>
      </c>
      <c r="H32" s="261"/>
      <c r="I32" s="63"/>
      <c r="J32" s="63"/>
    </row>
    <row r="33" spans="1:10" x14ac:dyDescent="0.35">
      <c r="A33" s="251"/>
      <c r="B33" s="566" t="str">
        <f>'5a-OpExYear1'!B17</f>
        <v>Office Expense</v>
      </c>
      <c r="C33" s="105">
        <f>'5b-OpExYrs1-3'!C15</f>
        <v>0</v>
      </c>
      <c r="D33" s="271"/>
      <c r="E33" s="222">
        <f>'5b-OpExYrs1-3'!E15</f>
        <v>0</v>
      </c>
      <c r="F33" s="266"/>
      <c r="G33" s="222">
        <f>'5b-OpExYrs1-3'!G15</f>
        <v>0</v>
      </c>
      <c r="H33" s="261"/>
      <c r="I33" s="63"/>
      <c r="J33" s="63"/>
    </row>
    <row r="34" spans="1:10" x14ac:dyDescent="0.35">
      <c r="A34" s="251"/>
      <c r="B34" s="566" t="str">
        <f>'5a-OpExYear1'!B18</f>
        <v>Rent or Lease -- Vehicles, Machinery, Equipment</v>
      </c>
      <c r="C34" s="105">
        <f>'5b-OpExYrs1-3'!C16</f>
        <v>0</v>
      </c>
      <c r="D34" s="271"/>
      <c r="E34" s="222">
        <f>'5b-OpExYrs1-3'!E16</f>
        <v>0</v>
      </c>
      <c r="F34" s="266"/>
      <c r="G34" s="222">
        <f>'5b-OpExYrs1-3'!G16</f>
        <v>0</v>
      </c>
      <c r="H34" s="261"/>
      <c r="I34" s="63"/>
      <c r="J34" s="63"/>
    </row>
    <row r="35" spans="1:10" x14ac:dyDescent="0.35">
      <c r="A35" s="251"/>
      <c r="B35" s="566" t="str">
        <f>'5a-OpExYear1'!B19</f>
        <v>Rent or Lease -- Other Business Property</v>
      </c>
      <c r="C35" s="105">
        <f>'5b-OpExYrs1-3'!C17</f>
        <v>0</v>
      </c>
      <c r="D35" s="271"/>
      <c r="E35" s="222">
        <f>'5b-OpExYrs1-3'!E17</f>
        <v>0</v>
      </c>
      <c r="F35" s="266"/>
      <c r="G35" s="222">
        <f>'5b-OpExYrs1-3'!G17</f>
        <v>0</v>
      </c>
      <c r="H35" s="261"/>
      <c r="I35" s="63"/>
      <c r="J35" s="63"/>
    </row>
    <row r="36" spans="1:10" x14ac:dyDescent="0.35">
      <c r="A36" s="251"/>
      <c r="B36" s="566" t="str">
        <f>'5a-OpExYear1'!B20</f>
        <v>Repairs and Maintenance</v>
      </c>
      <c r="C36" s="105">
        <f>'5b-OpExYrs1-3'!C18</f>
        <v>0</v>
      </c>
      <c r="D36" s="271"/>
      <c r="E36" s="222">
        <f>'5b-OpExYrs1-3'!E18</f>
        <v>0</v>
      </c>
      <c r="F36" s="266"/>
      <c r="G36" s="222">
        <f>'5b-OpExYrs1-3'!G18</f>
        <v>0</v>
      </c>
      <c r="H36" s="261"/>
      <c r="I36" s="63"/>
      <c r="J36" s="63"/>
    </row>
    <row r="37" spans="1:10" x14ac:dyDescent="0.35">
      <c r="A37" s="251"/>
      <c r="B37" s="566" t="str">
        <f>'5a-OpExYear1'!B21</f>
        <v>Supplies</v>
      </c>
      <c r="C37" s="105">
        <f>'5b-OpExYrs1-3'!C19</f>
        <v>0</v>
      </c>
      <c r="D37" s="271"/>
      <c r="E37" s="222">
        <f>'5b-OpExYrs1-3'!E19</f>
        <v>0</v>
      </c>
      <c r="F37" s="266"/>
      <c r="G37" s="222">
        <f>'5b-OpExYrs1-3'!G19</f>
        <v>0</v>
      </c>
      <c r="H37" s="261"/>
      <c r="I37" s="63"/>
      <c r="J37" s="63"/>
    </row>
    <row r="38" spans="1:10" x14ac:dyDescent="0.35">
      <c r="A38" s="251"/>
      <c r="B38" s="566" t="str">
        <f>'5a-OpExYear1'!B22</f>
        <v>Travel, Meals and Entertainment</v>
      </c>
      <c r="C38" s="105">
        <f>'5b-OpExYrs1-3'!C20</f>
        <v>0</v>
      </c>
      <c r="D38" s="271"/>
      <c r="E38" s="222">
        <f>'5b-OpExYrs1-3'!E20</f>
        <v>0</v>
      </c>
      <c r="F38" s="266"/>
      <c r="G38" s="222">
        <f>'5b-OpExYrs1-3'!G20</f>
        <v>0</v>
      </c>
      <c r="H38" s="261"/>
      <c r="I38" s="63"/>
      <c r="J38" s="63"/>
    </row>
    <row r="39" spans="1:10" x14ac:dyDescent="0.35">
      <c r="A39" s="251"/>
      <c r="B39" s="566" t="str">
        <f>'5a-OpExYear1'!B23</f>
        <v>Utilities</v>
      </c>
      <c r="C39" s="105">
        <f>'5b-OpExYrs1-3'!C21</f>
        <v>0</v>
      </c>
      <c r="D39" s="271"/>
      <c r="E39" s="222">
        <f>'5b-OpExYrs1-3'!E21</f>
        <v>0</v>
      </c>
      <c r="F39" s="266"/>
      <c r="G39" s="222">
        <f>'5b-OpExYrs1-3'!G21</f>
        <v>0</v>
      </c>
      <c r="H39" s="261"/>
      <c r="I39" s="63"/>
      <c r="J39" s="63"/>
    </row>
    <row r="40" spans="1:10" x14ac:dyDescent="0.35">
      <c r="A40" s="251"/>
      <c r="B40" s="566" t="str">
        <f>'5a-OpExYear1'!B24</f>
        <v xml:space="preserve">Miscellaneous </v>
      </c>
      <c r="C40" s="105">
        <f>'5b-OpExYrs1-3'!C22</f>
        <v>0</v>
      </c>
      <c r="D40" s="271"/>
      <c r="E40" s="222">
        <f>'5b-OpExYrs1-3'!E22</f>
        <v>0</v>
      </c>
      <c r="F40" s="266"/>
      <c r="G40" s="222">
        <f>'5b-OpExYrs1-3'!G22</f>
        <v>0</v>
      </c>
      <c r="H40" s="261"/>
      <c r="I40" s="63"/>
      <c r="J40" s="63"/>
    </row>
    <row r="41" spans="1:10" x14ac:dyDescent="0.35">
      <c r="A41" s="251"/>
      <c r="B41" s="387" t="s">
        <v>275</v>
      </c>
      <c r="C41" s="105"/>
      <c r="D41" s="271"/>
      <c r="E41" s="222"/>
      <c r="F41" s="266"/>
      <c r="G41" s="222"/>
      <c r="H41" s="261"/>
      <c r="I41" s="63"/>
      <c r="J41" s="63"/>
    </row>
    <row r="42" spans="1:10" x14ac:dyDescent="0.35">
      <c r="A42" s="251"/>
      <c r="B42" s="387" t="s">
        <v>276</v>
      </c>
      <c r="C42" s="105"/>
      <c r="D42" s="271"/>
      <c r="E42" s="222"/>
      <c r="F42" s="266"/>
      <c r="G42" s="222"/>
      <c r="H42" s="261"/>
      <c r="I42" s="63"/>
      <c r="J42" s="63"/>
    </row>
    <row r="43" spans="1:10" ht="18" customHeight="1" x14ac:dyDescent="0.35">
      <c r="A43" s="251"/>
      <c r="B43" s="432" t="s">
        <v>229</v>
      </c>
      <c r="C43" s="433">
        <f>SUM(C26:C42)</f>
        <v>0</v>
      </c>
      <c r="D43" s="434">
        <f>IF(C14=0,0,C43/C14)</f>
        <v>0</v>
      </c>
      <c r="E43" s="433">
        <f>SUM(E26:E42)</f>
        <v>0</v>
      </c>
      <c r="F43" s="434">
        <f>IF(E14=0,0,E43/E14)</f>
        <v>0</v>
      </c>
      <c r="G43" s="433">
        <f>SUM(G26:G42)</f>
        <v>0</v>
      </c>
      <c r="H43" s="434">
        <f>IF(G14=0,0,G43/G14)</f>
        <v>0</v>
      </c>
      <c r="I43" s="251"/>
      <c r="J43" s="251"/>
    </row>
    <row r="44" spans="1:10" ht="18" customHeight="1" x14ac:dyDescent="0.35">
      <c r="A44" s="251"/>
      <c r="B44" s="435" t="s">
        <v>348</v>
      </c>
      <c r="C44" s="436">
        <f>C23-C24-C43</f>
        <v>0</v>
      </c>
      <c r="D44" s="437">
        <f>IF(C14=0,0,C44/C14)</f>
        <v>0</v>
      </c>
      <c r="E44" s="436">
        <f>E23-E24-E43</f>
        <v>0</v>
      </c>
      <c r="F44" s="437">
        <f>IF(E14=0,0,E44/E14)</f>
        <v>0</v>
      </c>
      <c r="G44" s="436">
        <f>G23-G24-G43</f>
        <v>0</v>
      </c>
      <c r="H44" s="437">
        <f>IF(G14=0,0,G44/G14)</f>
        <v>0</v>
      </c>
      <c r="I44" s="251"/>
      <c r="J44" s="251"/>
    </row>
    <row r="45" spans="1:10" ht="18" customHeight="1" thickBot="1" x14ac:dyDescent="0.4">
      <c r="A45" s="251"/>
      <c r="B45" s="440" t="s">
        <v>144</v>
      </c>
      <c r="C45" s="441"/>
      <c r="D45" s="442"/>
      <c r="E45" s="441"/>
      <c r="F45" s="443"/>
      <c r="G45" s="441"/>
      <c r="H45" s="442"/>
      <c r="I45" s="251"/>
      <c r="J45" s="251"/>
    </row>
    <row r="46" spans="1:10" ht="18" customHeight="1" thickTop="1" x14ac:dyDescent="0.35">
      <c r="A46" s="251"/>
      <c r="B46" s="438" t="s">
        <v>293</v>
      </c>
      <c r="C46" s="439">
        <f>+'Amortization&amp;Depreciation'!O138+'Amortization&amp;Depreciation'!O149</f>
        <v>0</v>
      </c>
      <c r="D46" s="430"/>
      <c r="E46" s="439">
        <f>+'Amortization&amp;Depreciation'!O141+'Amortization&amp;Depreciation'!O152</f>
        <v>0</v>
      </c>
      <c r="F46" s="431"/>
      <c r="G46" s="439">
        <f>+'Amortization&amp;Depreciation'!O144+'Amortization&amp;Depreciation'!O155</f>
        <v>0</v>
      </c>
      <c r="H46" s="430"/>
      <c r="I46" s="251"/>
      <c r="J46" s="251"/>
    </row>
    <row r="47" spans="1:10" ht="18" customHeight="1" x14ac:dyDescent="0.35">
      <c r="A47" s="251"/>
      <c r="B47" s="275" t="s">
        <v>31</v>
      </c>
      <c r="C47" s="378">
        <f>+'Amortization&amp;Depreciation'!O119</f>
        <v>0</v>
      </c>
      <c r="D47" s="270"/>
      <c r="E47" s="378">
        <f>+'Amortization&amp;Depreciation'!O123</f>
        <v>0</v>
      </c>
      <c r="F47" s="269"/>
      <c r="G47" s="378">
        <f>+'Amortization&amp;Depreciation'!O127</f>
        <v>0</v>
      </c>
      <c r="H47" s="270"/>
      <c r="I47" s="251"/>
      <c r="J47" s="251"/>
    </row>
    <row r="48" spans="1:10" ht="18" customHeight="1" x14ac:dyDescent="0.35">
      <c r="A48" s="251"/>
      <c r="B48" s="275" t="s">
        <v>58</v>
      </c>
      <c r="C48" s="273"/>
      <c r="D48" s="270"/>
      <c r="E48" s="273"/>
      <c r="F48" s="269"/>
      <c r="G48" s="273"/>
      <c r="H48" s="270"/>
      <c r="I48" s="251"/>
      <c r="J48" s="251"/>
    </row>
    <row r="49" spans="1:17" ht="18" customHeight="1" x14ac:dyDescent="0.35">
      <c r="A49" s="251"/>
      <c r="B49" s="276" t="s">
        <v>54</v>
      </c>
      <c r="C49" s="378">
        <f>'5b-OpExYrs1-3'!C28</f>
        <v>0</v>
      </c>
      <c r="D49" s="270"/>
      <c r="E49" s="378">
        <f>'5b-OpExYrs1-3'!E28</f>
        <v>0</v>
      </c>
      <c r="F49" s="269"/>
      <c r="G49" s="378">
        <f>'5b-OpExYrs1-3'!G28</f>
        <v>0</v>
      </c>
      <c r="H49" s="270"/>
      <c r="I49" s="251"/>
      <c r="J49" s="251"/>
    </row>
    <row r="50" spans="1:17" ht="18" customHeight="1" x14ac:dyDescent="0.35">
      <c r="A50" s="251"/>
      <c r="B50" s="276" t="s">
        <v>55</v>
      </c>
      <c r="C50" s="378">
        <f>'5b-OpExYrs1-3'!C29</f>
        <v>0</v>
      </c>
      <c r="D50" s="270"/>
      <c r="E50" s="378">
        <f>'5b-OpExYrs1-3'!E29</f>
        <v>0</v>
      </c>
      <c r="F50" s="269"/>
      <c r="G50" s="378">
        <f>'5b-OpExYrs1-3'!G29</f>
        <v>0</v>
      </c>
      <c r="H50" s="270"/>
      <c r="I50" s="251"/>
      <c r="J50" s="251"/>
    </row>
    <row r="51" spans="1:17" ht="18" customHeight="1" x14ac:dyDescent="0.35">
      <c r="A51" s="251"/>
      <c r="B51" s="276" t="s">
        <v>146</v>
      </c>
      <c r="C51" s="378">
        <f>'5b-OpExYrs1-3'!C30</f>
        <v>0</v>
      </c>
      <c r="D51" s="270"/>
      <c r="E51" s="378">
        <f>'5b-OpExYrs1-3'!E30</f>
        <v>0</v>
      </c>
      <c r="F51" s="269"/>
      <c r="G51" s="378">
        <f>'5b-OpExYrs1-3'!G30</f>
        <v>0</v>
      </c>
      <c r="H51" s="270"/>
      <c r="I51" s="251"/>
      <c r="J51" s="251"/>
    </row>
    <row r="52" spans="1:17" ht="18" customHeight="1" x14ac:dyDescent="0.35">
      <c r="A52" s="251"/>
      <c r="B52" s="276" t="s">
        <v>147</v>
      </c>
      <c r="C52" s="378">
        <f>'5b-OpExYrs1-3'!C31</f>
        <v>0</v>
      </c>
      <c r="D52" s="270"/>
      <c r="E52" s="378">
        <f>'5b-OpExYrs1-3'!E31</f>
        <v>0</v>
      </c>
      <c r="F52" s="269"/>
      <c r="G52" s="378">
        <f>'5b-OpExYrs1-3'!G31</f>
        <v>0</v>
      </c>
      <c r="H52" s="270"/>
      <c r="I52" s="251"/>
      <c r="J52" s="251"/>
    </row>
    <row r="53" spans="1:17" ht="18" customHeight="1" x14ac:dyDescent="0.35">
      <c r="A53" s="251"/>
      <c r="B53" s="276" t="s">
        <v>148</v>
      </c>
      <c r="C53" s="378">
        <f>'5b-OpExYrs1-3'!C32</f>
        <v>0</v>
      </c>
      <c r="D53" s="270"/>
      <c r="E53" s="378">
        <f>'5b-OpExYrs1-3'!E32</f>
        <v>0</v>
      </c>
      <c r="F53" s="269"/>
      <c r="G53" s="378">
        <f>'5b-OpExYrs1-3'!G32</f>
        <v>0</v>
      </c>
      <c r="H53" s="270"/>
      <c r="I53" s="251"/>
      <c r="J53" s="251"/>
    </row>
    <row r="54" spans="1:17" ht="18" customHeight="1" x14ac:dyDescent="0.35">
      <c r="A54" s="251"/>
      <c r="B54" s="277" t="s">
        <v>285</v>
      </c>
      <c r="C54" s="378">
        <f>+'6a-CashFlowYear1'!O26</f>
        <v>0</v>
      </c>
      <c r="D54" s="270"/>
      <c r="E54" s="378">
        <f>'6b-CashFlowYrs1-3'!O25</f>
        <v>0</v>
      </c>
      <c r="F54" s="269"/>
      <c r="G54" s="378">
        <f>+'6b-CashFlowYrs1-3'!AB25</f>
        <v>0</v>
      </c>
      <c r="H54" s="270"/>
      <c r="I54" s="251"/>
      <c r="J54" s="251"/>
    </row>
    <row r="55" spans="1:17" ht="18" customHeight="1" x14ac:dyDescent="0.35">
      <c r="A55" s="251"/>
      <c r="B55" s="274" t="s">
        <v>284</v>
      </c>
      <c r="C55" s="378">
        <f>+'3a-SalesForecastYear1'!O53*'4-AdditionalInputs'!$C$12</f>
        <v>0</v>
      </c>
      <c r="D55" s="270"/>
      <c r="E55" s="378">
        <f>'3b-SalesForecastYrs1-3'!O47*'4-AdditionalInputs'!$D$12</f>
        <v>0</v>
      </c>
      <c r="F55" s="269"/>
      <c r="G55" s="378">
        <f>'3b-SalesForecastYrs1-3'!AD47*'4-AdditionalInputs'!$E$12</f>
        <v>0</v>
      </c>
      <c r="H55" s="270"/>
      <c r="I55" s="251"/>
      <c r="J55" s="251"/>
    </row>
    <row r="56" spans="1:17" ht="18" customHeight="1" x14ac:dyDescent="0.35">
      <c r="A56" s="251"/>
      <c r="B56" s="272" t="s">
        <v>160</v>
      </c>
      <c r="C56" s="184">
        <f>SUM(C46:C55)</f>
        <v>0</v>
      </c>
      <c r="D56" s="268">
        <f>IF(C14=0,0,C56/C14)</f>
        <v>0</v>
      </c>
      <c r="E56" s="184">
        <f>SUM(E46:E55)</f>
        <v>0</v>
      </c>
      <c r="F56" s="268">
        <f>IF(E14=0,0,E56/E14)</f>
        <v>0</v>
      </c>
      <c r="G56" s="184">
        <f>SUM(G46:G55)</f>
        <v>0</v>
      </c>
      <c r="H56" s="268">
        <f>IF(G14=0,0,G56/G14)</f>
        <v>0</v>
      </c>
      <c r="I56" s="251"/>
      <c r="J56" s="251"/>
    </row>
    <row r="57" spans="1:17" ht="18" customHeight="1" x14ac:dyDescent="0.35">
      <c r="A57" s="251"/>
      <c r="B57" s="66" t="s">
        <v>237</v>
      </c>
      <c r="C57" s="48">
        <f>C23-C24-C43-C56</f>
        <v>0</v>
      </c>
      <c r="D57" s="268">
        <f>IF(C14=0,0,C57/C14)</f>
        <v>0</v>
      </c>
      <c r="E57" s="48">
        <f>E23-E24-E43-E56</f>
        <v>0</v>
      </c>
      <c r="F57" s="268">
        <f>IF(E14=0,0,E57/E14)</f>
        <v>0</v>
      </c>
      <c r="G57" s="48">
        <f>G23-G24-G43-G56</f>
        <v>0</v>
      </c>
      <c r="H57" s="268">
        <f>IF(G14=0,0,G57/G14)</f>
        <v>0</v>
      </c>
      <c r="I57" s="251"/>
      <c r="J57" s="251"/>
    </row>
    <row r="58" spans="1:17" x14ac:dyDescent="0.35">
      <c r="A58" s="251"/>
      <c r="B58" s="47" t="s">
        <v>238</v>
      </c>
      <c r="C58" s="245">
        <f>+'7a-IncomeStatementYear1'!O59</f>
        <v>0</v>
      </c>
      <c r="D58" s="268"/>
      <c r="E58" s="245">
        <f>O65</f>
        <v>0</v>
      </c>
      <c r="F58" s="268"/>
      <c r="G58" s="245">
        <f>O69</f>
        <v>0</v>
      </c>
      <c r="H58" s="268"/>
      <c r="I58" s="251"/>
      <c r="J58" s="251"/>
    </row>
    <row r="59" spans="1:17" x14ac:dyDescent="0.35">
      <c r="A59" s="251"/>
      <c r="B59" s="257" t="s">
        <v>138</v>
      </c>
      <c r="C59" s="48">
        <f>C57-C58</f>
        <v>0</v>
      </c>
      <c r="D59" s="268">
        <f>IF(C14=0,0,C59/C14)</f>
        <v>0</v>
      </c>
      <c r="E59" s="48">
        <f>E57-E58</f>
        <v>0</v>
      </c>
      <c r="F59" s="268">
        <f>IF(E14=0,0,E59/E14)</f>
        <v>0</v>
      </c>
      <c r="G59" s="48">
        <f>G57-G58</f>
        <v>0</v>
      </c>
      <c r="H59" s="268">
        <f>IF(G14=0,0,G59/G14)</f>
        <v>0</v>
      </c>
      <c r="I59" s="251"/>
      <c r="J59" s="251"/>
    </row>
    <row r="60" spans="1:17" x14ac:dyDescent="0.35">
      <c r="A60" s="251"/>
      <c r="B60" s="246"/>
      <c r="I60" s="251"/>
      <c r="J60" s="251"/>
      <c r="Q60" s="7"/>
    </row>
    <row r="61" spans="1:17" x14ac:dyDescent="0.35">
      <c r="A61" s="547"/>
      <c r="B61" s="536"/>
      <c r="C61" s="536"/>
      <c r="D61" s="545"/>
      <c r="E61" s="536"/>
      <c r="F61" s="546"/>
      <c r="G61" s="536"/>
      <c r="H61" s="545"/>
      <c r="I61" s="547"/>
      <c r="J61" s="547"/>
      <c r="K61" s="536"/>
      <c r="L61" s="536"/>
      <c r="M61" s="536"/>
      <c r="N61" s="536"/>
      <c r="O61" s="536"/>
      <c r="P61" s="536"/>
      <c r="Q61" s="7"/>
    </row>
    <row r="62" spans="1:17" x14ac:dyDescent="0.35">
      <c r="A62" s="547"/>
      <c r="B62" s="548" t="s">
        <v>300</v>
      </c>
      <c r="C62" s="548" t="s">
        <v>316</v>
      </c>
      <c r="D62" s="549" t="s">
        <v>317</v>
      </c>
      <c r="E62" s="548" t="s">
        <v>318</v>
      </c>
      <c r="F62" s="549" t="s">
        <v>319</v>
      </c>
      <c r="G62" s="548" t="s">
        <v>320</v>
      </c>
      <c r="H62" s="549" t="s">
        <v>321</v>
      </c>
      <c r="I62" s="548" t="s">
        <v>322</v>
      </c>
      <c r="J62" s="549" t="s">
        <v>323</v>
      </c>
      <c r="K62" s="548" t="s">
        <v>324</v>
      </c>
      <c r="L62" s="549" t="s">
        <v>325</v>
      </c>
      <c r="M62" s="548" t="s">
        <v>326</v>
      </c>
      <c r="N62" s="549" t="s">
        <v>327</v>
      </c>
      <c r="O62" s="548" t="s">
        <v>328</v>
      </c>
      <c r="P62" s="536"/>
      <c r="Q62" s="7"/>
    </row>
    <row r="63" spans="1:17" x14ac:dyDescent="0.35">
      <c r="A63" s="547"/>
      <c r="B63" s="550" t="s">
        <v>346</v>
      </c>
      <c r="C63" s="551">
        <f>'3b-SalesForecastYrs1-3'!C49-('2b-PayrollYrs1-3'!$E$26/12)-'6b-CashFlowYrs1-3'!C19-'Amortization&amp;Depreciation'!C123-'Amortization&amp;Depreciation'!C19-'Amortization&amp;Depreciation'!C39-'Amortization&amp;Depreciation'!C59-'Amortization&amp;Depreciation'!C79-'Amortization&amp;Depreciation'!C99-'6b-CashFlowYrs1-3'!C25-$E$55/12</f>
        <v>0</v>
      </c>
      <c r="D63" s="551">
        <f>'3b-SalesForecastYrs1-3'!D49-('2b-PayrollYrs1-3'!$E$26/12)-'6b-CashFlowYrs1-3'!D19-'Amortization&amp;Depreciation'!D123-'Amortization&amp;Depreciation'!D19-'Amortization&amp;Depreciation'!D39-'Amortization&amp;Depreciation'!D59-'Amortization&amp;Depreciation'!D79-'Amortization&amp;Depreciation'!D99-'6b-CashFlowYrs1-3'!D25-$E$55/12</f>
        <v>0</v>
      </c>
      <c r="E63" s="551">
        <f>'3b-SalesForecastYrs1-3'!E49-('2b-PayrollYrs1-3'!$E$26/12)-'6b-CashFlowYrs1-3'!E19-'Amortization&amp;Depreciation'!E123-'Amortization&amp;Depreciation'!E19-'Amortization&amp;Depreciation'!E39-'Amortization&amp;Depreciation'!E59-'Amortization&amp;Depreciation'!E79-'Amortization&amp;Depreciation'!E99-'6b-CashFlowYrs1-3'!E25-$E$55/12</f>
        <v>0</v>
      </c>
      <c r="F63" s="551">
        <f>'3b-SalesForecastYrs1-3'!F49-('2b-PayrollYrs1-3'!$E$26/12)-'6b-CashFlowYrs1-3'!F19-'Amortization&amp;Depreciation'!F123-'Amortization&amp;Depreciation'!F19-'Amortization&amp;Depreciation'!F39-'Amortization&amp;Depreciation'!F59-'Amortization&amp;Depreciation'!F79-'Amortization&amp;Depreciation'!F99-'6b-CashFlowYrs1-3'!F25-$E$55/12</f>
        <v>0</v>
      </c>
      <c r="G63" s="551">
        <f>'3b-SalesForecastYrs1-3'!G49-('2b-PayrollYrs1-3'!$E$26/12)-'6b-CashFlowYrs1-3'!G19-'Amortization&amp;Depreciation'!G123-'Amortization&amp;Depreciation'!G19-'Amortization&amp;Depreciation'!G39-'Amortization&amp;Depreciation'!G59-'Amortization&amp;Depreciation'!G79-'Amortization&amp;Depreciation'!G99-'6b-CashFlowYrs1-3'!G25-$E$55/12</f>
        <v>0</v>
      </c>
      <c r="H63" s="551">
        <f>'3b-SalesForecastYrs1-3'!H49-('2b-PayrollYrs1-3'!$E$26/12)-'6b-CashFlowYrs1-3'!H19-'Amortization&amp;Depreciation'!H123-'Amortization&amp;Depreciation'!H19-'Amortization&amp;Depreciation'!H39-'Amortization&amp;Depreciation'!H59-'Amortization&amp;Depreciation'!H79-'Amortization&amp;Depreciation'!H99-'6b-CashFlowYrs1-3'!H25-$E$55/12</f>
        <v>0</v>
      </c>
      <c r="I63" s="551">
        <f>'3b-SalesForecastYrs1-3'!I49-('2b-PayrollYrs1-3'!$E$26/12)-'6b-CashFlowYrs1-3'!I19-'Amortization&amp;Depreciation'!I123-'Amortization&amp;Depreciation'!I19-'Amortization&amp;Depreciation'!I39-'Amortization&amp;Depreciation'!I59-'Amortization&amp;Depreciation'!I79-'Amortization&amp;Depreciation'!I99-'6b-CashFlowYrs1-3'!I25-$E$55/12</f>
        <v>0</v>
      </c>
      <c r="J63" s="551">
        <f>'3b-SalesForecastYrs1-3'!J49-('2b-PayrollYrs1-3'!$E$26/12)-'6b-CashFlowYrs1-3'!J19-'Amortization&amp;Depreciation'!J123-'Amortization&amp;Depreciation'!J19-'Amortization&amp;Depreciation'!J39-'Amortization&amp;Depreciation'!J59-'Amortization&amp;Depreciation'!J79-'Amortization&amp;Depreciation'!J99-'6b-CashFlowYrs1-3'!J25-$E$55/12</f>
        <v>0</v>
      </c>
      <c r="K63" s="551">
        <f>'3b-SalesForecastYrs1-3'!K49-('2b-PayrollYrs1-3'!$E$26/12)-'6b-CashFlowYrs1-3'!K19-'Amortization&amp;Depreciation'!K123-'Amortization&amp;Depreciation'!K19-'Amortization&amp;Depreciation'!K39-'Amortization&amp;Depreciation'!K59-'Amortization&amp;Depreciation'!K79-'Amortization&amp;Depreciation'!K99-'6b-CashFlowYrs1-3'!K25-$E$55/12</f>
        <v>0</v>
      </c>
      <c r="L63" s="551">
        <f>'3b-SalesForecastYrs1-3'!L49-('2b-PayrollYrs1-3'!$E$26/12)-'6b-CashFlowYrs1-3'!L19-'Amortization&amp;Depreciation'!L123-'Amortization&amp;Depreciation'!L19-'Amortization&amp;Depreciation'!L39-'Amortization&amp;Depreciation'!L59-'Amortization&amp;Depreciation'!L79-'Amortization&amp;Depreciation'!L99-'6b-CashFlowYrs1-3'!L25-$E$55/12</f>
        <v>0</v>
      </c>
      <c r="M63" s="551">
        <f>'3b-SalesForecastYrs1-3'!M49-('2b-PayrollYrs1-3'!$E$26/12)-'6b-CashFlowYrs1-3'!M19-'Amortization&amp;Depreciation'!M123-'Amortization&amp;Depreciation'!M19-'Amortization&amp;Depreciation'!M39-'Amortization&amp;Depreciation'!M59-'Amortization&amp;Depreciation'!M79-'Amortization&amp;Depreciation'!M99-'6b-CashFlowYrs1-3'!M25-$E$55/12</f>
        <v>0</v>
      </c>
      <c r="N63" s="551">
        <f>'3b-SalesForecastYrs1-3'!N49-('2b-PayrollYrs1-3'!$E$26/12)-'6b-CashFlowYrs1-3'!N19-'Amortization&amp;Depreciation'!N123-'Amortization&amp;Depreciation'!N19-'Amortization&amp;Depreciation'!N39-'Amortization&amp;Depreciation'!N59-'Amortization&amp;Depreciation'!N79-'Amortization&amp;Depreciation'!N99-'6b-CashFlowYrs1-3'!N25-$E$55/12</f>
        <v>0</v>
      </c>
      <c r="O63" s="551">
        <f>SUM(C63:N63)</f>
        <v>0</v>
      </c>
      <c r="P63" s="536"/>
      <c r="Q63" s="7"/>
    </row>
    <row r="64" spans="1:17" x14ac:dyDescent="0.35">
      <c r="A64" s="547"/>
      <c r="B64" s="550" t="s">
        <v>328</v>
      </c>
      <c r="C64" s="551">
        <f>C63</f>
        <v>0</v>
      </c>
      <c r="D64" s="551">
        <f>D63+C64</f>
        <v>0</v>
      </c>
      <c r="E64" s="551">
        <f t="shared" ref="E64:N64" si="0">E63+D64</f>
        <v>0</v>
      </c>
      <c r="F64" s="551">
        <f t="shared" si="0"/>
        <v>0</v>
      </c>
      <c r="G64" s="551">
        <f t="shared" si="0"/>
        <v>0</v>
      </c>
      <c r="H64" s="551">
        <f t="shared" si="0"/>
        <v>0</v>
      </c>
      <c r="I64" s="551">
        <f t="shared" si="0"/>
        <v>0</v>
      </c>
      <c r="J64" s="551">
        <f t="shared" si="0"/>
        <v>0</v>
      </c>
      <c r="K64" s="551">
        <f t="shared" si="0"/>
        <v>0</v>
      </c>
      <c r="L64" s="551">
        <f t="shared" si="0"/>
        <v>0</v>
      </c>
      <c r="M64" s="551">
        <f t="shared" si="0"/>
        <v>0</v>
      </c>
      <c r="N64" s="551">
        <f t="shared" si="0"/>
        <v>0</v>
      </c>
      <c r="O64" s="551">
        <f t="shared" ref="O64" si="1">SUM(C64:N64)</f>
        <v>0</v>
      </c>
      <c r="P64" s="536"/>
      <c r="Q64" s="7"/>
    </row>
    <row r="65" spans="1:23" x14ac:dyDescent="0.35">
      <c r="A65" s="547"/>
      <c r="B65" s="550" t="s">
        <v>345</v>
      </c>
      <c r="C65" s="551">
        <f>IF(C64&gt;0,C63*'4-AdditionalInputs'!$C$40, 0)</f>
        <v>0</v>
      </c>
      <c r="D65" s="552">
        <f>IF(D64&gt;0,IF(C64&lt;0,(D63-ABS(C64))*'4-AdditionalInputs'!$C$40,D63*'4-AdditionalInputs'!$C$40),IF(C64&gt;0,-(C64*'4-AdditionalInputs'!$C$40),0))</f>
        <v>0</v>
      </c>
      <c r="E65" s="552">
        <f>IF(E64&gt;0,IF(D64&lt;0,(E63-ABS(D64))*'4-AdditionalInputs'!$C$40,E63*'4-AdditionalInputs'!$C$40),IF(D64&gt;0,-(D64*'4-AdditionalInputs'!$C$40),0))</f>
        <v>0</v>
      </c>
      <c r="F65" s="552">
        <f>IF(F64&gt;0,IF(E64&lt;0,(F63-ABS(E64))*'4-AdditionalInputs'!$C$40,F63*'4-AdditionalInputs'!$C$40),IF(E64&gt;0,-(E64*'4-AdditionalInputs'!$C$40),0))</f>
        <v>0</v>
      </c>
      <c r="G65" s="552">
        <f>IF(G64&gt;0,IF(F64&lt;0,(G63-ABS(F64))*'4-AdditionalInputs'!$C$40,G63*'4-AdditionalInputs'!$C$40),IF(F64&gt;0,-(F64*'4-AdditionalInputs'!$C$40),0))</f>
        <v>0</v>
      </c>
      <c r="H65" s="552">
        <f>IF(H64&gt;0,IF(G64&lt;0,(H63-ABS(G64))*'4-AdditionalInputs'!$C$40,H63*'4-AdditionalInputs'!$C$40),IF(G64&gt;0,-(G64*'4-AdditionalInputs'!$C$40),0))</f>
        <v>0</v>
      </c>
      <c r="I65" s="552">
        <f>IF(I64&gt;0,IF(H64&lt;0,(I63-ABS(H64))*'4-AdditionalInputs'!$C$40,I63*'4-AdditionalInputs'!$C$40),IF(H64&gt;0,-(H64*'4-AdditionalInputs'!$C$40),0))</f>
        <v>0</v>
      </c>
      <c r="J65" s="552">
        <f>IF(J64&gt;0,IF(I64&lt;0,(J63-ABS(I64))*'4-AdditionalInputs'!$C$40,J63*'4-AdditionalInputs'!$C$40),IF(I64&gt;0,-(I64*'4-AdditionalInputs'!$C$40),0))</f>
        <v>0</v>
      </c>
      <c r="K65" s="552">
        <f>IF(K64&gt;0,IF(J64&lt;0,(K63-ABS(J64))*'4-AdditionalInputs'!$C$40,K63*'4-AdditionalInputs'!$C$40),IF(J64&gt;0,-(J64*'4-AdditionalInputs'!$C$40),0))</f>
        <v>0</v>
      </c>
      <c r="L65" s="552">
        <f>IF(L64&gt;0,IF(K64&lt;0,(L63-ABS(K64))*'4-AdditionalInputs'!$C$40,L63*'4-AdditionalInputs'!$C$40),IF(K64&gt;0,-(K64*'4-AdditionalInputs'!$C$40),0))</f>
        <v>0</v>
      </c>
      <c r="M65" s="552">
        <f>IF(M64&gt;0,IF(L64&lt;0,(M63-ABS(L64))*'4-AdditionalInputs'!$C$40,M63*'4-AdditionalInputs'!$C$40),IF(L64&gt;0,-(L64*'4-AdditionalInputs'!$C$40),0))</f>
        <v>0</v>
      </c>
      <c r="N65" s="552">
        <f>IF(N64&gt;0,IF(M64&lt;0,(N63-ABS(M64))*'4-AdditionalInputs'!$C$40,N63*'4-AdditionalInputs'!$C$40),IF(M64&gt;0,-(M64*'4-AdditionalInputs'!$C$40),0))</f>
        <v>0</v>
      </c>
      <c r="O65" s="552">
        <f>SUM(C65:N65)</f>
        <v>0</v>
      </c>
      <c r="P65" s="536"/>
      <c r="Q65" s="7"/>
    </row>
    <row r="66" spans="1:23" x14ac:dyDescent="0.35">
      <c r="A66" s="547"/>
      <c r="B66" s="536"/>
      <c r="C66" s="536"/>
      <c r="D66" s="545"/>
      <c r="E66" s="536"/>
      <c r="F66" s="546"/>
      <c r="G66" s="536"/>
      <c r="H66" s="545"/>
      <c r="I66" s="547"/>
      <c r="J66" s="547"/>
      <c r="K66" s="536"/>
      <c r="L66" s="536"/>
      <c r="M66" s="536"/>
      <c r="N66" s="536"/>
      <c r="O66" s="536"/>
      <c r="P66" s="536"/>
      <c r="Q66" s="7"/>
      <c r="R66" s="7"/>
      <c r="S66" s="7"/>
    </row>
    <row r="67" spans="1:23" x14ac:dyDescent="0.35">
      <c r="A67" s="547"/>
      <c r="B67" s="550" t="s">
        <v>347</v>
      </c>
      <c r="C67" s="551">
        <f>('3b-SalesForecastYrs1-3'!R49-('2b-PayrollYrs1-3'!$G$26/12)-'6b-CashFlowYrs1-3'!P19)-'Amortization&amp;Depreciation'!C127-'Amortization&amp;Depreciation'!C23-'Amortization&amp;Depreciation'!C43-'Amortization&amp;Depreciation'!C63-'Amortization&amp;Depreciation'!C83-'Amortization&amp;Depreciation'!C103-'6b-CashFlowYrs1-3'!P25-$G$55/12</f>
        <v>0</v>
      </c>
      <c r="D67" s="551">
        <f>('3b-SalesForecastYrs1-3'!S49-('2b-PayrollYrs1-3'!$G$26/12)-'6b-CashFlowYrs1-3'!Q19)-'Amortization&amp;Depreciation'!D127-'Amortization&amp;Depreciation'!D23-'Amortization&amp;Depreciation'!D43-'Amortization&amp;Depreciation'!D63-'Amortization&amp;Depreciation'!D83-'Amortization&amp;Depreciation'!D103-'6b-CashFlowYrs1-3'!Q25-$G$55/12</f>
        <v>0</v>
      </c>
      <c r="E67" s="551">
        <f>('3b-SalesForecastYrs1-3'!T49-('2b-PayrollYrs1-3'!$G$26/12)-'6b-CashFlowYrs1-3'!R19)-'Amortization&amp;Depreciation'!E127-'Amortization&amp;Depreciation'!E23-'Amortization&amp;Depreciation'!E43-'Amortization&amp;Depreciation'!E63-'Amortization&amp;Depreciation'!E83-'Amortization&amp;Depreciation'!E103-'6b-CashFlowYrs1-3'!R25-$G$55/12</f>
        <v>0</v>
      </c>
      <c r="F67" s="551">
        <f>('3b-SalesForecastYrs1-3'!U49-('2b-PayrollYrs1-3'!$G$26/12)-'6b-CashFlowYrs1-3'!S19)-'Amortization&amp;Depreciation'!F127-'Amortization&amp;Depreciation'!F23-'Amortization&amp;Depreciation'!F43-'Amortization&amp;Depreciation'!F63-'Amortization&amp;Depreciation'!F83-'Amortization&amp;Depreciation'!F103-'6b-CashFlowYrs1-3'!S25-$G$55/12</f>
        <v>0</v>
      </c>
      <c r="G67" s="551">
        <f>('3b-SalesForecastYrs1-3'!V49-('2b-PayrollYrs1-3'!$G$26/12)-'6b-CashFlowYrs1-3'!T19)-'Amortization&amp;Depreciation'!G127-'Amortization&amp;Depreciation'!G23-'Amortization&amp;Depreciation'!G43-'Amortization&amp;Depreciation'!G63-'Amortization&amp;Depreciation'!G83-'Amortization&amp;Depreciation'!G103-'6b-CashFlowYrs1-3'!T25-$G$55/12</f>
        <v>0</v>
      </c>
      <c r="H67" s="551">
        <f>('3b-SalesForecastYrs1-3'!W49-('2b-PayrollYrs1-3'!$G$26/12)-'6b-CashFlowYrs1-3'!U19)-'Amortization&amp;Depreciation'!H127-'Amortization&amp;Depreciation'!H23-'Amortization&amp;Depreciation'!H43-'Amortization&amp;Depreciation'!H63-'Amortization&amp;Depreciation'!H83-'Amortization&amp;Depreciation'!H103-'6b-CashFlowYrs1-3'!U25-$G$55/12</f>
        <v>0</v>
      </c>
      <c r="I67" s="551">
        <f>('3b-SalesForecastYrs1-3'!X49-('2b-PayrollYrs1-3'!$G$26/12)-'6b-CashFlowYrs1-3'!V19)-'Amortization&amp;Depreciation'!I127-'Amortization&amp;Depreciation'!I23-'Amortization&amp;Depreciation'!I43-'Amortization&amp;Depreciation'!I63-'Amortization&amp;Depreciation'!I83-'Amortization&amp;Depreciation'!I103-'6b-CashFlowYrs1-3'!V25-$G$55/12</f>
        <v>0</v>
      </c>
      <c r="J67" s="551">
        <f>('3b-SalesForecastYrs1-3'!Y49-('2b-PayrollYrs1-3'!$G$26/12)-'6b-CashFlowYrs1-3'!W19)-'Amortization&amp;Depreciation'!J127-'Amortization&amp;Depreciation'!J23-'Amortization&amp;Depreciation'!J43-'Amortization&amp;Depreciation'!J63-'Amortization&amp;Depreciation'!J83-'Amortization&amp;Depreciation'!J103-'6b-CashFlowYrs1-3'!W25-$G$55/12</f>
        <v>0</v>
      </c>
      <c r="K67" s="551">
        <f>('3b-SalesForecastYrs1-3'!Z49-('2b-PayrollYrs1-3'!$G$26/12)-'6b-CashFlowYrs1-3'!X19)-'Amortization&amp;Depreciation'!K127-'Amortization&amp;Depreciation'!K23-'Amortization&amp;Depreciation'!K43-'Amortization&amp;Depreciation'!K63-'Amortization&amp;Depreciation'!K83-'Amortization&amp;Depreciation'!K103-'6b-CashFlowYrs1-3'!X25-$G$55/12</f>
        <v>0</v>
      </c>
      <c r="L67" s="551">
        <f>('3b-SalesForecastYrs1-3'!AA49-('2b-PayrollYrs1-3'!$G$26/12)-'6b-CashFlowYrs1-3'!Y19)-'Amortization&amp;Depreciation'!L127-'Amortization&amp;Depreciation'!L23-'Amortization&amp;Depreciation'!L43-'Amortization&amp;Depreciation'!L63-'Amortization&amp;Depreciation'!L83-'Amortization&amp;Depreciation'!L103-'6b-CashFlowYrs1-3'!Y25-$G$55/12</f>
        <v>0</v>
      </c>
      <c r="M67" s="551">
        <f>('3b-SalesForecastYrs1-3'!AB49-('2b-PayrollYrs1-3'!$G$26/12)-'6b-CashFlowYrs1-3'!Z19)-'Amortization&amp;Depreciation'!M127-'Amortization&amp;Depreciation'!M23-'Amortization&amp;Depreciation'!M43-'Amortization&amp;Depreciation'!M63-'Amortization&amp;Depreciation'!M83-'Amortization&amp;Depreciation'!M103-'6b-CashFlowYrs1-3'!Z25-$G$55/12</f>
        <v>0</v>
      </c>
      <c r="N67" s="551">
        <f>('3b-SalesForecastYrs1-3'!AC49-('2b-PayrollYrs1-3'!$G$26/12)-'6b-CashFlowYrs1-3'!AA19)-'Amortization&amp;Depreciation'!N127-'Amortization&amp;Depreciation'!N23-'Amortization&amp;Depreciation'!N43-'Amortization&amp;Depreciation'!N63-'Amortization&amp;Depreciation'!N83-'Amortization&amp;Depreciation'!N103-'6b-CashFlowYrs1-3'!AA25-$G$55/12</f>
        <v>0</v>
      </c>
      <c r="O67" s="551">
        <f>SUM(C67:N67)</f>
        <v>0</v>
      </c>
      <c r="P67" s="536"/>
      <c r="Q67" s="7"/>
      <c r="R67" s="7"/>
      <c r="S67" s="7"/>
    </row>
    <row r="68" spans="1:23" x14ac:dyDescent="0.35">
      <c r="A68" s="547"/>
      <c r="B68" s="550" t="s">
        <v>328</v>
      </c>
      <c r="C68" s="551">
        <f>C67</f>
        <v>0</v>
      </c>
      <c r="D68" s="551">
        <f>D67+C68</f>
        <v>0</v>
      </c>
      <c r="E68" s="551">
        <f t="shared" ref="E68:N68" si="2">E67+D68</f>
        <v>0</v>
      </c>
      <c r="F68" s="551">
        <f t="shared" si="2"/>
        <v>0</v>
      </c>
      <c r="G68" s="551">
        <f t="shared" si="2"/>
        <v>0</v>
      </c>
      <c r="H68" s="551">
        <f t="shared" si="2"/>
        <v>0</v>
      </c>
      <c r="I68" s="551">
        <f t="shared" si="2"/>
        <v>0</v>
      </c>
      <c r="J68" s="551">
        <f t="shared" si="2"/>
        <v>0</v>
      </c>
      <c r="K68" s="551">
        <f t="shared" si="2"/>
        <v>0</v>
      </c>
      <c r="L68" s="551">
        <f t="shared" si="2"/>
        <v>0</v>
      </c>
      <c r="M68" s="551">
        <f t="shared" si="2"/>
        <v>0</v>
      </c>
      <c r="N68" s="551">
        <f t="shared" si="2"/>
        <v>0</v>
      </c>
      <c r="O68" s="551">
        <f t="shared" ref="O68:O69" si="3">SUM(C68:N68)</f>
        <v>0</v>
      </c>
      <c r="P68" s="536"/>
      <c r="Q68" s="7"/>
      <c r="R68" s="7"/>
      <c r="S68" s="7"/>
    </row>
    <row r="69" spans="1:23" x14ac:dyDescent="0.35">
      <c r="A69" s="547"/>
      <c r="B69" s="538" t="s">
        <v>345</v>
      </c>
      <c r="C69" s="551">
        <f>IF(C68&gt;0,C67*'4-AdditionalInputs'!$C$41, 0)</f>
        <v>0</v>
      </c>
      <c r="D69" s="552">
        <f>IF(D68&gt;0,IF(C68&lt;0,(D67-ABS(C68))*'4-AdditionalInputs'!$C$41,D67*'4-AdditionalInputs'!$C$41),IF(C68&gt;0,C68*'4-AdditionalInputs'!$C$41,0))</f>
        <v>0</v>
      </c>
      <c r="E69" s="552">
        <f>IF(E68&gt;0,IF(D68&lt;0,(E67-ABS(D68))*'4-AdditionalInputs'!$C$41,E67*'4-AdditionalInputs'!$C$41),IF(D68&gt;0,D68*'4-AdditionalInputs'!$C$41,0))</f>
        <v>0</v>
      </c>
      <c r="F69" s="552">
        <f>IF(F68&gt;0,IF(E68&lt;0,(F67-ABS(E68))*'4-AdditionalInputs'!$C$41,F67*'4-AdditionalInputs'!$C$41),IF(E68&gt;0,E68*'4-AdditionalInputs'!$C$41,0))</f>
        <v>0</v>
      </c>
      <c r="G69" s="552">
        <f>IF(G68&gt;0,IF(F68&lt;0,(G67-ABS(F68))*'4-AdditionalInputs'!$C$41,G67*'4-AdditionalInputs'!$C$41),IF(F68&gt;0,F68*'4-AdditionalInputs'!$C$41,0))</f>
        <v>0</v>
      </c>
      <c r="H69" s="552">
        <f>IF(H68&gt;0,IF(G68&lt;0,(H67-ABS(G68))*'4-AdditionalInputs'!$C$41,H67*'4-AdditionalInputs'!$C$41),IF(G68&gt;0,G68*'4-AdditionalInputs'!$C$41,0))</f>
        <v>0</v>
      </c>
      <c r="I69" s="552">
        <f>IF(I68&gt;0,IF(H68&lt;0,(I67-ABS(H68))*'4-AdditionalInputs'!$C$41,I67*'4-AdditionalInputs'!$C$41),IF(H68&gt;0,H68*'4-AdditionalInputs'!$C$41,0))</f>
        <v>0</v>
      </c>
      <c r="J69" s="552">
        <f>IF(J68&gt;0,IF(I68&lt;0,(J67-ABS(I68))*'4-AdditionalInputs'!$C$41,J67*'4-AdditionalInputs'!$C$41),IF(I68&gt;0,I68*'4-AdditionalInputs'!$C$41,0))</f>
        <v>0</v>
      </c>
      <c r="K69" s="552">
        <f>IF(K68&gt;0,IF(J68&lt;0,(K67-ABS(J68))*'4-AdditionalInputs'!$C$41,K67*'4-AdditionalInputs'!$C$41),IF(J68&gt;0,J68*'4-AdditionalInputs'!$C$41,0))</f>
        <v>0</v>
      </c>
      <c r="L69" s="552">
        <f>IF(L68&gt;0,IF(K68&lt;0,(L67-ABS(K68))*'4-AdditionalInputs'!$C$41,L67*'4-AdditionalInputs'!$C$41),IF(K68&gt;0,K68*'4-AdditionalInputs'!$C$41,0))</f>
        <v>0</v>
      </c>
      <c r="M69" s="552">
        <f>IF(M68&gt;0,IF(L68&lt;0,(M67-ABS(L68))*'4-AdditionalInputs'!$C$41,M67*'4-AdditionalInputs'!$C$41),IF(L68&gt;0,L68*'4-AdditionalInputs'!$C$41,0))</f>
        <v>0</v>
      </c>
      <c r="N69" s="552">
        <f>IF(N68&gt;0,IF(M68&lt;0,(N67-ABS(M68))*'4-AdditionalInputs'!$C$41,N67*'4-AdditionalInputs'!$C$41),IF(M68&gt;0,M68*'4-AdditionalInputs'!$C$41,0))</f>
        <v>0</v>
      </c>
      <c r="O69" s="551">
        <f t="shared" si="3"/>
        <v>0</v>
      </c>
      <c r="P69" s="536"/>
      <c r="Q69" s="7"/>
      <c r="R69" s="7"/>
      <c r="S69" s="7"/>
    </row>
    <row r="70" spans="1:23" x14ac:dyDescent="0.35">
      <c r="A70" s="547"/>
      <c r="B70" s="553"/>
      <c r="C70" s="554"/>
      <c r="D70" s="554"/>
      <c r="E70" s="554"/>
      <c r="F70" s="554"/>
      <c r="G70" s="554"/>
      <c r="H70" s="554"/>
      <c r="I70" s="554"/>
      <c r="J70" s="554"/>
      <c r="K70" s="554"/>
      <c r="L70" s="554"/>
      <c r="M70" s="554"/>
      <c r="N70" s="554"/>
      <c r="O70" s="554"/>
      <c r="P70" s="536"/>
      <c r="Q70" s="7"/>
      <c r="R70" s="7"/>
      <c r="S70" s="7"/>
    </row>
    <row r="71" spans="1:23" x14ac:dyDescent="0.35">
      <c r="A71" s="547"/>
      <c r="B71" s="553"/>
      <c r="C71" s="554"/>
      <c r="D71" s="554"/>
      <c r="E71" s="554"/>
      <c r="F71" s="554"/>
      <c r="G71" s="554"/>
      <c r="H71" s="554"/>
      <c r="I71" s="554"/>
      <c r="J71" s="554"/>
      <c r="K71" s="554"/>
      <c r="L71" s="554"/>
      <c r="M71" s="554"/>
      <c r="N71" s="554"/>
      <c r="O71" s="554"/>
      <c r="P71" s="536"/>
      <c r="Q71" s="7"/>
      <c r="R71" s="7"/>
      <c r="S71" s="7"/>
    </row>
    <row r="72" spans="1:23" x14ac:dyDescent="0.35">
      <c r="A72" s="547"/>
      <c r="B72" s="553"/>
      <c r="C72" s="555"/>
      <c r="D72" s="555"/>
      <c r="E72" s="555"/>
      <c r="F72" s="555"/>
      <c r="G72" s="555"/>
      <c r="H72" s="555"/>
      <c r="I72" s="555"/>
      <c r="J72" s="555"/>
      <c r="K72" s="555"/>
      <c r="L72" s="555"/>
      <c r="M72" s="555"/>
      <c r="N72" s="555"/>
      <c r="O72" s="554"/>
      <c r="P72" s="536"/>
      <c r="Q72" s="7"/>
      <c r="R72" s="7"/>
      <c r="S72" s="7"/>
    </row>
    <row r="73" spans="1:23" x14ac:dyDescent="0.35">
      <c r="A73" s="22"/>
      <c r="B73" s="553"/>
      <c r="C73" s="554"/>
      <c r="D73" s="556"/>
      <c r="E73" s="554"/>
      <c r="F73" s="554"/>
      <c r="G73" s="554"/>
      <c r="H73" s="554"/>
      <c r="I73" s="554"/>
      <c r="J73" s="554"/>
      <c r="K73" s="554"/>
      <c r="L73" s="554"/>
      <c r="M73" s="554"/>
      <c r="N73" s="554"/>
      <c r="O73" s="554"/>
      <c r="P73" s="536"/>
      <c r="Q73" s="7"/>
      <c r="R73" s="7"/>
      <c r="S73" s="7"/>
      <c r="T73" s="7"/>
      <c r="U73" s="7"/>
      <c r="V73" s="7"/>
      <c r="W73" s="7"/>
    </row>
    <row r="74" spans="1:23" x14ac:dyDescent="0.35">
      <c r="A74" s="22"/>
      <c r="B74" s="13"/>
      <c r="C74" s="13"/>
      <c r="D74" s="347"/>
      <c r="E74" s="13"/>
      <c r="F74" s="348"/>
      <c r="G74" s="13"/>
      <c r="H74" s="347"/>
      <c r="I74" s="13"/>
      <c r="J74" s="13"/>
      <c r="K74" s="13"/>
      <c r="L74" s="13"/>
      <c r="M74" s="13"/>
      <c r="N74" s="13"/>
      <c r="O74" s="13"/>
      <c r="P74" s="7"/>
      <c r="Q74" s="7"/>
      <c r="R74" s="7"/>
      <c r="S74" s="7"/>
      <c r="T74" s="7"/>
      <c r="U74" s="7"/>
      <c r="V74" s="7"/>
      <c r="W74" s="7"/>
    </row>
    <row r="75" spans="1:23" x14ac:dyDescent="0.35">
      <c r="A75" s="22"/>
      <c r="B75" s="12"/>
      <c r="C75" s="349"/>
      <c r="D75" s="349"/>
      <c r="E75" s="349"/>
      <c r="F75" s="349"/>
      <c r="G75" s="349"/>
      <c r="H75" s="349"/>
      <c r="I75" s="349"/>
      <c r="J75" s="349"/>
      <c r="K75" s="349"/>
      <c r="L75" s="349"/>
      <c r="M75" s="349"/>
      <c r="N75" s="349"/>
      <c r="O75" s="349"/>
      <c r="P75" s="7"/>
      <c r="Q75" s="7"/>
      <c r="R75" s="7"/>
      <c r="S75" s="7"/>
      <c r="T75" s="7"/>
      <c r="U75" s="7"/>
      <c r="V75" s="7"/>
      <c r="W75" s="7"/>
    </row>
    <row r="76" spans="1:23" x14ac:dyDescent="0.35">
      <c r="A76" s="22"/>
      <c r="B76" s="12"/>
      <c r="C76" s="318"/>
      <c r="D76" s="318"/>
      <c r="E76" s="318"/>
      <c r="F76" s="318"/>
      <c r="G76" s="318"/>
      <c r="H76" s="318"/>
      <c r="I76" s="318"/>
      <c r="J76" s="318"/>
      <c r="K76" s="318"/>
      <c r="L76" s="318"/>
      <c r="M76" s="318"/>
      <c r="N76" s="318"/>
      <c r="O76" s="318"/>
      <c r="P76" s="7"/>
      <c r="Q76" s="7"/>
      <c r="R76" s="7"/>
      <c r="S76" s="7"/>
      <c r="T76" s="7"/>
      <c r="U76" s="7"/>
      <c r="V76" s="7"/>
      <c r="W76" s="7"/>
    </row>
    <row r="77" spans="1:23" x14ac:dyDescent="0.35">
      <c r="A77" s="22"/>
      <c r="B77" s="12"/>
      <c r="C77" s="318"/>
      <c r="D77" s="318"/>
      <c r="E77" s="318"/>
      <c r="F77" s="318"/>
      <c r="G77" s="318"/>
      <c r="H77" s="318"/>
      <c r="I77" s="318"/>
      <c r="J77" s="318"/>
      <c r="K77" s="318"/>
      <c r="L77" s="318"/>
      <c r="M77" s="318"/>
      <c r="N77" s="318"/>
      <c r="O77" s="318"/>
      <c r="P77" s="7"/>
      <c r="Q77" s="7"/>
      <c r="R77" s="7"/>
      <c r="S77" s="7"/>
      <c r="T77" s="7"/>
      <c r="U77" s="7"/>
      <c r="V77" s="7"/>
      <c r="W77" s="7"/>
    </row>
    <row r="78" spans="1:23" x14ac:dyDescent="0.35">
      <c r="A78" s="22"/>
      <c r="B78" s="12"/>
      <c r="C78" s="350"/>
      <c r="D78" s="350"/>
      <c r="E78" s="350"/>
      <c r="F78" s="350"/>
      <c r="G78" s="350"/>
      <c r="H78" s="350"/>
      <c r="I78" s="350"/>
      <c r="J78" s="350"/>
      <c r="K78" s="350"/>
      <c r="L78" s="350"/>
      <c r="M78" s="350"/>
      <c r="N78" s="350"/>
      <c r="O78" s="318"/>
      <c r="P78" s="7"/>
      <c r="Q78" s="7"/>
      <c r="R78" s="7"/>
      <c r="S78" s="7"/>
      <c r="T78" s="7"/>
      <c r="U78" s="7"/>
      <c r="V78" s="7"/>
      <c r="W78" s="7"/>
    </row>
    <row r="79" spans="1:23" x14ac:dyDescent="0.35">
      <c r="A79" s="22"/>
      <c r="B79" s="12"/>
      <c r="C79" s="318"/>
      <c r="D79" s="379"/>
      <c r="E79" s="318"/>
      <c r="F79" s="318"/>
      <c r="G79" s="318"/>
      <c r="H79" s="318"/>
      <c r="I79" s="318"/>
      <c r="J79" s="318"/>
      <c r="K79" s="318"/>
      <c r="L79" s="318"/>
      <c r="M79" s="318"/>
      <c r="N79" s="318"/>
      <c r="O79" s="318"/>
      <c r="P79" s="7"/>
      <c r="Q79" s="7"/>
      <c r="R79" s="7"/>
      <c r="S79" s="7"/>
      <c r="T79" s="7"/>
      <c r="U79" s="7"/>
      <c r="V79" s="7"/>
      <c r="W79" s="7"/>
    </row>
    <row r="80" spans="1:23" x14ac:dyDescent="0.35">
      <c r="A80" s="22"/>
      <c r="B80" s="7"/>
      <c r="C80" s="7"/>
      <c r="D80" s="351"/>
      <c r="E80" s="7"/>
      <c r="F80" s="352"/>
      <c r="G80" s="7"/>
      <c r="H80" s="351"/>
      <c r="I80" s="22"/>
      <c r="J80" s="22"/>
      <c r="K80" s="7"/>
      <c r="L80" s="7"/>
      <c r="M80" s="7"/>
      <c r="N80" s="7"/>
      <c r="O80" s="7"/>
      <c r="P80" s="7"/>
      <c r="Q80" s="7"/>
      <c r="R80" s="7"/>
      <c r="S80" s="7"/>
      <c r="T80" s="7"/>
      <c r="U80" s="7"/>
      <c r="V80" s="7"/>
      <c r="W80" s="7"/>
    </row>
    <row r="81" spans="1:23" x14ac:dyDescent="0.35">
      <c r="A81" s="22"/>
      <c r="B81" s="7"/>
      <c r="C81" s="7"/>
      <c r="D81" s="351"/>
      <c r="E81" s="7"/>
      <c r="F81" s="352"/>
      <c r="G81" s="7"/>
      <c r="H81" s="351"/>
      <c r="I81" s="22"/>
      <c r="J81" s="22"/>
      <c r="K81" s="7"/>
      <c r="L81" s="7"/>
      <c r="M81" s="7"/>
      <c r="N81" s="7"/>
      <c r="O81" s="7"/>
      <c r="P81" s="7"/>
      <c r="Q81" s="7"/>
      <c r="R81" s="7"/>
      <c r="S81" s="7"/>
      <c r="T81" s="7"/>
      <c r="U81" s="7"/>
      <c r="V81" s="7"/>
      <c r="W81" s="7"/>
    </row>
    <row r="82" spans="1:23" x14ac:dyDescent="0.35">
      <c r="A82" s="22"/>
      <c r="B82" s="7"/>
      <c r="C82" s="7"/>
      <c r="D82" s="351"/>
      <c r="E82" s="7"/>
      <c r="F82" s="352"/>
      <c r="G82" s="7"/>
      <c r="H82" s="351"/>
      <c r="I82" s="22"/>
      <c r="J82" s="22"/>
      <c r="K82" s="7"/>
      <c r="L82" s="7"/>
      <c r="M82" s="7"/>
      <c r="N82" s="7"/>
      <c r="O82" s="7"/>
      <c r="P82" s="7"/>
      <c r="Q82" s="7"/>
      <c r="R82" s="7"/>
      <c r="S82" s="7"/>
    </row>
  </sheetData>
  <sheetProtection algorithmName="SHA-512" hashValue="+GEpJwFyMGaNy6pthjA/QCYrikSGRBLDD7o7V4L0vs2s38KviG98XI7qvcXTrE8ujC5qURbadCBwuDglSNwQNw==" saltValue="PHEQKbbkBq/9isVTiYgQ+w==" spinCount="100000" sheet="1" objects="1" scenarios="1" formatColumns="0" formatRows="0"/>
  <mergeCells count="2">
    <mergeCell ref="B2:C2"/>
    <mergeCell ref="I2:K3"/>
  </mergeCells>
  <phoneticPr fontId="3" type="noConversion"/>
  <conditionalFormatting sqref="C14:H15 C9:D9 C25:H42 C10:C13 F9 H9">
    <cfRule type="expression" dxfId="25" priority="30" stopIfTrue="1">
      <formula>ISERROR(C9)</formula>
    </cfRule>
  </conditionalFormatting>
  <conditionalFormatting sqref="C58 E58 G58">
    <cfRule type="containsBlanks" dxfId="24" priority="20">
      <formula>LEN(TRIM(C58))=0</formula>
    </cfRule>
  </conditionalFormatting>
  <conditionalFormatting sqref="C17:C21">
    <cfRule type="expression" dxfId="23" priority="5" stopIfTrue="1">
      <formula>ISERROR(C17)</formula>
    </cfRule>
  </conditionalFormatting>
  <conditionalFormatting sqref="E9:E13">
    <cfRule type="expression" dxfId="22" priority="4" stopIfTrue="1">
      <formula>ISERROR(E9)</formula>
    </cfRule>
  </conditionalFormatting>
  <conditionalFormatting sqref="G9:G13">
    <cfRule type="expression" dxfId="21" priority="3" stopIfTrue="1">
      <formula>ISERROR(G9)</formula>
    </cfRule>
  </conditionalFormatting>
  <conditionalFormatting sqref="E17:E21">
    <cfRule type="expression" dxfId="20" priority="2" stopIfTrue="1">
      <formula>ISERROR(E17)</formula>
    </cfRule>
  </conditionalFormatting>
  <conditionalFormatting sqref="G17:G21">
    <cfRule type="expression" dxfId="19" priority="1" stopIfTrue="1">
      <formula>ISERROR(G17)</formula>
    </cfRule>
  </conditionalFormatting>
  <printOptions horizontalCentered="1" verticalCentered="1"/>
  <pageMargins left="0.7" right="0.7" top="0.75" bottom="0.75" header="0.3" footer="0.3"/>
  <pageSetup scale="58" orientation="landscape" r:id="rId1"/>
  <headerFooter scaleWithDoc="0">
    <oddHeader>&amp;C&amp;"Gill Sans MT,Regular"&amp;12Income Statement Years 1-3</oddHeader>
    <oddFooter>&amp;L&amp;"Gill Sans MT,Regular"&amp;12&amp;F&amp;C&amp;"Gill Sans MT,Regular"&amp;12&amp;A&amp;R&amp;"Gill Sans MT,Regular"&amp;12&amp;D &amp;T</oddFooter>
  </headerFooter>
  <ignoredErrors>
    <ignoredError sqref="D22:G22 D43:D44 D56:F56 G43 E43 F23:F24 D23:E23" formula="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C95B"/>
    <pageSetUpPr fitToPage="1"/>
  </sheetPr>
  <dimension ref="A1:I47"/>
  <sheetViews>
    <sheetView topLeftCell="A7" zoomScaleNormal="100" zoomScalePageLayoutView="60" workbookViewId="0">
      <selection activeCell="D20" sqref="D20"/>
    </sheetView>
  </sheetViews>
  <sheetFormatPr defaultColWidth="8.88671875" defaultRowHeight="13.8" x14ac:dyDescent="0.35"/>
  <cols>
    <col min="1" max="2" width="3.88671875" style="63" customWidth="1"/>
    <col min="3" max="3" width="41.6640625" style="71" bestFit="1" customWidth="1"/>
    <col min="4" max="4" width="15" style="71" bestFit="1" customWidth="1"/>
    <col min="5" max="6" width="16.6640625" style="71" bestFit="1" customWidth="1"/>
    <col min="7" max="9" width="8.88671875" style="63"/>
    <col min="10" max="16384" width="8.88671875" style="71"/>
  </cols>
  <sheetData>
    <row r="1" spans="1:9" s="63" customFormat="1" x14ac:dyDescent="0.35"/>
    <row r="2" spans="1:9" x14ac:dyDescent="0.35">
      <c r="A2" s="71"/>
      <c r="B2" s="71"/>
      <c r="C2" s="79" t="s">
        <v>337</v>
      </c>
      <c r="D2" s="77"/>
      <c r="E2" s="63"/>
      <c r="F2" s="190"/>
      <c r="G2" s="71"/>
      <c r="H2" s="71"/>
      <c r="I2" s="71"/>
    </row>
    <row r="3" spans="1:9" x14ac:dyDescent="0.35">
      <c r="A3" s="71"/>
      <c r="B3" s="71"/>
      <c r="C3" s="77"/>
      <c r="D3" s="77"/>
      <c r="E3" s="63"/>
      <c r="F3" s="190"/>
      <c r="G3" s="71"/>
      <c r="H3" s="71"/>
      <c r="I3" s="71"/>
    </row>
    <row r="4" spans="1:9" ht="17.25" customHeight="1" x14ac:dyDescent="0.35">
      <c r="A4" s="71"/>
      <c r="B4" s="71"/>
      <c r="C4" s="79" t="s">
        <v>130</v>
      </c>
      <c r="D4" s="79" t="s">
        <v>131</v>
      </c>
      <c r="E4" s="63"/>
      <c r="F4" s="190"/>
      <c r="G4" s="71"/>
      <c r="H4" s="71"/>
      <c r="I4" s="71"/>
    </row>
    <row r="5" spans="1:9" x14ac:dyDescent="0.35">
      <c r="A5" s="71"/>
      <c r="B5" s="71"/>
      <c r="C5" s="331" t="str">
        <f>IF(ISBLANK(Directions!C6), "Owner", Directions!C6)</f>
        <v>Thomas Francis</v>
      </c>
      <c r="D5" s="81" t="str">
        <f>IF(ISBLANK(Directions!D6), "Company 1", Directions!D6)</f>
        <v>Project "Dogen"</v>
      </c>
      <c r="E5" s="63"/>
      <c r="F5" s="190"/>
      <c r="G5" s="71"/>
      <c r="H5" s="71"/>
      <c r="I5" s="71"/>
    </row>
    <row r="6" spans="1:9" s="63" customFormat="1" x14ac:dyDescent="0.35">
      <c r="F6" s="190"/>
    </row>
    <row r="7" spans="1:9" ht="14.4" thickBot="1" x14ac:dyDescent="0.4">
      <c r="A7" s="71"/>
      <c r="B7" s="71"/>
      <c r="C7" s="413" t="s">
        <v>9</v>
      </c>
      <c r="D7" s="414">
        <f>IF(Directions!F6&gt;0,Directions!F6,"First Year")</f>
        <v>2021</v>
      </c>
      <c r="E7" s="414">
        <f>IF(Directions!F6&gt;0,Directions!F6+1,"Second Year")</f>
        <v>2022</v>
      </c>
      <c r="F7" s="414">
        <f>IF(Directions!F6&gt;0,Directions!F6+2,"Third Year")</f>
        <v>2023</v>
      </c>
      <c r="G7" s="71"/>
      <c r="H7" s="71"/>
      <c r="I7" s="71"/>
    </row>
    <row r="8" spans="1:9" ht="14.4" thickTop="1" x14ac:dyDescent="0.35">
      <c r="A8" s="71"/>
      <c r="B8" s="71"/>
      <c r="C8" s="390" t="s">
        <v>273</v>
      </c>
      <c r="D8" s="444"/>
      <c r="E8" s="444"/>
      <c r="F8" s="444"/>
      <c r="G8" s="71"/>
      <c r="H8" s="71"/>
      <c r="I8" s="71"/>
    </row>
    <row r="9" spans="1:9" x14ac:dyDescent="0.35">
      <c r="A9" s="71"/>
      <c r="B9" s="71"/>
      <c r="C9" s="220" t="s">
        <v>172</v>
      </c>
      <c r="D9" s="222">
        <f>Y1EndingCashBal</f>
        <v>0</v>
      </c>
      <c r="E9" s="222">
        <f>'6b-CashFlowYrs1-3'!N32</f>
        <v>0</v>
      </c>
      <c r="F9" s="222">
        <f>'6b-CashFlowYrs1-3'!AA32</f>
        <v>0</v>
      </c>
      <c r="G9" s="71"/>
      <c r="H9" s="71"/>
      <c r="I9" s="71"/>
    </row>
    <row r="10" spans="1:9" x14ac:dyDescent="0.35">
      <c r="A10" s="71"/>
      <c r="B10" s="71"/>
      <c r="C10" s="220" t="s">
        <v>286</v>
      </c>
      <c r="D10" s="222">
        <f>+'7a-IncomeStatementYear1'!O15-'6a-CashFlowYear1'!O12-'7a-IncomeStatementYear1'!O56</f>
        <v>0</v>
      </c>
      <c r="E10" s="222">
        <f>+D10+'7b-IncomeStatementYrs1-3'!E14-'6b-CashFlowYrs1-3'!O11-'7b-IncomeStatementYrs1-3'!E55</f>
        <v>0</v>
      </c>
      <c r="F10" s="222">
        <f>+E10+'7b-IncomeStatementYrs1-3'!G14-'6b-CashFlowYrs1-3'!AB11-'7b-IncomeStatementYrs1-3'!G55</f>
        <v>0</v>
      </c>
      <c r="G10" s="71"/>
      <c r="H10" s="71"/>
      <c r="I10" s="71"/>
    </row>
    <row r="11" spans="1:9" x14ac:dyDescent="0.35">
      <c r="A11" s="71"/>
      <c r="B11" s="71"/>
      <c r="C11" s="220" t="s">
        <v>4</v>
      </c>
      <c r="D11" s="222">
        <f>+Inventory+'6a-CashFlowYear1'!O17</f>
        <v>0</v>
      </c>
      <c r="E11" s="222">
        <f>+D11+'6b-CashFlowYrs1-3'!O16</f>
        <v>0</v>
      </c>
      <c r="F11" s="222">
        <f>+E11+'6b-CashFlowYrs1-3'!AB16</f>
        <v>0</v>
      </c>
      <c r="G11" s="71"/>
      <c r="H11" s="71"/>
      <c r="I11" s="71"/>
    </row>
    <row r="12" spans="1:9" x14ac:dyDescent="0.35">
      <c r="A12" s="71"/>
      <c r="B12" s="71"/>
      <c r="C12" s="220" t="s">
        <v>266</v>
      </c>
      <c r="D12" s="222">
        <f>+'Amortization&amp;Depreciation'!C132-'Amortization&amp;Depreciation'!C133</f>
        <v>0</v>
      </c>
      <c r="E12" s="222">
        <f>+D12-'Amortization&amp;Depreciation'!C133</f>
        <v>0</v>
      </c>
      <c r="F12" s="222">
        <f>+E12-'Amortization&amp;Depreciation'!C133</f>
        <v>0</v>
      </c>
      <c r="G12" s="71"/>
      <c r="H12" s="71"/>
      <c r="I12" s="71"/>
    </row>
    <row r="13" spans="1:9" x14ac:dyDescent="0.35">
      <c r="A13" s="71"/>
      <c r="B13" s="71"/>
      <c r="C13" s="220" t="s">
        <v>290</v>
      </c>
      <c r="D13" s="222">
        <f>+OtherStartUp-'Amortization&amp;Depreciation'!C135</f>
        <v>0</v>
      </c>
      <c r="E13" s="222">
        <f>+D13-'Amortization&amp;Depreciation'!C135</f>
        <v>0</v>
      </c>
      <c r="F13" s="222">
        <f>+E13-'Amortization&amp;Depreciation'!C135</f>
        <v>0</v>
      </c>
      <c r="G13" s="71"/>
      <c r="H13" s="71"/>
      <c r="I13" s="71"/>
    </row>
    <row r="14" spans="1:9" x14ac:dyDescent="0.35">
      <c r="A14" s="71"/>
      <c r="B14" s="71"/>
      <c r="C14" s="178" t="s">
        <v>126</v>
      </c>
      <c r="D14" s="227">
        <f>SUM(D9:D13)</f>
        <v>0</v>
      </c>
      <c r="E14" s="227">
        <f>SUM(E9:E13)</f>
        <v>0</v>
      </c>
      <c r="F14" s="227">
        <f>SUM(F9:F13)</f>
        <v>0</v>
      </c>
      <c r="G14" s="71"/>
      <c r="H14" s="71"/>
      <c r="I14" s="71"/>
    </row>
    <row r="15" spans="1:9" x14ac:dyDescent="0.35">
      <c r="A15" s="71"/>
      <c r="B15" s="71"/>
      <c r="C15" s="235"/>
      <c r="D15" s="265"/>
      <c r="E15" s="265"/>
      <c r="F15" s="265"/>
      <c r="G15" s="71"/>
      <c r="H15" s="71"/>
      <c r="I15" s="71"/>
    </row>
    <row r="16" spans="1:9" x14ac:dyDescent="0.35">
      <c r="A16" s="71"/>
      <c r="B16" s="71"/>
      <c r="C16" s="235" t="s">
        <v>33</v>
      </c>
      <c r="D16" s="280"/>
      <c r="E16" s="280"/>
      <c r="F16" s="280"/>
      <c r="G16" s="71"/>
      <c r="H16" s="71"/>
      <c r="I16" s="71"/>
    </row>
    <row r="17" spans="1:9" x14ac:dyDescent="0.35">
      <c r="A17" s="71"/>
      <c r="B17" s="71"/>
      <c r="C17" s="281" t="s">
        <v>272</v>
      </c>
      <c r="D17" s="222">
        <f t="shared" ref="D17:F17" si="0">Land</f>
        <v>0</v>
      </c>
      <c r="E17" s="222">
        <f t="shared" si="0"/>
        <v>0</v>
      </c>
      <c r="F17" s="222">
        <f t="shared" si="0"/>
        <v>0</v>
      </c>
      <c r="I17" s="71"/>
    </row>
    <row r="18" spans="1:9" x14ac:dyDescent="0.35">
      <c r="A18" s="71"/>
      <c r="B18" s="71"/>
      <c r="C18" s="281" t="s">
        <v>353</v>
      </c>
      <c r="D18" s="222">
        <f>+'4-AdditionalInputs'!P29</f>
        <v>0</v>
      </c>
      <c r="E18" s="222">
        <f>+'4-AdditionalInputs'!P29+'4-AdditionalInputs'!Q29</f>
        <v>0</v>
      </c>
      <c r="F18" s="222">
        <f>+'4-AdditionalInputs'!P29+'4-AdditionalInputs'!Q29+'4-AdditionalInputs'!R29</f>
        <v>0</v>
      </c>
      <c r="I18" s="71"/>
    </row>
    <row r="19" spans="1:9" x14ac:dyDescent="0.35">
      <c r="A19" s="71"/>
      <c r="B19" s="71"/>
      <c r="C19" s="281" t="s">
        <v>35</v>
      </c>
      <c r="D19" s="222">
        <f>+'4-AdditionalInputs'!P30</f>
        <v>0</v>
      </c>
      <c r="E19" s="222">
        <f>+'4-AdditionalInputs'!P30+'4-AdditionalInputs'!Q30</f>
        <v>0</v>
      </c>
      <c r="F19" s="222">
        <f>+'4-AdditionalInputs'!P30+'4-AdditionalInputs'!Q30+'4-AdditionalInputs'!R30</f>
        <v>0</v>
      </c>
      <c r="I19" s="71"/>
    </row>
    <row r="20" spans="1:9" x14ac:dyDescent="0.35">
      <c r="A20" s="71"/>
      <c r="B20" s="71"/>
      <c r="C20" s="281" t="s">
        <v>2</v>
      </c>
      <c r="D20" s="222">
        <f>+'4-AdditionalInputs'!P31</f>
        <v>0</v>
      </c>
      <c r="E20" s="222">
        <f>+'4-AdditionalInputs'!P31+'4-AdditionalInputs'!Q31</f>
        <v>0</v>
      </c>
      <c r="F20" s="222">
        <f>+'4-AdditionalInputs'!P31+'4-AdditionalInputs'!Q31+'4-AdditionalInputs'!R31</f>
        <v>0</v>
      </c>
      <c r="I20" s="71"/>
    </row>
    <row r="21" spans="1:9" x14ac:dyDescent="0.35">
      <c r="A21" s="71"/>
      <c r="B21" s="71"/>
      <c r="C21" s="281" t="s">
        <v>36</v>
      </c>
      <c r="D21" s="222">
        <f>+'4-AdditionalInputs'!P32</f>
        <v>0</v>
      </c>
      <c r="E21" s="222">
        <f>+'4-AdditionalInputs'!P32+'4-AdditionalInputs'!Q32</f>
        <v>0</v>
      </c>
      <c r="F21" s="222">
        <f>+'4-AdditionalInputs'!P32+'4-AdditionalInputs'!Q32+'4-AdditionalInputs'!R32</f>
        <v>0</v>
      </c>
      <c r="I21" s="71"/>
    </row>
    <row r="22" spans="1:9" x14ac:dyDescent="0.35">
      <c r="A22" s="71"/>
      <c r="B22" s="71"/>
      <c r="C22" s="281" t="s">
        <v>3</v>
      </c>
      <c r="D22" s="222">
        <f>+'4-AdditionalInputs'!P33</f>
        <v>0</v>
      </c>
      <c r="E22" s="222">
        <f>+'4-AdditionalInputs'!P33+'4-AdditionalInputs'!Q33</f>
        <v>0</v>
      </c>
      <c r="F22" s="222">
        <f>+'4-AdditionalInputs'!P33+'4-AdditionalInputs'!Q33+'4-AdditionalInputs'!R33</f>
        <v>0</v>
      </c>
      <c r="I22" s="71"/>
    </row>
    <row r="23" spans="1:9" x14ac:dyDescent="0.35">
      <c r="A23" s="71"/>
      <c r="B23" s="71"/>
      <c r="C23" s="281" t="s">
        <v>274</v>
      </c>
      <c r="D23" s="222">
        <f>+'4-AdditionalInputs'!P34</f>
        <v>0</v>
      </c>
      <c r="E23" s="222">
        <f>+'4-AdditionalInputs'!P34+'4-AdditionalInputs'!Q34</f>
        <v>0</v>
      </c>
      <c r="F23" s="222">
        <f>+'4-AdditionalInputs'!P34+'4-AdditionalInputs'!Q34+'4-AdditionalInputs'!R34</f>
        <v>0</v>
      </c>
      <c r="I23" s="71"/>
    </row>
    <row r="24" spans="1:9" x14ac:dyDescent="0.35">
      <c r="A24" s="71"/>
      <c r="B24" s="71"/>
      <c r="C24" s="130" t="s">
        <v>38</v>
      </c>
      <c r="D24" s="227">
        <f>SUM(D17:D23)</f>
        <v>0</v>
      </c>
      <c r="E24" s="227">
        <f t="shared" ref="E24:F24" si="1">SUM(E17:E23)</f>
        <v>0</v>
      </c>
      <c r="F24" s="227">
        <f t="shared" si="1"/>
        <v>0</v>
      </c>
      <c r="I24" s="71"/>
    </row>
    <row r="25" spans="1:9" x14ac:dyDescent="0.35">
      <c r="A25" s="71"/>
      <c r="B25" s="71"/>
      <c r="C25" s="235" t="s">
        <v>299</v>
      </c>
      <c r="D25" s="74">
        <f>'Amortization&amp;Depreciation'!O119</f>
        <v>0</v>
      </c>
      <c r="E25" s="74">
        <f>+D25+'Amortization&amp;Depreciation'!O123</f>
        <v>0</v>
      </c>
      <c r="F25" s="74">
        <f>E25+'Amortization&amp;Depreciation'!O127</f>
        <v>0</v>
      </c>
      <c r="I25" s="71"/>
    </row>
    <row r="26" spans="1:9" x14ac:dyDescent="0.35">
      <c r="A26" s="71"/>
      <c r="B26" s="71"/>
      <c r="C26" s="109" t="s">
        <v>10</v>
      </c>
      <c r="D26" s="74">
        <f>INT(D24+D14-D25)</f>
        <v>0</v>
      </c>
      <c r="E26" s="74">
        <f t="shared" ref="E26:F26" si="2">INT(E24+E14-E25)</f>
        <v>0</v>
      </c>
      <c r="F26" s="74">
        <f t="shared" si="2"/>
        <v>0</v>
      </c>
      <c r="I26" s="71"/>
    </row>
    <row r="27" spans="1:9" x14ac:dyDescent="0.35">
      <c r="A27" s="71"/>
      <c r="B27" s="71"/>
      <c r="C27" s="235"/>
      <c r="D27" s="265"/>
      <c r="E27" s="265"/>
      <c r="F27" s="265"/>
      <c r="I27" s="71"/>
    </row>
    <row r="28" spans="1:9" ht="14.4" thickBot="1" x14ac:dyDescent="0.4">
      <c r="A28" s="71"/>
      <c r="B28" s="71"/>
      <c r="C28" s="413" t="s">
        <v>271</v>
      </c>
      <c r="D28" s="413"/>
      <c r="E28" s="413"/>
      <c r="F28" s="413"/>
      <c r="I28" s="71"/>
    </row>
    <row r="29" spans="1:9" ht="14.4" thickTop="1" x14ac:dyDescent="0.35">
      <c r="A29" s="71"/>
      <c r="B29" s="71"/>
      <c r="C29" s="445" t="s">
        <v>141</v>
      </c>
      <c r="D29" s="446"/>
      <c r="E29" s="446"/>
      <c r="F29" s="446"/>
      <c r="I29" s="71"/>
    </row>
    <row r="30" spans="1:9" x14ac:dyDescent="0.35">
      <c r="A30" s="71"/>
      <c r="B30" s="71"/>
      <c r="C30" s="281" t="s">
        <v>277</v>
      </c>
      <c r="D30" s="222">
        <f>+'7a-IncomeStatementYear1'!O23-'6a-CashFlowYear1'!O18</f>
        <v>0</v>
      </c>
      <c r="E30" s="222">
        <f>+D30+'7b-IncomeStatementYrs1-3'!E22-'6b-CashFlowYrs1-3'!O17</f>
        <v>0</v>
      </c>
      <c r="F30" s="222">
        <f>+E30+'7b-IncomeStatementYrs1-3'!G22-'6b-CashFlowYrs1-3'!AB17</f>
        <v>0</v>
      </c>
      <c r="I30" s="71"/>
    </row>
    <row r="31" spans="1:9" x14ac:dyDescent="0.35">
      <c r="A31" s="71"/>
      <c r="B31" s="71"/>
      <c r="C31" s="281" t="s">
        <v>294</v>
      </c>
      <c r="D31" s="222">
        <f>+'Amortization&amp;Depreciation'!N17</f>
        <v>0</v>
      </c>
      <c r="E31" s="222">
        <f>+'Amortization&amp;Depreciation'!N21</f>
        <v>0</v>
      </c>
      <c r="F31" s="222">
        <f>+'Amortization&amp;Depreciation'!N25</f>
        <v>0</v>
      </c>
      <c r="G31" s="282"/>
      <c r="H31" s="282"/>
      <c r="I31" s="71"/>
    </row>
    <row r="32" spans="1:9" x14ac:dyDescent="0.35">
      <c r="A32" s="71"/>
      <c r="B32" s="71"/>
      <c r="C32" s="281" t="s">
        <v>295</v>
      </c>
      <c r="D32" s="283">
        <f>+'Amortization&amp;Depreciation'!N37</f>
        <v>0</v>
      </c>
      <c r="E32" s="283">
        <f>+'Amortization&amp;Depreciation'!N41</f>
        <v>0</v>
      </c>
      <c r="F32" s="283">
        <f>+'Amortization&amp;Depreciation'!N45</f>
        <v>0</v>
      </c>
      <c r="G32" s="282"/>
      <c r="H32" s="282"/>
      <c r="I32" s="71"/>
    </row>
    <row r="33" spans="1:9" x14ac:dyDescent="0.35">
      <c r="A33" s="71"/>
      <c r="B33" s="71"/>
      <c r="C33" s="281" t="s">
        <v>296</v>
      </c>
      <c r="D33" s="283">
        <f>+'Amortization&amp;Depreciation'!N57</f>
        <v>0</v>
      </c>
      <c r="E33" s="283">
        <f>+'Amortization&amp;Depreciation'!N61</f>
        <v>0</v>
      </c>
      <c r="F33" s="283">
        <f>+'Amortization&amp;Depreciation'!N65</f>
        <v>0</v>
      </c>
      <c r="G33" s="282"/>
      <c r="H33" s="282"/>
      <c r="I33" s="71"/>
    </row>
    <row r="34" spans="1:9" x14ac:dyDescent="0.35">
      <c r="A34" s="71"/>
      <c r="B34" s="71"/>
      <c r="C34" s="281" t="s">
        <v>297</v>
      </c>
      <c r="D34" s="283">
        <f>+'Amortization&amp;Depreciation'!N77</f>
        <v>0</v>
      </c>
      <c r="E34" s="283">
        <f>+'Amortization&amp;Depreciation'!N81</f>
        <v>0</v>
      </c>
      <c r="F34" s="283">
        <f>+'Amortization&amp;Depreciation'!N85</f>
        <v>0</v>
      </c>
      <c r="G34" s="282"/>
      <c r="H34" s="282"/>
      <c r="I34" s="71"/>
    </row>
    <row r="35" spans="1:9" x14ac:dyDescent="0.35">
      <c r="A35" s="71"/>
      <c r="B35" s="71"/>
      <c r="C35" s="281" t="s">
        <v>298</v>
      </c>
      <c r="D35" s="283">
        <f>+'Amortization&amp;Depreciation'!N97</f>
        <v>0</v>
      </c>
      <c r="E35" s="283">
        <f>+'Amortization&amp;Depreciation'!N101</f>
        <v>0</v>
      </c>
      <c r="F35" s="283">
        <f>+'Amortization&amp;Depreciation'!N105</f>
        <v>0</v>
      </c>
      <c r="G35" s="282"/>
      <c r="H35" s="282"/>
      <c r="I35" s="71"/>
    </row>
    <row r="36" spans="1:9" x14ac:dyDescent="0.35">
      <c r="A36" s="71"/>
      <c r="B36" s="71"/>
      <c r="C36" s="281" t="s">
        <v>201</v>
      </c>
      <c r="D36" s="283">
        <f>+'6a-CashFlowYear1'!N34</f>
        <v>0</v>
      </c>
      <c r="E36" s="283">
        <f>+'6b-CashFlowYrs1-3'!N33</f>
        <v>0</v>
      </c>
      <c r="F36" s="283">
        <f>+'6b-CashFlowYrs1-3'!AA33</f>
        <v>0</v>
      </c>
      <c r="G36" s="282"/>
      <c r="H36" s="282"/>
      <c r="I36" s="71"/>
    </row>
    <row r="37" spans="1:9" x14ac:dyDescent="0.35">
      <c r="A37" s="71"/>
      <c r="B37" s="71"/>
      <c r="C37" s="130" t="s">
        <v>177</v>
      </c>
      <c r="D37" s="284">
        <f>SUM(D30:D36)</f>
        <v>0</v>
      </c>
      <c r="E37" s="284">
        <f>SUM(E30:E36)</f>
        <v>0</v>
      </c>
      <c r="F37" s="284">
        <f>SUM(F30:F36)</f>
        <v>0</v>
      </c>
      <c r="I37" s="71"/>
    </row>
    <row r="38" spans="1:9" x14ac:dyDescent="0.35">
      <c r="A38" s="71"/>
      <c r="B38" s="71"/>
      <c r="C38" s="235" t="s">
        <v>268</v>
      </c>
      <c r="D38" s="280"/>
      <c r="E38" s="280"/>
      <c r="F38" s="280"/>
      <c r="I38" s="71"/>
    </row>
    <row r="39" spans="1:9" x14ac:dyDescent="0.35">
      <c r="A39" s="71"/>
      <c r="B39" s="71"/>
      <c r="C39" s="281" t="s">
        <v>269</v>
      </c>
      <c r="D39" s="222">
        <f>OwnerEquity+OutsideInvest</f>
        <v>0</v>
      </c>
      <c r="E39" s="222">
        <f>OwnerEquity+OutsideInvest</f>
        <v>0</v>
      </c>
      <c r="F39" s="222">
        <f>OwnerEquity+OutsideInvest</f>
        <v>0</v>
      </c>
      <c r="I39" s="71"/>
    </row>
    <row r="40" spans="1:9" x14ac:dyDescent="0.35">
      <c r="A40" s="71"/>
      <c r="B40" s="71"/>
      <c r="C40" s="281" t="s">
        <v>270</v>
      </c>
      <c r="D40" s="222">
        <f>'7b-IncomeStatementYrs1-3'!C59</f>
        <v>0</v>
      </c>
      <c r="E40" s="222">
        <f>D40+NetIncomeY2</f>
        <v>0</v>
      </c>
      <c r="F40" s="222">
        <f>E40+NetIncomeY3</f>
        <v>0</v>
      </c>
      <c r="I40" s="71"/>
    </row>
    <row r="41" spans="1:9" x14ac:dyDescent="0.35">
      <c r="A41" s="71"/>
      <c r="B41" s="71"/>
      <c r="C41" s="281" t="s">
        <v>302</v>
      </c>
      <c r="D41" s="222">
        <f>'6a-CashFlowYear1'!O28+'6a-CashFlowYear1'!O25</f>
        <v>0</v>
      </c>
      <c r="E41" s="222">
        <f>+D41+'6b-CashFlowYrs1-3'!O27+'6b-CashFlowYrs1-3'!O24</f>
        <v>0</v>
      </c>
      <c r="F41" s="222">
        <f>+E41+'6b-CashFlowYrs1-3'!AB27+'6b-CashFlowYrs1-3'!AB24</f>
        <v>0</v>
      </c>
      <c r="I41" s="71"/>
    </row>
    <row r="42" spans="1:9" x14ac:dyDescent="0.35">
      <c r="A42" s="71"/>
      <c r="B42" s="71"/>
      <c r="C42" s="130" t="s">
        <v>197</v>
      </c>
      <c r="D42" s="227">
        <f>+D39+D40-D41</f>
        <v>0</v>
      </c>
      <c r="E42" s="227">
        <f t="shared" ref="E42:F42" si="3">+E39+E40-E41</f>
        <v>0</v>
      </c>
      <c r="F42" s="227">
        <f t="shared" si="3"/>
        <v>0</v>
      </c>
      <c r="I42" s="71"/>
    </row>
    <row r="43" spans="1:9" x14ac:dyDescent="0.35">
      <c r="A43" s="71"/>
      <c r="B43" s="71"/>
      <c r="C43" s="66" t="s">
        <v>11</v>
      </c>
      <c r="D43" s="74">
        <f>INT(D37+D42)</f>
        <v>0</v>
      </c>
      <c r="E43" s="74">
        <f t="shared" ref="E43:F43" si="4">INT(E37+E42)</f>
        <v>0</v>
      </c>
      <c r="F43" s="74">
        <f t="shared" si="4"/>
        <v>0</v>
      </c>
      <c r="I43" s="71"/>
    </row>
    <row r="44" spans="1:9" x14ac:dyDescent="0.35">
      <c r="A44" s="71"/>
      <c r="B44" s="71"/>
      <c r="C44" s="9"/>
      <c r="D44" s="285"/>
      <c r="E44" s="285"/>
      <c r="F44" s="285"/>
      <c r="I44" s="71"/>
    </row>
    <row r="45" spans="1:9" x14ac:dyDescent="0.35">
      <c r="A45" s="71"/>
      <c r="B45" s="71"/>
      <c r="C45" s="622" t="s">
        <v>18</v>
      </c>
      <c r="D45" s="74">
        <f>D26-D43</f>
        <v>0</v>
      </c>
      <c r="E45" s="74">
        <f>E26-E43</f>
        <v>0</v>
      </c>
      <c r="F45" s="74">
        <f>F26-F43</f>
        <v>0</v>
      </c>
      <c r="I45" s="71"/>
    </row>
    <row r="46" spans="1:9" x14ac:dyDescent="0.35">
      <c r="A46" s="71"/>
      <c r="B46" s="71"/>
      <c r="C46" s="622"/>
      <c r="D46" s="95" t="str">
        <f>IF(D45=0,"Balanced!", "Warning: Not Balanced")</f>
        <v>Balanced!</v>
      </c>
      <c r="E46" s="95" t="str">
        <f>IF(E45=0,"Balanced!", "Warning: Not Balanced")</f>
        <v>Balanced!</v>
      </c>
      <c r="F46" s="95" t="str">
        <f>IF(F45=0,"Balanced!", "Warning: Not Balanced")</f>
        <v>Balanced!</v>
      </c>
      <c r="I46" s="71"/>
    </row>
    <row r="47" spans="1:9" s="63" customFormat="1" x14ac:dyDescent="0.35"/>
  </sheetData>
  <sheetProtection algorithmName="SHA-512" hashValue="k8+/nrYyXAWWNcUXGYNRZbsg6gfp8pFIOYLSsG4vhx3IQpczD94BKe6WGY4K35Zvqr3ThNqLDAVEiDbOazJueg==" saltValue="1if5JhEy2yKLPbiMg+62Lw==" spinCount="100000" sheet="1" objects="1" scenarios="1" formatColumns="0" formatRows="0"/>
  <mergeCells count="1">
    <mergeCell ref="C45:C46"/>
  </mergeCells>
  <phoneticPr fontId="3" type="noConversion"/>
  <conditionalFormatting sqref="D32:F37">
    <cfRule type="notContainsBlanks" dxfId="18" priority="34" stopIfTrue="1">
      <formula>LEN(TRIM(D32))&gt;0</formula>
    </cfRule>
    <cfRule type="containsBlanks" dxfId="17" priority="35" stopIfTrue="1">
      <formula>LEN(TRIM(D32))=0</formula>
    </cfRule>
  </conditionalFormatting>
  <conditionalFormatting sqref="D32:F37">
    <cfRule type="cellIs" dxfId="16" priority="33" stopIfTrue="1" operator="equal">
      <formula>#DIV/0!</formula>
    </cfRule>
  </conditionalFormatting>
  <conditionalFormatting sqref="E9:F9 D14 D11:F13 D25:F25 D17:F23">
    <cfRule type="expression" dxfId="15" priority="17" stopIfTrue="1">
      <formula>ISERROR(D9)</formula>
    </cfRule>
  </conditionalFormatting>
  <conditionalFormatting sqref="D43:F43">
    <cfRule type="expression" dxfId="14" priority="14" stopIfTrue="1">
      <formula>ISERROR(D43)</formula>
    </cfRule>
  </conditionalFormatting>
  <conditionalFormatting sqref="D45:F45">
    <cfRule type="expression" dxfId="13" priority="13" stopIfTrue="1">
      <formula>ISERROR(D45)</formula>
    </cfRule>
  </conditionalFormatting>
  <conditionalFormatting sqref="D30:F30">
    <cfRule type="expression" dxfId="12" priority="11" stopIfTrue="1">
      <formula>ISERROR(D30)</formula>
    </cfRule>
  </conditionalFormatting>
  <conditionalFormatting sqref="D26:F26">
    <cfRule type="expression" dxfId="11" priority="10" stopIfTrue="1">
      <formula>ISERROR(D26)</formula>
    </cfRule>
  </conditionalFormatting>
  <conditionalFormatting sqref="D24:F24">
    <cfRule type="expression" dxfId="10" priority="9" stopIfTrue="1">
      <formula>ISERROR(D24)</formula>
    </cfRule>
  </conditionalFormatting>
  <conditionalFormatting sqref="D9:D10 E10:F10">
    <cfRule type="expression" dxfId="9" priority="6" stopIfTrue="1">
      <formula>ISERROR(D9)</formula>
    </cfRule>
  </conditionalFormatting>
  <conditionalFormatting sqref="E14:F14">
    <cfRule type="expression" dxfId="8" priority="4" stopIfTrue="1">
      <formula>ISERROR(E14)</formula>
    </cfRule>
  </conditionalFormatting>
  <conditionalFormatting sqref="D31:F31">
    <cfRule type="expression" dxfId="7" priority="3" stopIfTrue="1">
      <formula>ISERROR(D31)</formula>
    </cfRule>
  </conditionalFormatting>
  <conditionalFormatting sqref="D46:F46">
    <cfRule type="containsText" dxfId="6" priority="1" operator="containsText" text="Warning:">
      <formula>NOT(ISERROR(SEARCH("Warning:",D46)))</formula>
    </cfRule>
  </conditionalFormatting>
  <printOptions horizontalCentered="1" verticalCentered="1"/>
  <pageMargins left="0.25" right="0.25" top="0.75" bottom="0.75" header="0.3" footer="0.3"/>
  <pageSetup scale="81" orientation="landscape" r:id="rId1"/>
  <headerFooter scaleWithDoc="0">
    <oddHeader>&amp;C&amp;"Gill Sans MT,Regular"&amp;12Balance Sheet Years 1-3</oddHeader>
    <oddFooter>&amp;L&amp;"Gill Sans MT,Regular"&amp;12&amp;F&amp;C&amp;"Gill Sans MT,Regular"&amp;12&amp;A&amp;R&amp;"Gill Sans MT,Regular"&amp;12&amp;D &amp;T</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339966"/>
    <pageSetUpPr fitToPage="1"/>
  </sheetPr>
  <dimension ref="A1:K48"/>
  <sheetViews>
    <sheetView zoomScaleNormal="100" workbookViewId="0">
      <selection activeCell="C10" sqref="C10"/>
    </sheetView>
  </sheetViews>
  <sheetFormatPr defaultColWidth="9.109375" defaultRowHeight="13.8" x14ac:dyDescent="0.35"/>
  <cols>
    <col min="1" max="1" width="9.109375" style="22"/>
    <col min="2" max="2" width="36.44140625" style="7" customWidth="1"/>
    <col min="3" max="3" width="17" style="7" bestFit="1" customWidth="1"/>
    <col min="4" max="4" width="14.88671875" style="24" bestFit="1" customWidth="1"/>
    <col min="5" max="5" width="9.109375" style="22"/>
    <col min="6" max="16384" width="9.109375" style="7"/>
  </cols>
  <sheetData>
    <row r="1" spans="2:7" s="22" customFormat="1" x14ac:dyDescent="0.35">
      <c r="D1" s="26"/>
    </row>
    <row r="2" spans="2:7" x14ac:dyDescent="0.35">
      <c r="B2" s="192" t="s">
        <v>350</v>
      </c>
      <c r="C2" s="22"/>
      <c r="D2" s="26"/>
      <c r="E2" s="329"/>
      <c r="F2" s="329"/>
      <c r="G2" s="329"/>
    </row>
    <row r="3" spans="2:7" x14ac:dyDescent="0.35">
      <c r="B3" s="73"/>
      <c r="C3" s="22"/>
      <c r="D3" s="26"/>
      <c r="E3" s="329"/>
      <c r="F3" s="329"/>
      <c r="G3" s="329"/>
    </row>
    <row r="4" spans="2:7" x14ac:dyDescent="0.35">
      <c r="B4" s="192" t="s">
        <v>130</v>
      </c>
      <c r="C4" s="21" t="s">
        <v>131</v>
      </c>
      <c r="D4" s="26"/>
    </row>
    <row r="5" spans="2:7" x14ac:dyDescent="0.35">
      <c r="B5" s="12" t="str">
        <f>IF(ISBLANK(Directions!C6), "Owner", Directions!C6)</f>
        <v>Thomas Francis</v>
      </c>
      <c r="C5" s="12" t="str">
        <f>IF(ISBLANK(Directions!D6), "Company 1", Directions!D6)</f>
        <v>Project "Dogen"</v>
      </c>
      <c r="D5" s="12"/>
      <c r="E5" s="12"/>
      <c r="F5" s="10"/>
    </row>
    <row r="6" spans="2:7" x14ac:dyDescent="0.35">
      <c r="B6" s="12"/>
      <c r="C6" s="12"/>
      <c r="D6" s="12"/>
      <c r="E6" s="12"/>
      <c r="F6" s="10"/>
    </row>
    <row r="7" spans="2:7" x14ac:dyDescent="0.35">
      <c r="B7" s="300"/>
      <c r="C7" s="301"/>
      <c r="D7" s="7"/>
      <c r="E7" s="12"/>
      <c r="F7" s="10"/>
    </row>
    <row r="8" spans="2:7" ht="14.4" thickBot="1" x14ac:dyDescent="0.4">
      <c r="B8" s="610" t="s">
        <v>239</v>
      </c>
      <c r="C8" s="610"/>
      <c r="D8" s="22"/>
    </row>
    <row r="9" spans="2:7" ht="14.4" thickTop="1" x14ac:dyDescent="0.35">
      <c r="B9" s="447" t="s">
        <v>136</v>
      </c>
      <c r="C9" s="448">
        <f>'7b-IncomeStatementYrs1-3'!C23</f>
        <v>0</v>
      </c>
      <c r="D9" s="22"/>
    </row>
    <row r="10" spans="2:7" x14ac:dyDescent="0.35">
      <c r="B10" s="220" t="s">
        <v>109</v>
      </c>
      <c r="C10" s="172">
        <f>'7b-IncomeStatementYrs1-3'!C14</f>
        <v>0</v>
      </c>
      <c r="D10" s="22"/>
    </row>
    <row r="11" spans="2:7" x14ac:dyDescent="0.35">
      <c r="B11" s="47" t="s">
        <v>240</v>
      </c>
      <c r="C11" s="380">
        <f>IF(C10&gt;0, C9/C10, 0)</f>
        <v>0</v>
      </c>
      <c r="D11" s="22"/>
    </row>
    <row r="12" spans="2:7" ht="14.4" thickBot="1" x14ac:dyDescent="0.4">
      <c r="B12" s="610" t="s">
        <v>241</v>
      </c>
      <c r="C12" s="610"/>
      <c r="D12" s="302"/>
      <c r="E12" s="27"/>
    </row>
    <row r="13" spans="2:7" ht="29.25" customHeight="1" thickTop="1" x14ac:dyDescent="0.35">
      <c r="B13" s="390" t="s">
        <v>213</v>
      </c>
      <c r="C13" s="449">
        <f>'2a-PayrollYear1'!R25</f>
        <v>0</v>
      </c>
      <c r="D13" s="302"/>
      <c r="E13" s="27"/>
    </row>
    <row r="14" spans="2:7" ht="29.25" customHeight="1" x14ac:dyDescent="0.35">
      <c r="B14" s="9" t="s">
        <v>137</v>
      </c>
      <c r="C14" s="303">
        <f>'5a-OpExYear1'!O38</f>
        <v>0</v>
      </c>
      <c r="D14" s="302"/>
      <c r="E14" s="27"/>
    </row>
    <row r="15" spans="2:7" x14ac:dyDescent="0.35">
      <c r="B15" s="47" t="s">
        <v>242</v>
      </c>
      <c r="C15" s="540">
        <f>SUM(C13:C14)</f>
        <v>0</v>
      </c>
      <c r="D15" s="302"/>
      <c r="E15" s="27"/>
    </row>
    <row r="16" spans="2:7" ht="14.4" thickBot="1" x14ac:dyDescent="0.4">
      <c r="B16" s="610" t="s">
        <v>227</v>
      </c>
      <c r="C16" s="610"/>
      <c r="D16" s="302"/>
      <c r="E16" s="27"/>
    </row>
    <row r="17" spans="2:11" ht="29.25" customHeight="1" thickTop="1" x14ac:dyDescent="0.35">
      <c r="B17" s="447" t="s">
        <v>243</v>
      </c>
      <c r="C17" s="450">
        <f>C11</f>
        <v>0</v>
      </c>
      <c r="D17" s="302"/>
      <c r="E17" s="27"/>
    </row>
    <row r="18" spans="2:11" ht="29.25" customHeight="1" x14ac:dyDescent="0.35">
      <c r="B18" s="220" t="s">
        <v>241</v>
      </c>
      <c r="C18" s="381">
        <f>C15</f>
        <v>0</v>
      </c>
      <c r="D18" s="302"/>
      <c r="E18" s="27"/>
    </row>
    <row r="19" spans="2:11" ht="29.25" customHeight="1" x14ac:dyDescent="0.35">
      <c r="B19" s="47" t="s">
        <v>349</v>
      </c>
      <c r="C19" s="158">
        <f>IF(C11=0,0, C15/C11)</f>
        <v>0</v>
      </c>
      <c r="D19" s="302"/>
      <c r="E19" s="27"/>
    </row>
    <row r="20" spans="2:11" x14ac:dyDescent="0.35">
      <c r="B20" s="319" t="s">
        <v>309</v>
      </c>
      <c r="C20" s="304">
        <f>C19/12</f>
        <v>0</v>
      </c>
      <c r="D20" s="305"/>
      <c r="E20" s="27"/>
    </row>
    <row r="21" spans="2:11" x14ac:dyDescent="0.35">
      <c r="B21" s="12"/>
      <c r="C21" s="306"/>
      <c r="D21" s="305"/>
      <c r="E21" s="27"/>
    </row>
    <row r="22" spans="2:11" x14ac:dyDescent="0.35">
      <c r="B22" s="12"/>
      <c r="C22" s="307"/>
      <c r="D22" s="305"/>
      <c r="E22" s="27"/>
    </row>
    <row r="23" spans="2:11" x14ac:dyDescent="0.35">
      <c r="B23" s="81"/>
      <c r="C23" s="308"/>
      <c r="D23" s="305"/>
      <c r="E23" s="27"/>
    </row>
    <row r="24" spans="2:11" x14ac:dyDescent="0.35">
      <c r="B24" s="309"/>
      <c r="C24" s="310"/>
      <c r="D24" s="311"/>
      <c r="E24" s="27"/>
    </row>
    <row r="25" spans="2:11" x14ac:dyDescent="0.35">
      <c r="B25" s="309"/>
      <c r="C25" s="312"/>
      <c r="D25" s="311"/>
      <c r="E25" s="27"/>
    </row>
    <row r="26" spans="2:11" x14ac:dyDescent="0.35">
      <c r="B26" s="28"/>
      <c r="C26" s="310"/>
      <c r="D26" s="313"/>
      <c r="E26" s="27"/>
      <c r="J26" s="10"/>
      <c r="K26" s="10"/>
    </row>
    <row r="27" spans="2:11" x14ac:dyDescent="0.35">
      <c r="B27" s="28"/>
      <c r="C27" s="310"/>
      <c r="D27" s="313"/>
      <c r="E27" s="27"/>
      <c r="J27" s="35"/>
      <c r="K27" s="35"/>
    </row>
    <row r="28" spans="2:11" x14ac:dyDescent="0.35">
      <c r="B28" s="28"/>
      <c r="C28" s="310"/>
      <c r="D28" s="313"/>
      <c r="E28" s="27"/>
    </row>
    <row r="29" spans="2:11" x14ac:dyDescent="0.35">
      <c r="B29" s="28"/>
      <c r="C29" s="310"/>
      <c r="D29" s="313"/>
      <c r="E29" s="27"/>
    </row>
    <row r="30" spans="2:11" x14ac:dyDescent="0.35">
      <c r="B30" s="28"/>
      <c r="C30" s="310"/>
      <c r="D30" s="313"/>
      <c r="E30" s="27"/>
    </row>
    <row r="31" spans="2:11" x14ac:dyDescent="0.35">
      <c r="B31" s="28"/>
      <c r="C31" s="310"/>
      <c r="D31" s="313"/>
      <c r="E31" s="27"/>
    </row>
    <row r="32" spans="2:11" x14ac:dyDescent="0.35">
      <c r="B32" s="28"/>
      <c r="C32" s="310"/>
      <c r="D32" s="313"/>
      <c r="E32" s="27"/>
    </row>
    <row r="33" spans="1:5" x14ac:dyDescent="0.35">
      <c r="B33" s="28"/>
      <c r="C33" s="310"/>
      <c r="D33" s="313"/>
      <c r="E33" s="27"/>
    </row>
    <row r="34" spans="1:5" x14ac:dyDescent="0.35">
      <c r="B34" s="28"/>
      <c r="C34" s="310"/>
      <c r="D34" s="313"/>
      <c r="E34" s="27"/>
    </row>
    <row r="35" spans="1:5" x14ac:dyDescent="0.35">
      <c r="B35" s="28"/>
      <c r="C35" s="310"/>
      <c r="D35" s="313"/>
      <c r="E35" s="27"/>
    </row>
    <row r="36" spans="1:5" x14ac:dyDescent="0.35">
      <c r="B36" s="28"/>
      <c r="C36" s="310"/>
      <c r="D36" s="313"/>
      <c r="E36" s="27"/>
    </row>
    <row r="37" spans="1:5" x14ac:dyDescent="0.35">
      <c r="B37" s="28"/>
      <c r="C37" s="310"/>
      <c r="D37" s="313"/>
      <c r="E37" s="27"/>
    </row>
    <row r="38" spans="1:5" x14ac:dyDescent="0.35">
      <c r="B38" s="28"/>
      <c r="C38" s="310"/>
      <c r="D38" s="313"/>
      <c r="E38" s="25"/>
    </row>
    <row r="39" spans="1:5" x14ac:dyDescent="0.35">
      <c r="B39" s="28"/>
      <c r="C39" s="310"/>
      <c r="D39" s="314"/>
      <c r="E39" s="25"/>
    </row>
    <row r="40" spans="1:5" x14ac:dyDescent="0.35">
      <c r="B40" s="309"/>
      <c r="C40" s="315"/>
      <c r="D40" s="316"/>
      <c r="E40" s="25"/>
    </row>
    <row r="41" spans="1:5" x14ac:dyDescent="0.35">
      <c r="B41" s="309"/>
      <c r="C41" s="315"/>
      <c r="D41" s="316"/>
      <c r="E41" s="25"/>
    </row>
    <row r="42" spans="1:5" x14ac:dyDescent="0.35">
      <c r="B42" s="13"/>
      <c r="C42" s="317"/>
      <c r="D42" s="316"/>
      <c r="E42" s="25"/>
    </row>
    <row r="43" spans="1:5" x14ac:dyDescent="0.35">
      <c r="B43" s="12"/>
      <c r="C43" s="12"/>
      <c r="D43" s="318"/>
      <c r="E43" s="25"/>
    </row>
    <row r="44" spans="1:5" x14ac:dyDescent="0.35">
      <c r="B44" s="309"/>
      <c r="C44" s="317"/>
      <c r="D44" s="316"/>
      <c r="E44" s="25"/>
    </row>
    <row r="45" spans="1:5" s="22" customFormat="1" x14ac:dyDescent="0.35">
      <c r="A45" s="25"/>
      <c r="B45" s="25"/>
      <c r="C45" s="25"/>
      <c r="D45" s="25"/>
      <c r="E45" s="25"/>
    </row>
    <row r="46" spans="1:5" s="22" customFormat="1" x14ac:dyDescent="0.35">
      <c r="B46" s="28"/>
      <c r="C46" s="28"/>
      <c r="D46" s="29"/>
      <c r="E46" s="25"/>
    </row>
    <row r="47" spans="1:5" x14ac:dyDescent="0.35">
      <c r="B47" s="11"/>
      <c r="C47" s="11"/>
      <c r="D47" s="23"/>
      <c r="E47" s="25"/>
    </row>
    <row r="48" spans="1:5" x14ac:dyDescent="0.35">
      <c r="B48" s="11"/>
      <c r="C48" s="11"/>
      <c r="D48" s="23"/>
      <c r="E48" s="25"/>
    </row>
  </sheetData>
  <sheetProtection password="CC3D" sheet="1" objects="1" scenarios="1" formatColumns="0" formatRows="0"/>
  <mergeCells count="3">
    <mergeCell ref="B8:C8"/>
    <mergeCell ref="B12:C12"/>
    <mergeCell ref="B16:C16"/>
  </mergeCells>
  <phoneticPr fontId="3" type="noConversion"/>
  <printOptions horizontalCentered="1"/>
  <pageMargins left="0.25" right="0.25" top="0.75" bottom="0.75" header="0.3" footer="0.3"/>
  <pageSetup orientation="landscape" r:id="rId1"/>
  <headerFooter scaleWithDoc="0">
    <oddHeader>&amp;C&amp;"Gill Sans MT,Regular"&amp;12Breakeven Analysis</oddHeader>
    <oddFooter>&amp;L&amp;"Gill Sans MT,Regular"&amp;12&amp;F&amp;C&amp;"Gill Sans MT,Regular"&amp;12&amp;A&amp;R&amp;"Gill Sans MT,Regular"&amp;12&amp;D &amp;T</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339966"/>
    <pageSetUpPr fitToPage="1"/>
  </sheetPr>
  <dimension ref="A1:H33"/>
  <sheetViews>
    <sheetView zoomScaleNormal="100" workbookViewId="0">
      <selection activeCell="F9" sqref="F9"/>
    </sheetView>
  </sheetViews>
  <sheetFormatPr defaultColWidth="17.5546875" defaultRowHeight="13.8" x14ac:dyDescent="0.35"/>
  <cols>
    <col min="1" max="1" width="9.33203125" style="63" customWidth="1"/>
    <col min="2" max="2" width="39.88671875" style="71" customWidth="1"/>
    <col min="3" max="3" width="15" style="71" bestFit="1" customWidth="1"/>
    <col min="4" max="4" width="10.44140625" style="63" bestFit="1" customWidth="1"/>
    <col min="5" max="5" width="12.33203125" style="71" bestFit="1" customWidth="1"/>
    <col min="6" max="6" width="17.33203125" style="71" bestFit="1" customWidth="1"/>
    <col min="7" max="7" width="12.33203125" style="71" customWidth="1"/>
    <col min="8" max="16384" width="17.5546875" style="71"/>
  </cols>
  <sheetData>
    <row r="1" spans="1:7" s="63" customFormat="1" x14ac:dyDescent="0.35">
      <c r="A1" s="21"/>
      <c r="B1" s="21"/>
    </row>
    <row r="2" spans="1:7" s="63" customFormat="1" x14ac:dyDescent="0.35">
      <c r="B2" s="76" t="s">
        <v>236</v>
      </c>
    </row>
    <row r="3" spans="1:7" s="63" customFormat="1" x14ac:dyDescent="0.35">
      <c r="B3" s="296"/>
    </row>
    <row r="4" spans="1:7" s="63" customFormat="1" x14ac:dyDescent="0.35">
      <c r="B4" s="286" t="s">
        <v>130</v>
      </c>
      <c r="C4" s="297" t="s">
        <v>131</v>
      </c>
    </row>
    <row r="5" spans="1:7" s="63" customFormat="1" x14ac:dyDescent="0.35">
      <c r="A5" s="21"/>
      <c r="B5" s="203" t="str">
        <f>IF(ISBLANK(Directions!C6), "Owner", Directions!C6)</f>
        <v>Thomas Francis</v>
      </c>
      <c r="C5" s="298" t="str">
        <f>IF(ISBLANK(Directions!D6), "Company 1", Directions!D6)</f>
        <v>Project "Dogen"</v>
      </c>
      <c r="D5" s="22"/>
      <c r="E5" s="22"/>
    </row>
    <row r="6" spans="1:7" s="63" customFormat="1" x14ac:dyDescent="0.35">
      <c r="A6" s="13"/>
      <c r="B6" s="13"/>
      <c r="C6" s="12"/>
      <c r="D6" s="22"/>
      <c r="E6" s="22"/>
    </row>
    <row r="7" spans="1:7" ht="14.4" thickBot="1" x14ac:dyDescent="0.4">
      <c r="B7" s="413" t="s">
        <v>196</v>
      </c>
      <c r="C7" s="413" t="s">
        <v>167</v>
      </c>
      <c r="D7" s="413" t="s">
        <v>170</v>
      </c>
      <c r="E7" s="413" t="s">
        <v>171</v>
      </c>
      <c r="F7" s="413" t="s">
        <v>204</v>
      </c>
      <c r="G7" s="413" t="s">
        <v>32</v>
      </c>
    </row>
    <row r="8" spans="1:7" ht="14.4" thickTop="1" x14ac:dyDescent="0.35">
      <c r="A8" s="13"/>
      <c r="B8" s="451" t="s">
        <v>178</v>
      </c>
      <c r="C8" s="452"/>
      <c r="D8" s="453"/>
      <c r="E8" s="390"/>
      <c r="F8" s="390"/>
      <c r="G8" s="390"/>
    </row>
    <row r="9" spans="1:7" x14ac:dyDescent="0.35">
      <c r="A9" s="13"/>
      <c r="B9" s="322" t="s">
        <v>179</v>
      </c>
      <c r="C9" s="323">
        <f>IF('8-BalanceSheet'!D37=0,0,'8-BalanceSheet'!D14/'8-BalanceSheet'!D37)</f>
        <v>0</v>
      </c>
      <c r="D9" s="323">
        <f>IF('8-BalanceSheet'!E37=0,0,'8-BalanceSheet'!E14/'8-BalanceSheet'!E37)</f>
        <v>0</v>
      </c>
      <c r="E9" s="323">
        <f>IF('8-BalanceSheet'!F37=0,0,'8-BalanceSheet'!F14/'8-BalanceSheet'!F37)</f>
        <v>0</v>
      </c>
      <c r="F9" s="324"/>
      <c r="G9" s="9"/>
    </row>
    <row r="10" spans="1:7" s="63" customFormat="1" x14ac:dyDescent="0.35">
      <c r="A10" s="13"/>
      <c r="B10" s="322" t="s">
        <v>180</v>
      </c>
      <c r="C10" s="323">
        <f>IF('8-BalanceSheet'!D37=0,0,('8-BalanceSheet'!D9+'8-BalanceSheet'!D10)/'8-BalanceSheet'!D37)</f>
        <v>0</v>
      </c>
      <c r="D10" s="323">
        <f>IF('8-BalanceSheet'!E37=0,0,('8-BalanceSheet'!E9+'8-BalanceSheet'!E10)/'8-BalanceSheet'!E37)</f>
        <v>0</v>
      </c>
      <c r="E10" s="323">
        <f>IF('8-BalanceSheet'!F37=0,0,('8-BalanceSheet'!F9+'8-BalanceSheet'!F10)/'8-BalanceSheet'!F37)</f>
        <v>0</v>
      </c>
      <c r="F10" s="324"/>
      <c r="G10" s="9"/>
    </row>
    <row r="11" spans="1:7" x14ac:dyDescent="0.35">
      <c r="A11" s="13"/>
      <c r="B11" s="60" t="s">
        <v>181</v>
      </c>
      <c r="C11" s="323"/>
      <c r="D11" s="323"/>
      <c r="E11" s="323"/>
      <c r="F11" s="324"/>
      <c r="G11" s="9"/>
    </row>
    <row r="12" spans="1:7" x14ac:dyDescent="0.35">
      <c r="A12" s="13"/>
      <c r="B12" s="322" t="s">
        <v>80</v>
      </c>
      <c r="C12" s="323">
        <f>IF('8-BalanceSheet'!D42=0,0,'8-BalanceSheet'!D37/'8-BalanceSheet'!D42)</f>
        <v>0</v>
      </c>
      <c r="D12" s="323">
        <f>IF('8-BalanceSheet'!E42=0,0,'8-BalanceSheet'!E37/'8-BalanceSheet'!E42)</f>
        <v>0</v>
      </c>
      <c r="E12" s="323">
        <f>IF('8-BalanceSheet'!F42=0,0,'8-BalanceSheet'!F37/'8-BalanceSheet'!F42)</f>
        <v>0</v>
      </c>
      <c r="F12" s="324"/>
      <c r="G12" s="9"/>
    </row>
    <row r="13" spans="1:7" x14ac:dyDescent="0.35">
      <c r="A13" s="13"/>
      <c r="B13" s="322" t="s">
        <v>310</v>
      </c>
      <c r="C13" s="323">
        <f>IF('8-BalanceSheet'!D37=0,0,('7a-IncomeStatementYear1'!O60+'7a-IncomeStatementYear1'!O48)/'8-BalanceSheet'!D37)</f>
        <v>0</v>
      </c>
      <c r="D13" s="323">
        <f>IF('8-BalanceSheet'!E37=0,0,('7b-IncomeStatementYrs1-3'!E47+NetIncomeY2)/'8-BalanceSheet'!E37)</f>
        <v>0</v>
      </c>
      <c r="E13" s="323">
        <f>IF('8-BalanceSheet'!F37=0,0,('7b-IncomeStatementYrs1-3'!G47+NetIncomeY3)/'8-BalanceSheet'!F37)</f>
        <v>0</v>
      </c>
      <c r="F13" s="324"/>
      <c r="G13" s="9"/>
    </row>
    <row r="14" spans="1:7" x14ac:dyDescent="0.35">
      <c r="A14" s="13"/>
      <c r="B14" s="60" t="s">
        <v>182</v>
      </c>
      <c r="C14" s="325"/>
      <c r="D14" s="325"/>
      <c r="E14" s="325"/>
      <c r="F14" s="9"/>
      <c r="G14" s="9"/>
    </row>
    <row r="15" spans="1:7" x14ac:dyDescent="0.35">
      <c r="A15" s="13"/>
      <c r="B15" s="322" t="s">
        <v>183</v>
      </c>
      <c r="C15" s="326">
        <v>0</v>
      </c>
      <c r="D15" s="326">
        <f>IF('7b-IncomeStatementYrs1-3'!C14=0,0,('7b-IncomeStatementYrs1-3'!E14- '7b-IncomeStatementYrs1-3'!C14)/'7b-IncomeStatementYrs1-3'!C14)</f>
        <v>0</v>
      </c>
      <c r="E15" s="326">
        <f>IF('7b-IncomeStatementYrs1-3'!E14=0,0,('7b-IncomeStatementYrs1-3'!G14- '7b-IncomeStatementYrs1-3'!E14)/'7b-IncomeStatementYrs1-3'!E14)</f>
        <v>0</v>
      </c>
      <c r="F15" s="327"/>
      <c r="G15" s="9"/>
    </row>
    <row r="16" spans="1:7" x14ac:dyDescent="0.35">
      <c r="A16" s="13"/>
      <c r="B16" s="322" t="s">
        <v>184</v>
      </c>
      <c r="C16" s="326">
        <f>IF('7b-IncomeStatementYrs1-3'!C14=0,0,'7b-IncomeStatementYrs1-3'!C22/'7b-IncomeStatementYrs1-3'!C14)</f>
        <v>0</v>
      </c>
      <c r="D16" s="326">
        <f>IF('7b-IncomeStatementYrs1-3'!E14=0,0,'7b-IncomeStatementYrs1-3'!E22/'7b-IncomeStatementYrs1-3'!E14)</f>
        <v>0</v>
      </c>
      <c r="E16" s="326">
        <f>IF('7b-IncomeStatementYrs1-3'!G14=0,0,'7b-IncomeStatementYrs1-3'!G22/'7b-IncomeStatementYrs1-3'!G14)</f>
        <v>0</v>
      </c>
      <c r="F16" s="327"/>
      <c r="G16" s="9"/>
    </row>
    <row r="17" spans="1:8" s="63" customFormat="1" x14ac:dyDescent="0.35">
      <c r="A17" s="13"/>
      <c r="B17" s="322" t="s">
        <v>185</v>
      </c>
      <c r="C17" s="326">
        <f>BreakevenAnalysis!C11</f>
        <v>0</v>
      </c>
      <c r="D17" s="326">
        <f>IF('7b-IncomeStatementYrs1-3'!E14=0,0,'7b-IncomeStatementYrs1-3'!E23/'7b-IncomeStatementYrs1-3'!E14)</f>
        <v>0</v>
      </c>
      <c r="E17" s="326">
        <f>IF('7b-IncomeStatementYrs1-3'!G14=0,0,'7b-IncomeStatementYrs1-3'!G23/'7b-IncomeStatementYrs1-3'!G14)</f>
        <v>0</v>
      </c>
      <c r="F17" s="327"/>
      <c r="G17" s="9"/>
    </row>
    <row r="18" spans="1:8" x14ac:dyDescent="0.35">
      <c r="A18" s="13"/>
      <c r="B18" s="322" t="s">
        <v>186</v>
      </c>
      <c r="C18" s="326">
        <f>IF('7a-IncomeStatementYear1'!O15=0,0,('7a-IncomeStatementYear1'!O25+'7a-IncomeStatementYear1'!O44)/'7a-IncomeStatementYear1'!O15)</f>
        <v>0</v>
      </c>
      <c r="D18" s="326">
        <f>IF('7b-IncomeStatementYrs1-3'!E14=0,0,('7b-IncomeStatementYrs1-3'!E24+'7b-IncomeStatementYrs1-3'!E43)/'7b-IncomeStatementYrs1-3'!E14)</f>
        <v>0</v>
      </c>
      <c r="E18" s="326">
        <f>IF('7b-IncomeStatementYrs1-3'!G14=0,0,('7b-IncomeStatementYrs1-3'!G24+'7b-IncomeStatementYrs1-3'!G43)/'7b-IncomeStatementYrs1-3'!G14)</f>
        <v>0</v>
      </c>
      <c r="F18" s="327"/>
      <c r="G18" s="9"/>
    </row>
    <row r="19" spans="1:8" x14ac:dyDescent="0.35">
      <c r="A19" s="13"/>
      <c r="B19" s="322" t="s">
        <v>187</v>
      </c>
      <c r="C19" s="326">
        <f>IF('7b-IncomeStatementYrs1-3'!C14=0,0,NetIncomeY1/'7b-IncomeStatementYrs1-3'!C14)</f>
        <v>0</v>
      </c>
      <c r="D19" s="326">
        <f>IF('7b-IncomeStatementYrs1-3'!E14=0,0,NetIncomeY2/'7b-IncomeStatementYrs1-3'!E14)</f>
        <v>0</v>
      </c>
      <c r="E19" s="326">
        <f>IF('7b-IncomeStatementYrs1-3'!G14=0,0,NetIncomeY3/'7b-IncomeStatementYrs1-3'!G14)</f>
        <v>0</v>
      </c>
      <c r="F19" s="327"/>
      <c r="G19" s="9"/>
    </row>
    <row r="20" spans="1:8" x14ac:dyDescent="0.35">
      <c r="A20" s="13"/>
      <c r="B20" s="322" t="s">
        <v>205</v>
      </c>
      <c r="C20" s="326">
        <f>IF('8-BalanceSheet'!D42=0,0, NetIncomeY1/'8-BalanceSheet'!D42)</f>
        <v>0</v>
      </c>
      <c r="D20" s="326">
        <f>IF('8-BalanceSheet'!E42=0,0, NetIncomeY2/'8-BalanceSheet'!E42)</f>
        <v>0</v>
      </c>
      <c r="E20" s="326">
        <f>IF('8-BalanceSheet'!F42=0,0, NetIncomeY3/'8-BalanceSheet'!F42)</f>
        <v>0</v>
      </c>
      <c r="F20" s="327"/>
      <c r="G20" s="9"/>
    </row>
    <row r="21" spans="1:8" x14ac:dyDescent="0.35">
      <c r="A21" s="13"/>
      <c r="B21" s="322" t="s">
        <v>188</v>
      </c>
      <c r="C21" s="326">
        <f>IF('8-BalanceSheet'!D26=0,0, NetIncomeY1/'8-BalanceSheet'!D26)</f>
        <v>0</v>
      </c>
      <c r="D21" s="326">
        <f>IF('8-BalanceSheet'!E26=0,0, NetIncomeY2/'8-BalanceSheet'!E26)</f>
        <v>0</v>
      </c>
      <c r="E21" s="326">
        <f>IF('8-BalanceSheet'!F26=0,0, NetIncomeY3/'8-BalanceSheet'!F26)</f>
        <v>0</v>
      </c>
      <c r="F21" s="327"/>
      <c r="G21" s="9"/>
    </row>
    <row r="22" spans="1:8" x14ac:dyDescent="0.35">
      <c r="A22" s="13"/>
      <c r="B22" s="322" t="s">
        <v>189</v>
      </c>
      <c r="C22" s="326">
        <f>IF('7b-IncomeStatementYrs1-3'!C14=0,0,'2b-PayrollYrs1-3'!C9/'7b-IncomeStatementYrs1-3'!C14)</f>
        <v>0</v>
      </c>
      <c r="D22" s="326">
        <f>IF('7b-IncomeStatementYrs1-3'!E14=0,0,'2b-PayrollYrs1-3'!E9/'7b-IncomeStatementYrs1-3'!E14)</f>
        <v>0</v>
      </c>
      <c r="E22" s="326">
        <f>IF('7b-IncomeStatementYrs1-3'!G14=0,0,'2b-PayrollYrs1-3'!G9/'7b-IncomeStatementYrs1-3'!G14)</f>
        <v>0</v>
      </c>
      <c r="F22" s="327"/>
      <c r="G22" s="9"/>
    </row>
    <row r="23" spans="1:8" x14ac:dyDescent="0.35">
      <c r="A23" s="13"/>
      <c r="B23" s="60" t="s">
        <v>190</v>
      </c>
      <c r="C23" s="325"/>
      <c r="D23" s="325"/>
      <c r="E23" s="325"/>
      <c r="F23" s="9"/>
      <c r="G23" s="9"/>
    </row>
    <row r="24" spans="1:8" s="320" customFormat="1" x14ac:dyDescent="0.35">
      <c r="A24" s="13"/>
      <c r="B24" s="322" t="s">
        <v>191</v>
      </c>
      <c r="C24" s="323">
        <f>IF('7b-IncomeStatementYrs1-3'!C14=0,0, '8-BalanceSheet'!D10/'7b-IncomeStatementYrs1-3'!C14 * 360)</f>
        <v>0</v>
      </c>
      <c r="D24" s="323">
        <f>IF('7b-IncomeStatementYrs1-3'!E14=0,0,'8-BalanceSheet'!E10/'7b-IncomeStatementYrs1-3'!E14)*360</f>
        <v>0</v>
      </c>
      <c r="E24" s="323">
        <f>IF('7b-IncomeStatementYrs1-3'!G14=0,0, '8-BalanceSheet'!F10/'7b-IncomeStatementYrs1-3'!G14 * 360)</f>
        <v>0</v>
      </c>
      <c r="F24" s="324"/>
      <c r="G24" s="9"/>
    </row>
    <row r="25" spans="1:8" s="63" customFormat="1" x14ac:dyDescent="0.35">
      <c r="A25" s="13"/>
      <c r="B25" s="322" t="s">
        <v>192</v>
      </c>
      <c r="C25" s="323">
        <f>IF('8-BalanceSheet'!D10=0,0,'7b-IncomeStatementYrs1-3'!C14/'8-BalanceSheet'!D10)</f>
        <v>0</v>
      </c>
      <c r="D25" s="323">
        <f>IF('8-BalanceSheet'!E10=0,0,'7b-IncomeStatementYrs1-3'!E14/'8-BalanceSheet'!E10)</f>
        <v>0</v>
      </c>
      <c r="E25" s="323">
        <f>IF('8-BalanceSheet'!F10=0,0,'7b-IncomeStatementYrs1-3'!G14/'8-BalanceSheet'!F10)</f>
        <v>0</v>
      </c>
      <c r="F25" s="324"/>
      <c r="G25" s="9"/>
    </row>
    <row r="26" spans="1:8" x14ac:dyDescent="0.35">
      <c r="A26" s="13"/>
      <c r="B26" s="322" t="s">
        <v>193</v>
      </c>
      <c r="C26" s="323">
        <f>IF('7b-IncomeStatementYrs1-3'!C22=0,0,'8-BalanceSheet'!D11/'7b-IncomeStatementYrs1-3'!C22*360)</f>
        <v>0</v>
      </c>
      <c r="D26" s="323">
        <f>IF('7b-IncomeStatementYrs1-3'!E22=0,0,'8-BalanceSheet'!E11/'7b-IncomeStatementYrs1-3'!E22*365)</f>
        <v>0</v>
      </c>
      <c r="E26" s="323">
        <f>IF('7b-IncomeStatementYrs1-3'!G22=0,0,'8-BalanceSheet'!F11/'7b-IncomeStatementYrs1-3'!G22*365)</f>
        <v>0</v>
      </c>
      <c r="F26" s="324"/>
      <c r="G26" s="9"/>
    </row>
    <row r="27" spans="1:8" x14ac:dyDescent="0.35">
      <c r="A27" s="13"/>
      <c r="B27" s="322" t="s">
        <v>194</v>
      </c>
      <c r="C27" s="323">
        <f>IF('8-BalanceSheet'!D11=0,0,'7b-IncomeStatementYrs1-3'!C22/'8-BalanceSheet'!D11)</f>
        <v>0</v>
      </c>
      <c r="D27" s="323">
        <f>IF('8-BalanceSheet'!E11=0,0,'7b-IncomeStatementYrs1-3'!E22/'8-BalanceSheet'!E11)</f>
        <v>0</v>
      </c>
      <c r="E27" s="323">
        <f>IF('8-BalanceSheet'!F11=0,0,'7b-IncomeStatementYrs1-3'!G22/'8-BalanceSheet'!F11)</f>
        <v>0</v>
      </c>
      <c r="F27" s="324"/>
      <c r="G27" s="9"/>
    </row>
    <row r="28" spans="1:8" s="320" customFormat="1" x14ac:dyDescent="0.35">
      <c r="A28" s="13"/>
      <c r="B28" s="322" t="s">
        <v>195</v>
      </c>
      <c r="C28" s="323">
        <f>IF('8-BalanceSheet'!D26=0,0,'7b-IncomeStatementYrs1-3'!C14/'8-BalanceSheet'!D26)</f>
        <v>0</v>
      </c>
      <c r="D28" s="323">
        <f>IF('8-BalanceSheet'!E26=0,0,'7b-IncomeStatementYrs1-3'!E14/'8-BalanceSheet'!E26)</f>
        <v>0</v>
      </c>
      <c r="E28" s="323">
        <f>IF('8-BalanceSheet'!F26=0,0,'7b-IncomeStatementYrs1-3'!G14/'8-BalanceSheet'!F26)</f>
        <v>0</v>
      </c>
      <c r="F28" s="324"/>
      <c r="G28" s="9"/>
    </row>
    <row r="29" spans="1:8" s="63" customFormat="1" x14ac:dyDescent="0.35">
      <c r="A29" s="13"/>
      <c r="B29" s="13"/>
      <c r="C29" s="106"/>
      <c r="D29" s="16"/>
      <c r="E29" s="16"/>
      <c r="F29" s="12"/>
      <c r="G29" s="12"/>
      <c r="H29" s="12"/>
    </row>
    <row r="30" spans="1:8" s="63" customFormat="1" x14ac:dyDescent="0.35">
      <c r="A30" s="13"/>
      <c r="B30" s="16"/>
      <c r="C30" s="16"/>
      <c r="D30" s="16"/>
      <c r="E30" s="12"/>
    </row>
    <row r="31" spans="1:8" x14ac:dyDescent="0.35">
      <c r="A31" s="13"/>
      <c r="B31" s="16"/>
      <c r="C31" s="16"/>
      <c r="D31" s="16"/>
      <c r="E31" s="12"/>
    </row>
    <row r="32" spans="1:8" x14ac:dyDescent="0.35">
      <c r="A32" s="13"/>
      <c r="B32" s="16"/>
      <c r="C32" s="16"/>
      <c r="D32" s="16"/>
      <c r="E32" s="12"/>
    </row>
    <row r="33" spans="2:3" x14ac:dyDescent="0.35">
      <c r="B33" s="13"/>
      <c r="C33" s="16"/>
    </row>
  </sheetData>
  <sheetProtection password="CC3D" sheet="1" objects="1" scenarios="1" formatColumns="0" formatRows="0"/>
  <phoneticPr fontId="3" type="noConversion"/>
  <conditionalFormatting sqref="F9:F10">
    <cfRule type="containsBlanks" dxfId="5" priority="11">
      <formula>LEN(TRIM(F9))=0</formula>
    </cfRule>
  </conditionalFormatting>
  <conditionalFormatting sqref="F12:F13">
    <cfRule type="containsBlanks" dxfId="4" priority="10">
      <formula>LEN(TRIM(F12))=0</formula>
    </cfRule>
  </conditionalFormatting>
  <conditionalFormatting sqref="F15:F22">
    <cfRule type="containsBlanks" dxfId="3" priority="12">
      <formula>LEN(TRIM(F15))=0</formula>
    </cfRule>
  </conditionalFormatting>
  <conditionalFormatting sqref="F24:F28">
    <cfRule type="containsBlanks" dxfId="2" priority="9">
      <formula>LEN(TRIM(F24))=0</formula>
    </cfRule>
  </conditionalFormatting>
  <printOptions horizontalCentered="1" verticalCentered="1"/>
  <pageMargins left="0.25" right="0.25" top="0.75" bottom="0.75" header="0.3" footer="0.3"/>
  <pageSetup orientation="landscape" r:id="rId1"/>
  <headerFooter scaleWithDoc="0">
    <oddHeader>&amp;C&amp;"Gill Sans MT,Regular"&amp;12Financial Ratios - Year 1</oddHeader>
    <oddFooter>&amp;L&amp;"Gill Sans MT,Regular"&amp;12&amp;F&amp;C&amp;"Gill Sans MT,Regular"&amp;12&amp;A&amp;R&amp;"Gill Sans MT,Regular"&amp;12&amp;D &amp;T</oddFoot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rgb="FF339966"/>
    <pageSetUpPr fitToPage="1"/>
  </sheetPr>
  <dimension ref="A1:H40"/>
  <sheetViews>
    <sheetView zoomScaleNormal="100" workbookViewId="0">
      <selection activeCell="G34" sqref="G34"/>
    </sheetView>
  </sheetViews>
  <sheetFormatPr defaultColWidth="9.109375" defaultRowHeight="13.8" x14ac:dyDescent="0.35"/>
  <cols>
    <col min="1" max="1" width="6.33203125" style="63" customWidth="1"/>
    <col min="2" max="2" width="41.109375" style="71" customWidth="1"/>
    <col min="3" max="3" width="11.6640625" style="71" bestFit="1" customWidth="1"/>
    <col min="4" max="4" width="53.6640625" style="71" customWidth="1"/>
    <col min="5" max="5" width="9.109375" style="63"/>
    <col min="6" max="6" width="23.33203125" style="71" bestFit="1" customWidth="1"/>
    <col min="7" max="16384" width="9.109375" style="71"/>
  </cols>
  <sheetData>
    <row r="1" spans="1:8" s="63" customFormat="1" x14ac:dyDescent="0.35">
      <c r="A1" s="21"/>
      <c r="B1" s="21"/>
    </row>
    <row r="2" spans="1:8" s="63" customFormat="1" x14ac:dyDescent="0.35">
      <c r="B2" s="76" t="s">
        <v>235</v>
      </c>
      <c r="E2" s="175"/>
      <c r="F2" s="175"/>
      <c r="G2" s="175"/>
    </row>
    <row r="3" spans="1:8" s="63" customFormat="1" x14ac:dyDescent="0.35">
      <c r="B3" s="296"/>
      <c r="E3" s="175"/>
      <c r="F3" s="175"/>
      <c r="G3" s="175"/>
    </row>
    <row r="4" spans="1:8" s="63" customFormat="1" x14ac:dyDescent="0.35">
      <c r="B4" s="286" t="s">
        <v>130</v>
      </c>
      <c r="C4" s="623" t="s">
        <v>131</v>
      </c>
      <c r="D4" s="623"/>
    </row>
    <row r="5" spans="1:8" s="63" customFormat="1" x14ac:dyDescent="0.35">
      <c r="A5" s="21"/>
      <c r="B5" s="203" t="str">
        <f>IF(ISBLANK(Directions!C6), "Owner", Directions!C6)</f>
        <v>Thomas Francis</v>
      </c>
      <c r="C5" s="624" t="str">
        <f>IF(ISBLANK(Directions!D6), "Company 1", Directions!D6)</f>
        <v>Project "Dogen"</v>
      </c>
      <c r="D5" s="624"/>
      <c r="E5" s="22"/>
      <c r="F5" s="22"/>
      <c r="G5" s="22"/>
      <c r="H5" s="22"/>
    </row>
    <row r="6" spans="1:8" s="63" customFormat="1" x14ac:dyDescent="0.35">
      <c r="A6" s="13"/>
      <c r="B6" s="13"/>
      <c r="C6" s="12"/>
      <c r="D6" s="12"/>
      <c r="E6" s="22"/>
      <c r="F6" s="22"/>
      <c r="G6" s="22"/>
      <c r="H6" s="22"/>
    </row>
    <row r="7" spans="1:8" ht="14.4" thickBot="1" x14ac:dyDescent="0.4">
      <c r="B7" s="413" t="s">
        <v>61</v>
      </c>
      <c r="C7" s="413" t="s">
        <v>59</v>
      </c>
      <c r="D7" s="413" t="s">
        <v>60</v>
      </c>
      <c r="E7" s="14"/>
      <c r="F7" s="14"/>
      <c r="G7" s="12"/>
      <c r="H7" s="14"/>
    </row>
    <row r="8" spans="1:8" ht="14.4" thickTop="1" x14ac:dyDescent="0.35">
      <c r="A8" s="13"/>
      <c r="B8" s="390" t="s">
        <v>62</v>
      </c>
      <c r="C8" s="454">
        <f>IF('1-StartingPoint'!D42=0,0,'1-StartingPoint'!D34/'1-StartingPoint'!C31)</f>
        <v>0</v>
      </c>
      <c r="D8" s="455" t="str">
        <f>IF(C8&gt;0.2,"Owner's injection is reasonable","Owner's injection might be too low in relation to the amount of money needed")</f>
        <v>Owner's injection might be too low in relation to the amount of money needed</v>
      </c>
      <c r="E8" s="15"/>
      <c r="F8" s="15"/>
      <c r="G8" s="12"/>
      <c r="H8" s="12"/>
    </row>
    <row r="9" spans="1:8" x14ac:dyDescent="0.35">
      <c r="A9" s="13"/>
      <c r="B9" s="9" t="s">
        <v>63</v>
      </c>
      <c r="C9" s="30">
        <f>IF('1-StartingPoint'!C31=0,0,'1-StartingPoint'!C29/'1-StartingPoint'!C31)</f>
        <v>0</v>
      </c>
      <c r="D9" s="17" t="str">
        <f>IF(C9&lt;0.2,"Cash request seems reasonable with respect to total request","Cash request exceeds 20% which might be too high")</f>
        <v>Cash request seems reasonable with respect to total request</v>
      </c>
      <c r="E9" s="15"/>
      <c r="F9" s="15"/>
      <c r="G9" s="12"/>
      <c r="H9" s="12"/>
    </row>
    <row r="10" spans="1:8" s="63" customFormat="1" x14ac:dyDescent="0.35">
      <c r="A10" s="13"/>
      <c r="B10" s="47"/>
      <c r="C10" s="321"/>
      <c r="D10" s="17"/>
      <c r="E10" s="15"/>
      <c r="F10" s="15"/>
      <c r="G10" s="12"/>
      <c r="H10" s="12"/>
    </row>
    <row r="11" spans="1:8" ht="14.4" thickBot="1" x14ac:dyDescent="0.4">
      <c r="A11" s="13"/>
      <c r="B11" s="413" t="s">
        <v>64</v>
      </c>
      <c r="C11" s="413" t="s">
        <v>59</v>
      </c>
      <c r="D11" s="413" t="s">
        <v>60</v>
      </c>
      <c r="E11" s="15"/>
      <c r="F11" s="15"/>
      <c r="G11" s="12"/>
      <c r="H11" s="12"/>
    </row>
    <row r="12" spans="1:8" ht="14.4" thickTop="1" x14ac:dyDescent="0.35">
      <c r="A12" s="13"/>
      <c r="B12" s="390" t="s">
        <v>65</v>
      </c>
      <c r="C12" s="454">
        <f>'1-StartingPoint'!E37</f>
        <v>0.09</v>
      </c>
      <c r="D12" s="456" t="str">
        <f>IF(C12&lt;0.06,"Interest rate may be too low for the type of loan requested","Interest rate seems reasonable")</f>
        <v>Interest rate seems reasonable</v>
      </c>
      <c r="E12" s="12"/>
      <c r="F12" s="12"/>
      <c r="G12" s="12"/>
      <c r="H12" s="12"/>
    </row>
    <row r="13" spans="1:8" x14ac:dyDescent="0.35">
      <c r="A13" s="13"/>
      <c r="B13" s="9" t="s">
        <v>66</v>
      </c>
      <c r="C13" s="31">
        <f>'1-StartingPoint'!F37</f>
        <v>84</v>
      </c>
      <c r="D13" s="18" t="str">
        <f>IF(C13&gt;120,"Loan term may be too high for this type of loan","Loan term seems within range for this type of loan")</f>
        <v>Loan term seems within range for this type of loan</v>
      </c>
      <c r="E13" s="16"/>
      <c r="F13" s="16"/>
      <c r="G13" s="12"/>
      <c r="H13" s="12"/>
    </row>
    <row r="14" spans="1:8" x14ac:dyDescent="0.35">
      <c r="A14" s="13"/>
      <c r="B14" s="9" t="s">
        <v>67</v>
      </c>
      <c r="C14" s="30">
        <f>'1-StartingPoint'!E38</f>
        <v>0.09</v>
      </c>
      <c r="D14" s="19" t="str">
        <f>IF(C14&lt;0.06,"Interest rate may be too low for type of loan requested","Interest rate seems reasonable")</f>
        <v>Interest rate seems reasonable</v>
      </c>
      <c r="E14" s="16"/>
      <c r="F14" s="16"/>
      <c r="G14" s="12"/>
      <c r="H14" s="12"/>
    </row>
    <row r="15" spans="1:8" x14ac:dyDescent="0.35">
      <c r="A15" s="13"/>
      <c r="B15" s="9" t="s">
        <v>68</v>
      </c>
      <c r="C15" s="32">
        <f>'1-StartingPoint'!F38</f>
        <v>240</v>
      </c>
      <c r="D15" s="20" t="str">
        <f>IF(C15&gt;240,"Loan term may be too high for this type of loan","Loan term seems within range for this type of loan")</f>
        <v>Loan term seems within range for this type of loan</v>
      </c>
      <c r="E15" s="16"/>
      <c r="F15" s="16"/>
      <c r="G15" s="12"/>
      <c r="H15" s="12"/>
    </row>
    <row r="16" spans="1:8" x14ac:dyDescent="0.35">
      <c r="A16" s="13"/>
      <c r="B16" s="9" t="s">
        <v>311</v>
      </c>
      <c r="C16" s="321">
        <f>FinancialRatios!C13</f>
        <v>0</v>
      </c>
      <c r="D16" s="19" t="str">
        <f>IF(C16&gt;1,"Calculated loan payments relative to operating proft may be too high","Calculated loan payments relative to operating profit seem reasonable")</f>
        <v>Calculated loan payments relative to operating profit seem reasonable</v>
      </c>
      <c r="E16" s="16"/>
      <c r="F16" s="16"/>
      <c r="G16" s="12"/>
      <c r="H16" s="12"/>
    </row>
    <row r="17" spans="1:8" s="63" customFormat="1" x14ac:dyDescent="0.35">
      <c r="A17" s="13"/>
      <c r="B17" s="47"/>
      <c r="C17" s="30"/>
      <c r="D17" s="19"/>
      <c r="E17" s="16"/>
      <c r="F17" s="16"/>
      <c r="G17" s="12"/>
      <c r="H17" s="12"/>
    </row>
    <row r="18" spans="1:8" ht="14.4" thickBot="1" x14ac:dyDescent="0.4">
      <c r="A18" s="13"/>
      <c r="B18" s="413" t="s">
        <v>69</v>
      </c>
      <c r="C18" s="413" t="s">
        <v>59</v>
      </c>
      <c r="D18" s="413" t="s">
        <v>60</v>
      </c>
      <c r="E18" s="16"/>
      <c r="F18" s="16"/>
      <c r="G18" s="12"/>
      <c r="H18" s="12"/>
    </row>
    <row r="19" spans="1:8" ht="14.4" thickTop="1" x14ac:dyDescent="0.35">
      <c r="A19" s="13"/>
      <c r="B19" s="390" t="s">
        <v>70</v>
      </c>
      <c r="C19" s="454">
        <f>BreakevenAnalysis!C11</f>
        <v>0</v>
      </c>
      <c r="D19" s="457" t="str">
        <f>IF(C19&lt;0.2,"Gross margin percentage seems very low","Gross margin percentage seems reasonable")</f>
        <v>Gross margin percentage seems very low</v>
      </c>
      <c r="E19" s="16"/>
      <c r="F19" s="16"/>
      <c r="G19" s="12"/>
      <c r="H19" s="12"/>
    </row>
    <row r="20" spans="1:8" x14ac:dyDescent="0.35">
      <c r="A20" s="13"/>
      <c r="B20" s="9" t="s">
        <v>71</v>
      </c>
      <c r="C20" s="330">
        <f>'2a-PayrollYear1'!R8</f>
        <v>0</v>
      </c>
      <c r="D20" s="19" t="str">
        <f>IF(C20&gt;0,"An owner's compensation amount has been established","An owner's compensation amount has not been established")</f>
        <v>An owner's compensation amount has not been established</v>
      </c>
      <c r="E20" s="16"/>
      <c r="F20" s="16"/>
      <c r="G20" s="12"/>
      <c r="H20" s="12"/>
    </row>
    <row r="21" spans="1:8" x14ac:dyDescent="0.35">
      <c r="A21" s="13"/>
      <c r="B21" s="9" t="s">
        <v>72</v>
      </c>
      <c r="C21" s="30">
        <f>IF(NetIncomeY1=0,0,'2a-PayrollYear1'!R8/NetIncomeY1)</f>
        <v>0</v>
      </c>
      <c r="D21" s="19" t="str">
        <f>IF(C21&gt;1,"Owner's compensation may be too high relative to profitability of business","Owner's compensation seems reasonable")</f>
        <v>Owner's compensation seems reasonable</v>
      </c>
      <c r="E21" s="16"/>
      <c r="F21" s="16"/>
      <c r="G21" s="12"/>
      <c r="H21" s="12"/>
    </row>
    <row r="22" spans="1:8" x14ac:dyDescent="0.35">
      <c r="A22" s="13"/>
      <c r="B22" s="9" t="s">
        <v>73</v>
      </c>
      <c r="C22" s="30">
        <f>IF('7b-IncomeStatementYrs1-3'!C14=0,0,'7b-IncomeStatementYrs1-3'!C26/'7b-IncomeStatementYrs1-3'!C14)</f>
        <v>0</v>
      </c>
      <c r="D22" s="19" t="str">
        <f>IF(C22&lt;0.02,"Advertising as a percent of sales may be too low","Advertising as a percent of sales seems reasonable")</f>
        <v>Advertising as a percent of sales may be too low</v>
      </c>
      <c r="E22" s="16"/>
      <c r="F22" s="16"/>
      <c r="G22" s="12"/>
      <c r="H22" s="12"/>
    </row>
    <row r="23" spans="1:8" x14ac:dyDescent="0.35">
      <c r="A23" s="13"/>
      <c r="B23" s="9" t="s">
        <v>74</v>
      </c>
      <c r="C23" s="330">
        <f>NetIncomeY1</f>
        <v>0</v>
      </c>
      <c r="D23" s="19" t="str">
        <f>IF(C23&lt;=0,"The business is not showing a profit","The business is showing a profit")</f>
        <v>The business is not showing a profit</v>
      </c>
      <c r="E23" s="16"/>
      <c r="F23" s="16"/>
      <c r="G23" s="12"/>
      <c r="H23" s="12"/>
    </row>
    <row r="24" spans="1:8" s="320" customFormat="1" x14ac:dyDescent="0.35">
      <c r="A24" s="13"/>
      <c r="B24" s="9" t="s">
        <v>75</v>
      </c>
      <c r="C24" s="30">
        <f>IF('7b-IncomeStatementYrs1-3'!C14=0,0,NetIncomeY1/'7b-IncomeStatementYrs1-3'!C14)</f>
        <v>0</v>
      </c>
      <c r="D24" s="19" t="str">
        <f>IF(C24&gt;0.2,"The projection may be too aggressive in stating profitability","The projection does not seem highly unreasonable")</f>
        <v>The projection does not seem highly unreasonable</v>
      </c>
      <c r="E24" s="16"/>
      <c r="F24" s="16"/>
      <c r="G24" s="12"/>
      <c r="H24" s="12"/>
    </row>
    <row r="25" spans="1:8" s="63" customFormat="1" x14ac:dyDescent="0.35">
      <c r="A25" s="13"/>
      <c r="B25" s="47"/>
      <c r="C25" s="33"/>
      <c r="D25" s="19"/>
      <c r="E25" s="16"/>
      <c r="F25" s="16"/>
      <c r="G25" s="12"/>
      <c r="H25" s="12"/>
    </row>
    <row r="26" spans="1:8" ht="14.4" thickBot="1" x14ac:dyDescent="0.4">
      <c r="A26" s="13"/>
      <c r="B26" s="413" t="s">
        <v>76</v>
      </c>
      <c r="C26" s="413" t="s">
        <v>59</v>
      </c>
      <c r="D26" s="413" t="s">
        <v>60</v>
      </c>
      <c r="E26" s="16"/>
      <c r="F26" s="16"/>
      <c r="G26" s="12"/>
      <c r="H26" s="12"/>
    </row>
    <row r="27" spans="1:8" ht="14.4" thickTop="1" x14ac:dyDescent="0.35">
      <c r="A27" s="13"/>
      <c r="B27" s="390" t="s">
        <v>77</v>
      </c>
      <c r="C27" s="458">
        <f>'6a-CashFlowYear1'!O32</f>
        <v>0</v>
      </c>
      <c r="D27" s="457" t="str">
        <f>IF(C27&lt;0,"The financial projection does not provide the desired level of cash flow","The financial projection provides the desired level of cash flow")</f>
        <v>The financial projection provides the desired level of cash flow</v>
      </c>
      <c r="E27" s="16"/>
      <c r="F27" s="16"/>
      <c r="G27" s="12"/>
      <c r="H27" s="12"/>
    </row>
    <row r="28" spans="1:8" x14ac:dyDescent="0.35">
      <c r="A28" s="13"/>
      <c r="B28" s="9" t="s">
        <v>312</v>
      </c>
      <c r="C28" s="227">
        <f>+C27</f>
        <v>0</v>
      </c>
      <c r="D28" s="19" t="str">
        <f>IF(C28&gt;0,"The business will need at least this level of a line of credit","The business doesn't seem to require a line of credit")</f>
        <v>The business doesn't seem to require a line of credit</v>
      </c>
      <c r="E28" s="16"/>
      <c r="F28" s="16"/>
      <c r="G28" s="12"/>
      <c r="H28" s="12"/>
    </row>
    <row r="29" spans="1:8" s="320" customFormat="1" x14ac:dyDescent="0.35">
      <c r="A29" s="13"/>
      <c r="B29" s="9" t="s">
        <v>78</v>
      </c>
      <c r="C29" s="30">
        <f>IF('7b-IncomeStatementYrs1-3'!C14=0,0,'8-BalanceSheet'!D10/'7b-IncomeStatementYrs1-3'!C14)</f>
        <v>0</v>
      </c>
      <c r="D29" s="19" t="str">
        <f>IF(C29&gt;0.3,"Accounts receivable amounts seem high","Accounts receivable amount as a percent of sales seems reasonable")</f>
        <v>Accounts receivable amount as a percent of sales seems reasonable</v>
      </c>
      <c r="E29" s="16"/>
      <c r="F29" s="16"/>
      <c r="G29" s="12"/>
      <c r="H29" s="12"/>
    </row>
    <row r="30" spans="1:8" s="63" customFormat="1" x14ac:dyDescent="0.35">
      <c r="A30" s="13"/>
      <c r="B30" s="47"/>
      <c r="C30" s="47"/>
      <c r="D30" s="19"/>
      <c r="E30" s="16"/>
      <c r="F30" s="16"/>
      <c r="G30" s="12"/>
      <c r="H30" s="12"/>
    </row>
    <row r="31" spans="1:8" ht="14.4" thickBot="1" x14ac:dyDescent="0.4">
      <c r="A31" s="13"/>
      <c r="B31" s="413" t="s">
        <v>79</v>
      </c>
      <c r="C31" s="413" t="s">
        <v>59</v>
      </c>
      <c r="D31" s="413" t="s">
        <v>60</v>
      </c>
      <c r="E31" s="16"/>
      <c r="F31" s="16"/>
      <c r="G31" s="12"/>
      <c r="H31" s="12"/>
    </row>
    <row r="32" spans="1:8" ht="14.4" thickTop="1" x14ac:dyDescent="0.35">
      <c r="A32" s="13"/>
      <c r="B32" s="390" t="s">
        <v>313</v>
      </c>
      <c r="C32" s="459">
        <f>'8-BalanceSheet'!D45</f>
        <v>0</v>
      </c>
      <c r="D32" s="457" t="str">
        <f>IF(C32&lt;&gt;0,"The balance sheet is not in balance","The balance sheet does balance")</f>
        <v>The balance sheet does balance</v>
      </c>
      <c r="E32" s="16"/>
      <c r="F32" s="16"/>
      <c r="G32" s="12"/>
      <c r="H32" s="12"/>
    </row>
    <row r="33" spans="1:8" s="320" customFormat="1" x14ac:dyDescent="0.35">
      <c r="A33" s="13"/>
      <c r="B33" s="9" t="s">
        <v>80</v>
      </c>
      <c r="C33" s="30">
        <f>FinancialRatios!C12</f>
        <v>0</v>
      </c>
      <c r="D33" s="19" t="str">
        <f>IF(C33&lt;=2, "Very comfortable", IF(C33&lt;=3, "Reasonable", IF(C33&lt;=4, "Getting debt heavy", "Debt heavy")))</f>
        <v>Very comfortable</v>
      </c>
      <c r="E33" s="16"/>
      <c r="F33" s="16"/>
      <c r="G33" s="12"/>
      <c r="H33" s="12"/>
    </row>
    <row r="34" spans="1:8" s="63" customFormat="1" x14ac:dyDescent="0.35">
      <c r="A34" s="13"/>
      <c r="B34" s="47"/>
      <c r="C34" s="33"/>
      <c r="D34" s="19"/>
      <c r="E34" s="16"/>
      <c r="F34" s="16"/>
      <c r="G34" s="12"/>
      <c r="H34" s="12"/>
    </row>
    <row r="35" spans="1:8" ht="14.4" thickBot="1" x14ac:dyDescent="0.4">
      <c r="A35" s="13"/>
      <c r="B35" s="413" t="s">
        <v>57</v>
      </c>
      <c r="C35" s="413" t="s">
        <v>59</v>
      </c>
      <c r="D35" s="413" t="s">
        <v>60</v>
      </c>
      <c r="E35" s="16"/>
      <c r="F35" s="16"/>
      <c r="G35" s="12"/>
      <c r="H35" s="12"/>
    </row>
    <row r="36" spans="1:8" ht="14.4" thickTop="1" x14ac:dyDescent="0.35">
      <c r="A36" s="13"/>
      <c r="B36" s="390" t="s">
        <v>314</v>
      </c>
      <c r="C36" s="459">
        <f>'7b-IncomeStatementYrs1-3'!C14-BreakevenAnalysis!C19</f>
        <v>0</v>
      </c>
      <c r="D36" s="457" t="str">
        <f>IF(C36&gt;0,"The sales projection exceeds the projected break-even sales level","The sales projection is less than the break-even amount")</f>
        <v>The sales projection is less than the break-even amount</v>
      </c>
      <c r="E36" s="16"/>
      <c r="F36" s="16"/>
      <c r="G36" s="12"/>
      <c r="H36" s="12"/>
    </row>
    <row r="37" spans="1:8" s="63" customFormat="1" x14ac:dyDescent="0.35">
      <c r="A37" s="13"/>
      <c r="B37" s="13"/>
      <c r="C37" s="16"/>
      <c r="D37" s="16"/>
      <c r="E37" s="16"/>
      <c r="F37" s="16"/>
      <c r="G37" s="12"/>
      <c r="H37" s="12"/>
    </row>
    <row r="38" spans="1:8" x14ac:dyDescent="0.35">
      <c r="A38" s="13"/>
      <c r="B38" s="13"/>
      <c r="C38" s="16"/>
      <c r="D38" s="16"/>
      <c r="E38" s="16"/>
      <c r="F38" s="16"/>
      <c r="G38" s="12"/>
      <c r="H38" s="12"/>
    </row>
    <row r="39" spans="1:8" x14ac:dyDescent="0.35">
      <c r="A39" s="13"/>
      <c r="B39" s="13"/>
      <c r="C39" s="16"/>
      <c r="D39" s="16"/>
      <c r="E39" s="16"/>
      <c r="F39" s="16"/>
      <c r="G39" s="12"/>
      <c r="H39" s="12"/>
    </row>
    <row r="40" spans="1:8" x14ac:dyDescent="0.35">
      <c r="B40" s="13"/>
      <c r="C40" s="16"/>
      <c r="D40" s="16"/>
    </row>
  </sheetData>
  <sheetProtection password="CC3D" sheet="1" objects="1" scenarios="1" formatColumns="0" formatRows="0"/>
  <mergeCells count="2">
    <mergeCell ref="C4:D4"/>
    <mergeCell ref="C5:D5"/>
  </mergeCells>
  <phoneticPr fontId="3" type="noConversion"/>
  <printOptions horizontalCentered="1" verticalCentered="1"/>
  <pageMargins left="0.25" right="0.25" top="0.75" bottom="0.75" header="0.3" footer="0.3"/>
  <pageSetup orientation="landscape" r:id="rId1"/>
  <headerFooter scaleWithDoc="0">
    <oddHeader>&amp;C&amp;"Gill Sans MT,Regular"&amp;12Diagnostic Tools - Year 1</oddHeader>
    <oddFooter>&amp;L&amp;"Gill Sans MT,Regular"&amp;12&amp;F&amp;C&amp;"Gill Sans MT,Regular"&amp;12&amp;A&amp;R&amp;"Gill Sans MT,Regular"&amp;12&amp;D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rgb="FF339966"/>
    <pageSetUpPr fitToPage="1"/>
  </sheetPr>
  <dimension ref="A1:I46"/>
  <sheetViews>
    <sheetView zoomScaleNormal="100" zoomScalePageLayoutView="80" workbookViewId="0">
      <selection activeCell="F25" sqref="F25"/>
    </sheetView>
  </sheetViews>
  <sheetFormatPr defaultColWidth="8.88671875" defaultRowHeight="13.8" x14ac:dyDescent="0.35"/>
  <cols>
    <col min="1" max="1" width="9.109375" style="246" customWidth="1"/>
    <col min="2" max="2" width="66.109375" style="251" bestFit="1" customWidth="1"/>
    <col min="3" max="3" width="30.44140625" style="251" bestFit="1" customWidth="1"/>
    <col min="4" max="6" width="9.109375" style="246" customWidth="1"/>
    <col min="7" max="9" width="9.109375" style="292" customWidth="1"/>
    <col min="10" max="16384" width="8.88671875" style="251"/>
  </cols>
  <sheetData>
    <row r="1" spans="1:9" x14ac:dyDescent="0.35">
      <c r="B1" s="246"/>
      <c r="C1" s="246"/>
      <c r="G1" s="251"/>
      <c r="H1" s="251"/>
      <c r="I1" s="251"/>
    </row>
    <row r="2" spans="1:9" x14ac:dyDescent="0.35">
      <c r="A2" s="100"/>
      <c r="B2" s="286" t="s">
        <v>132</v>
      </c>
      <c r="C2" s="287"/>
      <c r="G2" s="251"/>
      <c r="H2" s="251"/>
      <c r="I2" s="251"/>
    </row>
    <row r="3" spans="1:9" x14ac:dyDescent="0.35">
      <c r="A3" s="100"/>
      <c r="B3" s="287"/>
      <c r="C3" s="287"/>
      <c r="G3" s="251"/>
      <c r="H3" s="251"/>
      <c r="I3" s="251"/>
    </row>
    <row r="4" spans="1:9" ht="15" customHeight="1" x14ac:dyDescent="0.35">
      <c r="A4" s="100"/>
      <c r="B4" s="286" t="s">
        <v>130</v>
      </c>
      <c r="C4" s="286" t="s">
        <v>131</v>
      </c>
      <c r="H4" s="251"/>
      <c r="I4" s="251"/>
    </row>
    <row r="5" spans="1:9" x14ac:dyDescent="0.35">
      <c r="A5" s="100"/>
      <c r="B5" s="203" t="str">
        <f>IF(ISBLANK(Directions!C6), "Owner", Directions!C6)</f>
        <v>Thomas Francis</v>
      </c>
      <c r="C5" s="203" t="str">
        <f>IF(ISBLANK(Directions!D6), "Company 1", Directions!D6)</f>
        <v>Project "Dogen"</v>
      </c>
      <c r="H5" s="328"/>
      <c r="I5" s="328"/>
    </row>
    <row r="6" spans="1:9" ht="15.75" customHeight="1" x14ac:dyDescent="0.35">
      <c r="B6" s="288"/>
      <c r="C6" s="288"/>
      <c r="H6" s="328"/>
      <c r="I6" s="328"/>
    </row>
    <row r="7" spans="1:9" ht="14.4" thickBot="1" x14ac:dyDescent="0.4">
      <c r="B7" s="610" t="s">
        <v>307</v>
      </c>
      <c r="C7" s="610"/>
      <c r="F7" s="328"/>
      <c r="G7" s="328"/>
      <c r="H7" s="328"/>
      <c r="I7" s="328"/>
    </row>
    <row r="8" spans="1:9" ht="14.4" thickTop="1" x14ac:dyDescent="0.35">
      <c r="B8" s="143" t="s">
        <v>117</v>
      </c>
      <c r="C8" s="460" t="s">
        <v>118</v>
      </c>
      <c r="G8" s="251"/>
      <c r="H8" s="251"/>
      <c r="I8" s="251"/>
    </row>
    <row r="9" spans="1:9" x14ac:dyDescent="0.35">
      <c r="B9" s="130" t="s">
        <v>220</v>
      </c>
      <c r="C9" s="294" t="s">
        <v>219</v>
      </c>
      <c r="G9" s="251"/>
      <c r="H9" s="251"/>
      <c r="I9" s="251"/>
    </row>
    <row r="10" spans="1:9" x14ac:dyDescent="0.35">
      <c r="B10" s="293" t="s">
        <v>115</v>
      </c>
      <c r="C10" s="289"/>
      <c r="G10" s="251"/>
      <c r="H10" s="251"/>
      <c r="I10" s="251"/>
    </row>
    <row r="11" spans="1:9" x14ac:dyDescent="0.35">
      <c r="B11" s="293" t="s">
        <v>112</v>
      </c>
      <c r="C11" s="289"/>
      <c r="G11" s="251"/>
      <c r="H11" s="251"/>
      <c r="I11" s="251"/>
    </row>
    <row r="12" spans="1:9" x14ac:dyDescent="0.35">
      <c r="B12" s="293" t="s">
        <v>113</v>
      </c>
      <c r="C12" s="289"/>
      <c r="G12" s="251"/>
      <c r="H12" s="251"/>
      <c r="I12" s="251"/>
    </row>
    <row r="13" spans="1:9" x14ac:dyDescent="0.35">
      <c r="B13" s="293" t="s">
        <v>114</v>
      </c>
      <c r="C13" s="289"/>
      <c r="G13" s="251"/>
      <c r="H13" s="251"/>
      <c r="I13" s="251"/>
    </row>
    <row r="14" spans="1:9" x14ac:dyDescent="0.35">
      <c r="B14" s="290" t="s">
        <v>103</v>
      </c>
      <c r="C14" s="82">
        <f>SUM(C10:C13)</f>
        <v>0</v>
      </c>
      <c r="G14" s="251"/>
      <c r="H14" s="251"/>
      <c r="I14" s="251"/>
    </row>
    <row r="15" spans="1:9" x14ac:dyDescent="0.35">
      <c r="B15" s="293" t="s">
        <v>116</v>
      </c>
      <c r="C15" s="208"/>
      <c r="G15" s="251"/>
      <c r="H15" s="251"/>
      <c r="I15" s="251"/>
    </row>
    <row r="16" spans="1:9" x14ac:dyDescent="0.35">
      <c r="B16" s="295" t="s">
        <v>102</v>
      </c>
      <c r="C16" s="48" t="str">
        <f>IF(C15&gt;0,C14/C15,"Please enter all information.")</f>
        <v>Please enter all information.</v>
      </c>
      <c r="G16" s="251"/>
      <c r="H16" s="251"/>
      <c r="I16" s="251"/>
    </row>
    <row r="17" spans="2:9" s="246" customFormat="1" x14ac:dyDescent="0.35">
      <c r="B17" s="291"/>
      <c r="C17" s="96"/>
    </row>
    <row r="18" spans="2:9" s="246" customFormat="1" ht="14.4" thickBot="1" x14ac:dyDescent="0.4">
      <c r="B18" s="610" t="s">
        <v>308</v>
      </c>
      <c r="C18" s="610"/>
    </row>
    <row r="19" spans="2:9" ht="14.4" thickTop="1" x14ac:dyDescent="0.35">
      <c r="B19" s="143" t="s">
        <v>117</v>
      </c>
      <c r="C19" s="460" t="s">
        <v>118</v>
      </c>
      <c r="G19" s="251"/>
      <c r="H19" s="251"/>
      <c r="I19" s="251"/>
    </row>
    <row r="20" spans="2:9" x14ac:dyDescent="0.35">
      <c r="B20" s="130" t="s">
        <v>220</v>
      </c>
      <c r="C20" s="294" t="s">
        <v>129</v>
      </c>
      <c r="G20" s="251"/>
      <c r="H20" s="251"/>
      <c r="I20" s="251"/>
    </row>
    <row r="21" spans="2:9" x14ac:dyDescent="0.35">
      <c r="B21" s="293" t="s">
        <v>221</v>
      </c>
      <c r="C21" s="289"/>
      <c r="G21" s="251"/>
      <c r="H21" s="251"/>
      <c r="I21" s="251"/>
    </row>
    <row r="22" spans="2:9" x14ac:dyDescent="0.35">
      <c r="B22" s="293" t="s">
        <v>222</v>
      </c>
      <c r="C22" s="289"/>
      <c r="G22" s="251"/>
      <c r="H22" s="251"/>
      <c r="I22" s="251"/>
    </row>
    <row r="23" spans="2:9" x14ac:dyDescent="0.35">
      <c r="B23" s="293" t="s">
        <v>127</v>
      </c>
      <c r="C23" s="289"/>
      <c r="G23" s="251"/>
      <c r="H23" s="251"/>
      <c r="I23" s="251"/>
    </row>
    <row r="24" spans="2:9" x14ac:dyDescent="0.35">
      <c r="B24" s="290" t="s">
        <v>104</v>
      </c>
      <c r="C24" s="82">
        <f>SUM(C21:C23)</f>
        <v>0</v>
      </c>
      <c r="G24" s="251"/>
      <c r="H24" s="251"/>
      <c r="I24" s="251"/>
    </row>
    <row r="25" spans="2:9" x14ac:dyDescent="0.35">
      <c r="B25" s="293" t="s">
        <v>143</v>
      </c>
      <c r="C25" s="208"/>
      <c r="G25" s="251"/>
      <c r="H25" s="251"/>
      <c r="I25" s="251"/>
    </row>
    <row r="26" spans="2:9" x14ac:dyDescent="0.35">
      <c r="B26" s="295" t="s">
        <v>102</v>
      </c>
      <c r="C26" s="48" t="str">
        <f>IF(C25&gt;0,C24/C25,"Please enter all information.")</f>
        <v>Please enter all information.</v>
      </c>
      <c r="G26" s="251"/>
      <c r="H26" s="251"/>
      <c r="I26" s="251"/>
    </row>
    <row r="27" spans="2:9" x14ac:dyDescent="0.35">
      <c r="B27" s="63"/>
      <c r="C27" s="63"/>
      <c r="G27" s="251"/>
      <c r="H27" s="251"/>
      <c r="I27" s="251"/>
    </row>
    <row r="28" spans="2:9" x14ac:dyDescent="0.35">
      <c r="B28" s="63"/>
      <c r="C28" s="63"/>
      <c r="G28" s="251"/>
      <c r="H28" s="251"/>
      <c r="I28" s="251"/>
    </row>
    <row r="29" spans="2:9" x14ac:dyDescent="0.35">
      <c r="B29" s="63"/>
      <c r="C29" s="625" t="s">
        <v>244</v>
      </c>
      <c r="D29" s="625"/>
      <c r="E29" s="625"/>
      <c r="G29" s="251"/>
      <c r="H29" s="251"/>
      <c r="I29" s="251"/>
    </row>
    <row r="30" spans="2:9" x14ac:dyDescent="0.35">
      <c r="C30" s="625"/>
      <c r="D30" s="625"/>
      <c r="E30" s="625"/>
      <c r="G30" s="251"/>
      <c r="H30" s="251"/>
      <c r="I30" s="251"/>
    </row>
    <row r="31" spans="2:9" x14ac:dyDescent="0.35">
      <c r="C31" s="625"/>
      <c r="D31" s="625"/>
      <c r="E31" s="625"/>
      <c r="G31" s="251"/>
      <c r="H31" s="251"/>
      <c r="I31" s="251"/>
    </row>
    <row r="32" spans="2:9" x14ac:dyDescent="0.35">
      <c r="G32" s="251"/>
      <c r="H32" s="251"/>
      <c r="I32" s="251"/>
    </row>
    <row r="33" spans="7:9" x14ac:dyDescent="0.35">
      <c r="G33" s="251"/>
      <c r="H33" s="251"/>
      <c r="I33" s="251"/>
    </row>
    <row r="34" spans="7:9" x14ac:dyDescent="0.35">
      <c r="G34" s="251"/>
      <c r="H34" s="251"/>
      <c r="I34" s="251"/>
    </row>
    <row r="35" spans="7:9" x14ac:dyDescent="0.35">
      <c r="G35" s="251"/>
      <c r="H35" s="251"/>
      <c r="I35" s="251"/>
    </row>
    <row r="36" spans="7:9" x14ac:dyDescent="0.35">
      <c r="G36" s="251"/>
      <c r="H36" s="251"/>
      <c r="I36" s="251"/>
    </row>
    <row r="37" spans="7:9" x14ac:dyDescent="0.35">
      <c r="G37" s="251"/>
      <c r="H37" s="251"/>
      <c r="I37" s="251"/>
    </row>
    <row r="38" spans="7:9" x14ac:dyDescent="0.35">
      <c r="G38" s="251"/>
      <c r="H38" s="251"/>
      <c r="I38" s="251"/>
    </row>
    <row r="39" spans="7:9" x14ac:dyDescent="0.35">
      <c r="G39" s="251"/>
      <c r="H39" s="251"/>
      <c r="I39" s="251"/>
    </row>
    <row r="40" spans="7:9" x14ac:dyDescent="0.35">
      <c r="G40" s="251"/>
      <c r="H40" s="251"/>
      <c r="I40" s="251"/>
    </row>
    <row r="41" spans="7:9" x14ac:dyDescent="0.35">
      <c r="G41" s="251"/>
      <c r="H41" s="251"/>
      <c r="I41" s="251"/>
    </row>
    <row r="42" spans="7:9" x14ac:dyDescent="0.35">
      <c r="G42" s="251"/>
      <c r="H42" s="251"/>
      <c r="I42" s="251"/>
    </row>
    <row r="43" spans="7:9" x14ac:dyDescent="0.35">
      <c r="G43" s="251"/>
      <c r="H43" s="251"/>
      <c r="I43" s="251"/>
    </row>
    <row r="44" spans="7:9" x14ac:dyDescent="0.35">
      <c r="G44" s="251"/>
      <c r="H44" s="251"/>
      <c r="I44" s="251"/>
    </row>
    <row r="45" spans="7:9" x14ac:dyDescent="0.35">
      <c r="G45" s="251"/>
      <c r="H45" s="251"/>
      <c r="I45" s="251"/>
    </row>
    <row r="46" spans="7:9" x14ac:dyDescent="0.35">
      <c r="G46" s="251"/>
      <c r="H46" s="251"/>
      <c r="I46" s="251"/>
    </row>
  </sheetData>
  <sheetProtection password="CC3D" sheet="1" objects="1" scenarios="1" formatColumns="0" formatRows="0"/>
  <mergeCells count="3">
    <mergeCell ref="B7:C7"/>
    <mergeCell ref="B18:C18"/>
    <mergeCell ref="C29:E31"/>
  </mergeCells>
  <phoneticPr fontId="3" type="noConversion"/>
  <conditionalFormatting sqref="C25">
    <cfRule type="containsBlanks" dxfId="1" priority="7" stopIfTrue="1">
      <formula>LEN(TRIM(C25))=0</formula>
    </cfRule>
  </conditionalFormatting>
  <conditionalFormatting sqref="C21:C23 C15 C10:C13">
    <cfRule type="containsBlanks" dxfId="0" priority="8" stopIfTrue="1">
      <formula>LEN(TRIM(C10))=0</formula>
    </cfRule>
  </conditionalFormatting>
  <hyperlinks>
    <hyperlink ref="C29:E31" location="'3a-SalesForecastYear1'!A1" display="Return to Sales Forecast Year 1" xr:uid="{00000000-0004-0000-1100-000000000000}"/>
  </hyperlinks>
  <printOptions horizontalCentered="1"/>
  <pageMargins left="0.25" right="0.25" top="0.75" bottom="0.75" header="0.3" footer="0.3"/>
  <pageSetup orientation="landscape" r:id="rId1"/>
  <headerFooter scaleWithDoc="0">
    <oddHeader>&amp;C&amp;"Gill Sans MT,Regular"&amp;12COGS Calculator</oddHeader>
    <oddFooter>&amp;L&amp;"Gill Sans MT,Regular"&amp;12&amp;F&amp;C&amp;"Gill Sans MT,Regular"&amp;12&amp;A&amp;R&amp;"Gill Sans MT,Regular"&amp;12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339966"/>
    <pageSetUpPr autoPageBreaks="0"/>
  </sheetPr>
  <dimension ref="B2:Q159"/>
  <sheetViews>
    <sheetView topLeftCell="A103" zoomScaleNormal="100" zoomScaleSheetLayoutView="40" zoomScalePageLayoutView="70" workbookViewId="0">
      <selection activeCell="D118" sqref="D118"/>
    </sheetView>
  </sheetViews>
  <sheetFormatPr defaultColWidth="9.109375" defaultRowHeight="13.8" x14ac:dyDescent="0.35"/>
  <cols>
    <col min="1" max="1" width="9.109375" style="71"/>
    <col min="2" max="2" width="27.6640625" style="71" bestFit="1" customWidth="1"/>
    <col min="3" max="3" width="17.44140625" style="71" bestFit="1" customWidth="1"/>
    <col min="4" max="10" width="9.6640625" style="71" customWidth="1"/>
    <col min="11" max="11" width="10.44140625" style="71" bestFit="1" customWidth="1"/>
    <col min="12" max="14" width="9.6640625" style="71" customWidth="1"/>
    <col min="15" max="15" width="9.33203125" style="71" customWidth="1"/>
    <col min="16" max="16384" width="9.109375" style="71"/>
  </cols>
  <sheetData>
    <row r="2" spans="2:17" x14ac:dyDescent="0.35">
      <c r="B2" s="626" t="s">
        <v>246</v>
      </c>
      <c r="C2" s="626"/>
      <c r="D2" s="626"/>
      <c r="E2" s="626"/>
    </row>
    <row r="3" spans="2:17" x14ac:dyDescent="0.35">
      <c r="B3" s="296"/>
      <c r="C3" s="63"/>
    </row>
    <row r="4" spans="2:17" x14ac:dyDescent="0.35">
      <c r="B4" s="286" t="s">
        <v>130</v>
      </c>
      <c r="C4" s="297" t="s">
        <v>131</v>
      </c>
      <c r="E4" s="627" t="s">
        <v>245</v>
      </c>
      <c r="F4" s="627"/>
      <c r="G4" s="627"/>
    </row>
    <row r="5" spans="2:17" x14ac:dyDescent="0.35">
      <c r="B5" s="203" t="str">
        <f>IF(ISBLANK(Directions!C6), "Owner", Directions!C6)</f>
        <v>Thomas Francis</v>
      </c>
      <c r="C5" s="298" t="str">
        <f>IF(ISBLANK(Directions!D6), "Company 1", Directions!D6)</f>
        <v>Project "Dogen"</v>
      </c>
      <c r="E5" s="627"/>
      <c r="F5" s="627"/>
      <c r="G5" s="627"/>
    </row>
    <row r="6" spans="2:17" x14ac:dyDescent="0.35">
      <c r="E6" s="627"/>
      <c r="F6" s="627"/>
      <c r="G6" s="627"/>
    </row>
    <row r="8" spans="2:17" ht="14.4" thickBot="1" x14ac:dyDescent="0.4">
      <c r="B8" s="610" t="s">
        <v>54</v>
      </c>
      <c r="C8" s="610"/>
      <c r="D8" s="7"/>
      <c r="E8" s="7"/>
      <c r="F8" s="7"/>
      <c r="G8" s="7"/>
      <c r="H8" s="7"/>
      <c r="I8" s="7"/>
      <c r="J8" s="7"/>
      <c r="K8" s="7"/>
      <c r="L8" s="7"/>
      <c r="M8" s="7"/>
      <c r="N8" s="7"/>
      <c r="O8" s="7"/>
      <c r="P8" s="7"/>
    </row>
    <row r="9" spans="2:17" ht="14.4" thickTop="1" x14ac:dyDescent="0.35">
      <c r="B9" s="411" t="s">
        <v>163</v>
      </c>
      <c r="C9" s="461">
        <f>CommLoan</f>
        <v>0</v>
      </c>
      <c r="D9" s="7"/>
      <c r="E9" s="7"/>
      <c r="F9" s="7"/>
      <c r="G9" s="7"/>
      <c r="H9" s="7"/>
      <c r="I9" s="7"/>
      <c r="J9" s="7"/>
      <c r="K9" s="7"/>
      <c r="L9" s="7"/>
      <c r="M9" s="7"/>
      <c r="N9" s="7"/>
      <c r="O9" s="7"/>
      <c r="P9" s="7"/>
    </row>
    <row r="10" spans="2:17" x14ac:dyDescent="0.35">
      <c r="B10" s="36" t="s">
        <v>164</v>
      </c>
      <c r="C10" s="39">
        <f>'1-StartingPoint'!E37</f>
        <v>0.09</v>
      </c>
      <c r="D10" s="7"/>
      <c r="E10" s="7"/>
      <c r="F10" s="7"/>
      <c r="G10" s="7"/>
      <c r="H10" s="7"/>
      <c r="I10" s="7"/>
      <c r="J10" s="7"/>
      <c r="K10" s="7"/>
      <c r="L10" s="7"/>
      <c r="M10" s="7"/>
      <c r="N10" s="7"/>
      <c r="O10" s="7"/>
      <c r="P10" s="7"/>
    </row>
    <row r="11" spans="2:17" x14ac:dyDescent="0.35">
      <c r="B11" s="36" t="s">
        <v>165</v>
      </c>
      <c r="C11" s="37">
        <f>'1-StartingPoint'!F37</f>
        <v>84</v>
      </c>
      <c r="D11" s="7"/>
      <c r="E11" s="7"/>
      <c r="F11" s="7"/>
      <c r="G11" s="7"/>
      <c r="H11" s="7"/>
      <c r="I11" s="7"/>
      <c r="J11" s="7"/>
      <c r="K11" s="7"/>
      <c r="L11" s="7"/>
      <c r="M11" s="7"/>
      <c r="N11" s="7"/>
      <c r="O11" s="7"/>
      <c r="P11" s="7"/>
    </row>
    <row r="12" spans="2:17" x14ac:dyDescent="0.35">
      <c r="B12" s="36" t="s">
        <v>166</v>
      </c>
      <c r="C12" s="38">
        <f>ABS(PMT(C10/12,C11,C9))</f>
        <v>0</v>
      </c>
      <c r="D12" s="7"/>
      <c r="E12" s="7"/>
      <c r="F12" s="7"/>
      <c r="G12" s="7"/>
      <c r="H12" s="7"/>
      <c r="I12" s="7"/>
      <c r="J12" s="7"/>
      <c r="K12" s="7"/>
      <c r="L12" s="7"/>
      <c r="M12" s="7"/>
      <c r="N12" s="7"/>
      <c r="O12" s="7"/>
      <c r="P12" s="7"/>
    </row>
    <row r="13" spans="2:17" x14ac:dyDescent="0.35">
      <c r="B13" s="47"/>
      <c r="C13" s="59" t="str">
        <f>'3a-SalesForecastYear1'!$C$16</f>
        <v>June</v>
      </c>
      <c r="D13" s="59" t="str">
        <f>'3a-SalesForecastYear1'!$D$16</f>
        <v>July</v>
      </c>
      <c r="E13" s="59" t="str">
        <f>'3a-SalesForecastYear1'!$E$16</f>
        <v>August</v>
      </c>
      <c r="F13" s="59" t="str">
        <f>'3a-SalesForecastYear1'!$F$16</f>
        <v>September</v>
      </c>
      <c r="G13" s="59" t="str">
        <f>'3a-SalesForecastYear1'!$G$16</f>
        <v>October</v>
      </c>
      <c r="H13" s="59" t="str">
        <f>'3a-SalesForecastYear1'!$H$16</f>
        <v>November</v>
      </c>
      <c r="I13" s="59" t="str">
        <f>'3a-SalesForecastYear1'!$I$16</f>
        <v>December</v>
      </c>
      <c r="J13" s="59" t="str">
        <f>'3a-SalesForecastYear1'!$J$16</f>
        <v>January</v>
      </c>
      <c r="K13" s="59" t="str">
        <f>'3a-SalesForecastYear1'!$K$16</f>
        <v>February</v>
      </c>
      <c r="L13" s="59" t="str">
        <f>'3a-SalesForecastYear1'!$L$16</f>
        <v>March</v>
      </c>
      <c r="M13" s="59" t="str">
        <f>'3a-SalesForecastYear1'!$M$16</f>
        <v>April</v>
      </c>
      <c r="N13" s="59" t="str">
        <f>'3a-SalesForecastYear1'!$N$16</f>
        <v>May</v>
      </c>
      <c r="O13" s="59" t="s">
        <v>8</v>
      </c>
      <c r="P13" s="22"/>
      <c r="Q13" s="22"/>
    </row>
    <row r="14" spans="2:17" x14ac:dyDescent="0.35">
      <c r="B14" s="47" t="s">
        <v>167</v>
      </c>
      <c r="C14" s="9"/>
      <c r="D14" s="9"/>
      <c r="E14" s="9"/>
      <c r="F14" s="9"/>
      <c r="G14" s="9"/>
      <c r="H14" s="9"/>
      <c r="I14" s="9"/>
      <c r="J14" s="9"/>
      <c r="K14" s="9"/>
      <c r="L14" s="9"/>
      <c r="M14" s="9"/>
      <c r="N14" s="9"/>
      <c r="O14" s="9"/>
      <c r="P14" s="22"/>
      <c r="Q14" s="22"/>
    </row>
    <row r="15" spans="2:17" x14ac:dyDescent="0.35">
      <c r="B15" s="60" t="s">
        <v>58</v>
      </c>
      <c r="C15" s="57">
        <f>IF($C$11&lt;1,0,ABS(IPMT($C$10/12,1,$C$11,$C$9)))</f>
        <v>0</v>
      </c>
      <c r="D15" s="57">
        <f>IF($C$11&lt;2,0,ABS(IPMT($C$10/12,2,$C$11,$C$9)))</f>
        <v>0</v>
      </c>
      <c r="E15" s="57">
        <f>IF($C$11&lt;3,0,ABS(IPMT($C$10/12,3,$C$11,$C$9)))</f>
        <v>0</v>
      </c>
      <c r="F15" s="57">
        <f>IF($C$11&lt;4,0,ABS(IPMT($C$10/12,4,$C$11,$C$9)))</f>
        <v>0</v>
      </c>
      <c r="G15" s="57">
        <f>IF($C$11&lt;5,0,ABS(IPMT($C$10/12,5,$C$11,$C$9)))</f>
        <v>0</v>
      </c>
      <c r="H15" s="57">
        <f>IF($C$11&lt;6,0,ABS(IPMT($C$10/12,6,$C$11,$C$9)))</f>
        <v>0</v>
      </c>
      <c r="I15" s="57">
        <f>IF($C$11&lt;7,0,ABS(IPMT($C$10/12,7,$C$11,$C$9)))</f>
        <v>0</v>
      </c>
      <c r="J15" s="57">
        <f>IF($C$11&lt;8,0,ABS(IPMT($C$10/12,8,$C$11,$C$9)))</f>
        <v>0</v>
      </c>
      <c r="K15" s="57">
        <f>IF($C$11&lt;9,0,ABS(IPMT($C$10/12,9,$C$11,$C$9)))</f>
        <v>0</v>
      </c>
      <c r="L15" s="57">
        <f>IF($C$11&lt;10,0,ABS(IPMT($C$10/12,10,$C$11,$C$9)))</f>
        <v>0</v>
      </c>
      <c r="M15" s="57">
        <f>IF($C$11&lt;11,0,ABS(IPMT($C$10/12,11,$C$11,$C$9)))</f>
        <v>0</v>
      </c>
      <c r="N15" s="57">
        <f>IF($C$11&lt;12,0,ABS(IPMT($C$10/12,12,$C$11,$C$9)))</f>
        <v>0</v>
      </c>
      <c r="O15" s="382">
        <f>SUM(C15:N15)</f>
        <v>0</v>
      </c>
      <c r="P15" s="22"/>
      <c r="Q15" s="22"/>
    </row>
    <row r="16" spans="2:17" x14ac:dyDescent="0.35">
      <c r="B16" s="60" t="s">
        <v>168</v>
      </c>
      <c r="C16" s="57">
        <f>IF($C$11&lt;1,0,ABS(PPMT($C$10/12,1,$C$11,$C$9)))</f>
        <v>0</v>
      </c>
      <c r="D16" s="57">
        <f>IF($C$11&lt;2,0,ABS(PPMT($C$10/12,2,$C$11,$C$9)))</f>
        <v>0</v>
      </c>
      <c r="E16" s="57">
        <f>IF($C$11&lt;3,0,ABS(PPMT($C$10/12,3,$C$11,$C$9)))</f>
        <v>0</v>
      </c>
      <c r="F16" s="57">
        <f>IF($C$11&lt;4,0,ABS(PPMT($C$10/12,4,$C$11,$C$9)))</f>
        <v>0</v>
      </c>
      <c r="G16" s="57">
        <f>IF($C$11&lt;5,0,ABS(PPMT($C$10/12,5,$C$11,$C$9)))</f>
        <v>0</v>
      </c>
      <c r="H16" s="57">
        <f>IF($C$11&lt;6,0,ABS(PPMT($C$10/12,6,$C$11,$C$9)))</f>
        <v>0</v>
      </c>
      <c r="I16" s="57">
        <f>IF($C$11&lt;7,0,ABS(PPMT($C$10/12,7,$C$11,$C$9)))</f>
        <v>0</v>
      </c>
      <c r="J16" s="57">
        <f>IF($C$11&lt;8,0,ABS(PPMT($C$10/12,8,$C$11,$C$9)))</f>
        <v>0</v>
      </c>
      <c r="K16" s="57">
        <f>IF($C$11&lt;9,0,ABS(PPMT($C$10/12,9,$C$11,$C$9)))</f>
        <v>0</v>
      </c>
      <c r="L16" s="57">
        <f>IF($C$11&lt;10,0,ABS(PPMT($C$10/12,10,$C$11,$C$9)))</f>
        <v>0</v>
      </c>
      <c r="M16" s="57">
        <f>IF($C$11&lt;11,0,ABS(PPMT($C$10/12,11,$C$11,$C$9)))</f>
        <v>0</v>
      </c>
      <c r="N16" s="57">
        <f>IF($C$11&lt;12,0,ABS(PPMT($C$10/12,12,$C$11,$C$9)))</f>
        <v>0</v>
      </c>
      <c r="O16" s="382">
        <f>SUM(C16:N16)</f>
        <v>0</v>
      </c>
      <c r="P16" s="22"/>
      <c r="Q16" s="22"/>
    </row>
    <row r="17" spans="2:17" x14ac:dyDescent="0.35">
      <c r="B17" s="60" t="s">
        <v>169</v>
      </c>
      <c r="C17" s="58">
        <f>$C$9-C16</f>
        <v>0</v>
      </c>
      <c r="D17" s="58">
        <f>C17-D16</f>
        <v>0</v>
      </c>
      <c r="E17" s="58">
        <f t="shared" ref="E17:N17" si="0">D17-E16</f>
        <v>0</v>
      </c>
      <c r="F17" s="58">
        <f t="shared" si="0"/>
        <v>0</v>
      </c>
      <c r="G17" s="58">
        <f t="shared" si="0"/>
        <v>0</v>
      </c>
      <c r="H17" s="58">
        <f t="shared" si="0"/>
        <v>0</v>
      </c>
      <c r="I17" s="58">
        <f t="shared" si="0"/>
        <v>0</v>
      </c>
      <c r="J17" s="58">
        <f t="shared" si="0"/>
        <v>0</v>
      </c>
      <c r="K17" s="58">
        <f t="shared" si="0"/>
        <v>0</v>
      </c>
      <c r="L17" s="58">
        <f t="shared" si="0"/>
        <v>0</v>
      </c>
      <c r="M17" s="58">
        <f t="shared" si="0"/>
        <v>0</v>
      </c>
      <c r="N17" s="58">
        <f t="shared" si="0"/>
        <v>0</v>
      </c>
      <c r="O17" s="49"/>
      <c r="P17" s="22"/>
      <c r="Q17" s="22"/>
    </row>
    <row r="18" spans="2:17" x14ac:dyDescent="0.35">
      <c r="B18" s="47" t="s">
        <v>170</v>
      </c>
      <c r="C18" s="50"/>
      <c r="D18" s="50"/>
      <c r="E18" s="50"/>
      <c r="F18" s="50"/>
      <c r="G18" s="50"/>
      <c r="H18" s="50"/>
      <c r="I18" s="50"/>
      <c r="J18" s="50"/>
      <c r="K18" s="50"/>
      <c r="L18" s="50"/>
      <c r="M18" s="50"/>
      <c r="N18" s="50"/>
      <c r="O18" s="50"/>
      <c r="P18" s="22"/>
      <c r="Q18" s="22"/>
    </row>
    <row r="19" spans="2:17" x14ac:dyDescent="0.35">
      <c r="B19" s="60" t="s">
        <v>58</v>
      </c>
      <c r="C19" s="57">
        <f>IF($C$11&lt;13,0,ABS(IPMT($C$10/12,13,$C$11,$C$9)))</f>
        <v>0</v>
      </c>
      <c r="D19" s="57">
        <f>IF($C$11&lt;14,0,ABS(IPMT($C$10/12,14,$C$11,$C$9)))</f>
        <v>0</v>
      </c>
      <c r="E19" s="57">
        <f>IF($C$11&lt;15,0,ABS(IPMT($C$10/12,15,$C$11,$C$9)))</f>
        <v>0</v>
      </c>
      <c r="F19" s="57">
        <f>IF($C$11&lt;16,0,ABS(IPMT($C$10/12,16,$C$11,$C$9)))</f>
        <v>0</v>
      </c>
      <c r="G19" s="57">
        <f>IF($C$11&lt;17,0,ABS(IPMT($C$10/12,17,$C$11,$C$9)))</f>
        <v>0</v>
      </c>
      <c r="H19" s="57">
        <f>IF($C$11&lt;18,0,ABS(IPMT($C$10/12,18,$C$11,$C$9)))</f>
        <v>0</v>
      </c>
      <c r="I19" s="57">
        <f>IF($C$11&lt;19,0,ABS(IPMT($C$10/12,19,$C$11,$C$9)))</f>
        <v>0</v>
      </c>
      <c r="J19" s="57">
        <f>IF($C$11&lt;20,0,ABS(IPMT($C$10/12,20,$C$11,$C$9)))</f>
        <v>0</v>
      </c>
      <c r="K19" s="57">
        <f>IF($C$11&lt;21,0,ABS(IPMT($C$10/12,21,$C$11,$C$9)))</f>
        <v>0</v>
      </c>
      <c r="L19" s="57">
        <f>IF($C$11&lt;22,0,ABS(IPMT($C$10/12,22,$C$11,$C$9)))</f>
        <v>0</v>
      </c>
      <c r="M19" s="57">
        <f>IF($C$11&lt;23,0,ABS(IPMT($C$10/12,23,$C$11,$C$9)))</f>
        <v>0</v>
      </c>
      <c r="N19" s="57">
        <f>IF($C$11&lt;24,0,ABS(IPMT($C$10/12,24,$C$11,$C$9)))</f>
        <v>0</v>
      </c>
      <c r="O19" s="382">
        <f>SUM(C19:N19)</f>
        <v>0</v>
      </c>
      <c r="P19" s="22"/>
      <c r="Q19" s="22"/>
    </row>
    <row r="20" spans="2:17" x14ac:dyDescent="0.35">
      <c r="B20" s="60" t="s">
        <v>168</v>
      </c>
      <c r="C20" s="57">
        <f>IF($C$11&lt;13,0,ABS(PPMT($C$10/12,13,$C$11,$C$9)))</f>
        <v>0</v>
      </c>
      <c r="D20" s="57">
        <f>IF($C$11&lt;14,0,ABS(PPMT($C$10/12,14,$C$11,$C$9)))</f>
        <v>0</v>
      </c>
      <c r="E20" s="57">
        <f>IF($C$11&lt;15,0,ABS(PPMT($C$10/12,15,$C$11,$C$9)))</f>
        <v>0</v>
      </c>
      <c r="F20" s="57">
        <f>IF($C$11&lt;16,0,ABS(PPMT($C$10/12,16,$C$11,$C$9)))</f>
        <v>0</v>
      </c>
      <c r="G20" s="57">
        <f>IF($C$11&lt;17,0,ABS(PPMT($C$10/12,17,$C$11,$C$9)))</f>
        <v>0</v>
      </c>
      <c r="H20" s="57">
        <f>IF($C$11&lt;18,0,ABS(PPMT($C$10/12,18,$C$11,$C$9)))</f>
        <v>0</v>
      </c>
      <c r="I20" s="57">
        <f>IF($C$11&lt;19,0,ABS(PPMT($C$10/12,19,$C$11,$C$9)))</f>
        <v>0</v>
      </c>
      <c r="J20" s="57">
        <f>IF($C$11&lt;20,0,ABS(PPMT($C$10/12,20,$C$11,$C$9)))</f>
        <v>0</v>
      </c>
      <c r="K20" s="57">
        <f>IF($C$11&lt;21,0,ABS(PPMT($C$10/12,21,$C$11,$C$9)))</f>
        <v>0</v>
      </c>
      <c r="L20" s="57">
        <f>IF($C$11&lt;22,0,ABS(PPMT($C$10/12,22,$C$11,$C$9)))</f>
        <v>0</v>
      </c>
      <c r="M20" s="57">
        <f>IF($C$11&lt;23,0,ABS(PPMT($C$10/12,23,$C$11,$C$9)))</f>
        <v>0</v>
      </c>
      <c r="N20" s="57">
        <f>IF($C$11&lt;24,0,ABS(PPMT($C$10/12,24,$C$11,$C$9)))</f>
        <v>0</v>
      </c>
      <c r="O20" s="382">
        <f>SUM(C20:N20)</f>
        <v>0</v>
      </c>
      <c r="P20" s="22"/>
      <c r="Q20" s="22"/>
    </row>
    <row r="21" spans="2:17" x14ac:dyDescent="0.35">
      <c r="B21" s="60" t="s">
        <v>169</v>
      </c>
      <c r="C21" s="58">
        <f>N17-C20</f>
        <v>0</v>
      </c>
      <c r="D21" s="58">
        <f>C21-D20</f>
        <v>0</v>
      </c>
      <c r="E21" s="58">
        <f t="shared" ref="E21:N21" si="1">D21-E20</f>
        <v>0</v>
      </c>
      <c r="F21" s="58">
        <f t="shared" si="1"/>
        <v>0</v>
      </c>
      <c r="G21" s="58">
        <f t="shared" si="1"/>
        <v>0</v>
      </c>
      <c r="H21" s="58">
        <f t="shared" si="1"/>
        <v>0</v>
      </c>
      <c r="I21" s="58">
        <f t="shared" si="1"/>
        <v>0</v>
      </c>
      <c r="J21" s="58">
        <f t="shared" si="1"/>
        <v>0</v>
      </c>
      <c r="K21" s="58">
        <f t="shared" si="1"/>
        <v>0</v>
      </c>
      <c r="L21" s="58">
        <f t="shared" si="1"/>
        <v>0</v>
      </c>
      <c r="M21" s="58">
        <f t="shared" si="1"/>
        <v>0</v>
      </c>
      <c r="N21" s="58">
        <f t="shared" si="1"/>
        <v>0</v>
      </c>
      <c r="O21" s="49"/>
      <c r="P21" s="22"/>
      <c r="Q21" s="22"/>
    </row>
    <row r="22" spans="2:17" x14ac:dyDescent="0.35">
      <c r="B22" s="47" t="s">
        <v>171</v>
      </c>
      <c r="C22" s="50"/>
      <c r="D22" s="50"/>
      <c r="E22" s="50"/>
      <c r="F22" s="50"/>
      <c r="G22" s="50"/>
      <c r="H22" s="50"/>
      <c r="I22" s="50"/>
      <c r="J22" s="50"/>
      <c r="K22" s="50"/>
      <c r="L22" s="50"/>
      <c r="M22" s="50"/>
      <c r="N22" s="50"/>
      <c r="O22" s="50"/>
      <c r="P22" s="22"/>
      <c r="Q22" s="22"/>
    </row>
    <row r="23" spans="2:17" x14ac:dyDescent="0.35">
      <c r="B23" s="60" t="s">
        <v>58</v>
      </c>
      <c r="C23" s="57">
        <f>IF($C$11&lt;25,0,ABS(IPMT($C$10/12,25,$C$11,$C$9)))</f>
        <v>0</v>
      </c>
      <c r="D23" s="57">
        <f>IF($C$11&lt;26,0,ABS(IPMT($C$10/12,26,$C$11,$C$9)))</f>
        <v>0</v>
      </c>
      <c r="E23" s="57">
        <f>IF($C$11&lt;27,0,ABS(IPMT($C$10/12,27,$C$11,$C$9)))</f>
        <v>0</v>
      </c>
      <c r="F23" s="57">
        <f>IF($C$11&lt;28,0,ABS(IPMT($C$10/12,28,$C$11,$C$9)))</f>
        <v>0</v>
      </c>
      <c r="G23" s="57">
        <f>IF($C$11&lt;29,0,ABS(IPMT($C$10/12,29,$C$11,$C$9)))</f>
        <v>0</v>
      </c>
      <c r="H23" s="57">
        <f>IF($C$11&lt;30,0,ABS(IPMT($C$10/12,30,$C$11,$C$9)))</f>
        <v>0</v>
      </c>
      <c r="I23" s="57">
        <f>IF($C$11&lt;31,0,ABS(IPMT($C$10/12,31,$C$11,$C$9)))</f>
        <v>0</v>
      </c>
      <c r="J23" s="57">
        <f>IF($C$11&lt;32,0,ABS(IPMT($C$10/12,32,$C$11,$C$9)))</f>
        <v>0</v>
      </c>
      <c r="K23" s="57">
        <f>IF($C$11&lt;33,0,ABS(IPMT($C$10/12,33,$C$11,$C$9)))</f>
        <v>0</v>
      </c>
      <c r="L23" s="57">
        <f>IF($C$11&lt;34,0,ABS(IPMT($C$10/12,34,$C$11,$C$9)))</f>
        <v>0</v>
      </c>
      <c r="M23" s="57">
        <f>IF($C$11&lt;35,0,ABS(IPMT($C$10/12,35,$C$11,$C$9)))</f>
        <v>0</v>
      </c>
      <c r="N23" s="57">
        <f>IF($C$11&lt;36,0,ABS(IPMT($C$10/12,36,$C$11,$C$9)))</f>
        <v>0</v>
      </c>
      <c r="O23" s="382">
        <f>SUM(C23:N23)</f>
        <v>0</v>
      </c>
      <c r="P23" s="22"/>
      <c r="Q23" s="22"/>
    </row>
    <row r="24" spans="2:17" x14ac:dyDescent="0.35">
      <c r="B24" s="60" t="s">
        <v>168</v>
      </c>
      <c r="C24" s="57">
        <f>IF($C$11&lt;25,0,ABS(PPMT($C$10/12,25,$C$11,$C$9)))</f>
        <v>0</v>
      </c>
      <c r="D24" s="57">
        <f>IF($C$11&lt;26,0,ABS(PPMT($C$10/12,26,$C$11,$C$9)))</f>
        <v>0</v>
      </c>
      <c r="E24" s="57">
        <f>IF($C$11&lt;27,0,ABS(PPMT($C$10/12,27,$C$11,$C$9)))</f>
        <v>0</v>
      </c>
      <c r="F24" s="57">
        <f>IF($C$11&lt;28,0,ABS(PPMT($C$10/12,28,$C$11,$C$9)))</f>
        <v>0</v>
      </c>
      <c r="G24" s="57">
        <f>IF($C$11&lt;29,0,ABS(PPMT($C$10/12,29,$C$11,$C$9)))</f>
        <v>0</v>
      </c>
      <c r="H24" s="57">
        <f>IF($C$11&lt;30,0,ABS(PPMT($C$10/12,30,$C$11,$C$9)))</f>
        <v>0</v>
      </c>
      <c r="I24" s="57">
        <f>IF($C$11&lt;31,0,ABS(PPMT($C$10/12,31,$C$11,$C$9)))</f>
        <v>0</v>
      </c>
      <c r="J24" s="57">
        <f>IF($C$11&lt;32,0,ABS(PPMT($C$10/12,32,$C$11,$C$9)))</f>
        <v>0</v>
      </c>
      <c r="K24" s="57">
        <f>IF($C$11&lt;33,0,ABS(PPMT($C$10/12,33,$C$11,$C$9)))</f>
        <v>0</v>
      </c>
      <c r="L24" s="57">
        <f>IF($C$11&lt;34,0,ABS(PPMT($C$10/12,34,$C$11,$C$9)))</f>
        <v>0</v>
      </c>
      <c r="M24" s="57">
        <f>IF($C$11&lt;35,0,ABS(PPMT($C$10/12,35,$C$11,$C$9)))</f>
        <v>0</v>
      </c>
      <c r="N24" s="57">
        <f>IF($C$11&lt;36,0,ABS(PPMT($C$10/12,36,$C$11,$C$9)))</f>
        <v>0</v>
      </c>
      <c r="O24" s="382">
        <f>SUM(C24:N24)</f>
        <v>0</v>
      </c>
      <c r="P24" s="22"/>
      <c r="Q24" s="22"/>
    </row>
    <row r="25" spans="2:17" x14ac:dyDescent="0.35">
      <c r="B25" s="60" t="s">
        <v>169</v>
      </c>
      <c r="C25" s="58">
        <f>N21-C24</f>
        <v>0</v>
      </c>
      <c r="D25" s="58">
        <f>C25-D24</f>
        <v>0</v>
      </c>
      <c r="E25" s="58">
        <f t="shared" ref="E25:N25" si="2">D25-E24</f>
        <v>0</v>
      </c>
      <c r="F25" s="58">
        <f t="shared" si="2"/>
        <v>0</v>
      </c>
      <c r="G25" s="58">
        <f t="shared" si="2"/>
        <v>0</v>
      </c>
      <c r="H25" s="58">
        <f t="shared" si="2"/>
        <v>0</v>
      </c>
      <c r="I25" s="58">
        <f t="shared" si="2"/>
        <v>0</v>
      </c>
      <c r="J25" s="58">
        <f t="shared" si="2"/>
        <v>0</v>
      </c>
      <c r="K25" s="58">
        <f t="shared" si="2"/>
        <v>0</v>
      </c>
      <c r="L25" s="58">
        <f t="shared" si="2"/>
        <v>0</v>
      </c>
      <c r="M25" s="58">
        <f t="shared" si="2"/>
        <v>0</v>
      </c>
      <c r="N25" s="58">
        <f t="shared" si="2"/>
        <v>0</v>
      </c>
      <c r="O25" s="49"/>
      <c r="P25" s="22"/>
      <c r="Q25" s="22"/>
    </row>
    <row r="26" spans="2:17" x14ac:dyDescent="0.35">
      <c r="B26" s="21"/>
      <c r="C26" s="21"/>
      <c r="D26" s="22"/>
      <c r="E26" s="22"/>
      <c r="F26" s="22"/>
      <c r="G26" s="22"/>
      <c r="H26" s="22"/>
      <c r="I26" s="22"/>
      <c r="J26" s="22"/>
      <c r="K26" s="22"/>
      <c r="L26" s="22"/>
      <c r="M26" s="22"/>
      <c r="N26" s="22"/>
      <c r="O26" s="22"/>
      <c r="P26" s="22"/>
      <c r="Q26" s="22"/>
    </row>
    <row r="27" spans="2:17" x14ac:dyDescent="0.35">
      <c r="B27" s="21"/>
      <c r="C27" s="21"/>
      <c r="D27" s="51"/>
      <c r="E27" s="22"/>
      <c r="F27" s="22"/>
      <c r="G27" s="22"/>
      <c r="H27" s="22"/>
      <c r="I27" s="22"/>
      <c r="J27" s="22"/>
      <c r="K27" s="22"/>
      <c r="L27" s="22"/>
      <c r="M27" s="22"/>
      <c r="N27" s="22"/>
      <c r="O27" s="22"/>
      <c r="P27" s="22"/>
      <c r="Q27" s="22"/>
    </row>
    <row r="28" spans="2:17" ht="14.4" thickBot="1" x14ac:dyDescent="0.4">
      <c r="B28" s="610" t="s">
        <v>55</v>
      </c>
      <c r="C28" s="610"/>
      <c r="D28" s="22"/>
      <c r="E28" s="22"/>
      <c r="F28" s="22"/>
      <c r="G28" s="22"/>
      <c r="H28" s="22"/>
      <c r="I28" s="22"/>
      <c r="J28" s="22"/>
      <c r="K28" s="22"/>
      <c r="L28" s="22"/>
      <c r="M28" s="22"/>
      <c r="N28" s="22"/>
      <c r="O28" s="22"/>
      <c r="P28" s="22"/>
      <c r="Q28" s="22"/>
    </row>
    <row r="29" spans="2:17" ht="14.4" thickTop="1" x14ac:dyDescent="0.35">
      <c r="B29" s="179" t="s">
        <v>163</v>
      </c>
      <c r="C29" s="462">
        <f>CommMortgage</f>
        <v>0</v>
      </c>
      <c r="D29" s="22"/>
      <c r="E29" s="22"/>
      <c r="F29" s="22"/>
      <c r="G29" s="22"/>
      <c r="H29" s="22"/>
      <c r="I29" s="22"/>
      <c r="J29" s="22"/>
      <c r="K29" s="22"/>
      <c r="L29" s="22"/>
      <c r="M29" s="22"/>
      <c r="N29" s="22"/>
      <c r="O29" s="22"/>
      <c r="P29" s="22"/>
      <c r="Q29" s="22"/>
    </row>
    <row r="30" spans="2:17" x14ac:dyDescent="0.35">
      <c r="B30" s="47" t="s">
        <v>164</v>
      </c>
      <c r="C30" s="53">
        <f>'1-StartingPoint'!E38</f>
        <v>0.09</v>
      </c>
      <c r="D30" s="22"/>
      <c r="E30" s="22"/>
      <c r="F30" s="22"/>
      <c r="G30" s="22"/>
      <c r="H30" s="22"/>
      <c r="I30" s="22"/>
      <c r="J30" s="22"/>
      <c r="K30" s="22"/>
      <c r="L30" s="22"/>
      <c r="M30" s="22"/>
      <c r="N30" s="22"/>
      <c r="O30" s="22"/>
      <c r="P30" s="22"/>
      <c r="Q30" s="22"/>
    </row>
    <row r="31" spans="2:17" x14ac:dyDescent="0.35">
      <c r="B31" s="47" t="s">
        <v>165</v>
      </c>
      <c r="C31" s="54">
        <f>'1-StartingPoint'!F38</f>
        <v>240</v>
      </c>
      <c r="D31" s="22"/>
      <c r="E31" s="22"/>
      <c r="F31" s="22"/>
      <c r="G31" s="22"/>
      <c r="H31" s="22"/>
      <c r="I31" s="22"/>
      <c r="J31" s="22"/>
      <c r="K31" s="22"/>
      <c r="L31" s="22"/>
      <c r="M31" s="22"/>
      <c r="N31" s="22"/>
      <c r="O31" s="22"/>
      <c r="P31" s="22"/>
      <c r="Q31" s="22"/>
    </row>
    <row r="32" spans="2:17" x14ac:dyDescent="0.35">
      <c r="B32" s="47" t="s">
        <v>166</v>
      </c>
      <c r="C32" s="55">
        <f>ABS(PMT(C30/12,C31,C29))</f>
        <v>0</v>
      </c>
      <c r="D32" s="22"/>
      <c r="E32" s="22"/>
      <c r="F32" s="22"/>
      <c r="G32" s="22"/>
      <c r="H32" s="22"/>
      <c r="I32" s="22"/>
      <c r="J32" s="22"/>
      <c r="K32" s="22"/>
      <c r="L32" s="22"/>
      <c r="M32" s="22"/>
      <c r="N32" s="22"/>
      <c r="O32" s="22"/>
      <c r="P32" s="22"/>
      <c r="Q32" s="22"/>
    </row>
    <row r="33" spans="2:17" x14ac:dyDescent="0.35">
      <c r="B33" s="47"/>
      <c r="C33" s="59" t="str">
        <f>'3a-SalesForecastYear1'!$C$16</f>
        <v>June</v>
      </c>
      <c r="D33" s="59" t="str">
        <f>'3a-SalesForecastYear1'!$D$16</f>
        <v>July</v>
      </c>
      <c r="E33" s="59" t="str">
        <f>'3a-SalesForecastYear1'!$E$16</f>
        <v>August</v>
      </c>
      <c r="F33" s="59" t="str">
        <f>'3a-SalesForecastYear1'!$F$16</f>
        <v>September</v>
      </c>
      <c r="G33" s="59" t="str">
        <f>'3a-SalesForecastYear1'!$G$16</f>
        <v>October</v>
      </c>
      <c r="H33" s="59" t="str">
        <f>'3a-SalesForecastYear1'!$H$16</f>
        <v>November</v>
      </c>
      <c r="I33" s="59" t="str">
        <f>'3a-SalesForecastYear1'!$I$16</f>
        <v>December</v>
      </c>
      <c r="J33" s="59" t="str">
        <f>'3a-SalesForecastYear1'!$J$16</f>
        <v>January</v>
      </c>
      <c r="K33" s="59" t="str">
        <f>'3a-SalesForecastYear1'!$K$16</f>
        <v>February</v>
      </c>
      <c r="L33" s="59" t="str">
        <f>'3a-SalesForecastYear1'!$L$16</f>
        <v>March</v>
      </c>
      <c r="M33" s="59" t="str">
        <f>'3a-SalesForecastYear1'!$M$16</f>
        <v>April</v>
      </c>
      <c r="N33" s="59" t="str">
        <f>'3a-SalesForecastYear1'!$N$16</f>
        <v>May</v>
      </c>
      <c r="O33" s="59" t="s">
        <v>8</v>
      </c>
      <c r="P33" s="22"/>
      <c r="Q33" s="22"/>
    </row>
    <row r="34" spans="2:17" x14ac:dyDescent="0.35">
      <c r="B34" s="47" t="s">
        <v>167</v>
      </c>
      <c r="C34" s="9"/>
      <c r="D34" s="9"/>
      <c r="E34" s="9"/>
      <c r="F34" s="9"/>
      <c r="G34" s="9"/>
      <c r="H34" s="9"/>
      <c r="I34" s="9"/>
      <c r="J34" s="9"/>
      <c r="K34" s="9"/>
      <c r="L34" s="9"/>
      <c r="M34" s="9"/>
      <c r="N34" s="9"/>
      <c r="O34" s="9"/>
      <c r="P34" s="22"/>
      <c r="Q34" s="22"/>
    </row>
    <row r="35" spans="2:17" x14ac:dyDescent="0.35">
      <c r="B35" s="60" t="s">
        <v>58</v>
      </c>
      <c r="C35" s="57">
        <f>ABS(IPMT($C$30/12,1,$C$31,$C$29))</f>
        <v>0</v>
      </c>
      <c r="D35" s="57">
        <f>ABS(IPMT($C$30/12,2,$C$31,$C$29))</f>
        <v>0</v>
      </c>
      <c r="E35" s="57">
        <f>ABS(IPMT($C$30/12,3,$C$31,$C$29))</f>
        <v>0</v>
      </c>
      <c r="F35" s="57">
        <f>ABS(IPMT($C$30/12,4,$C$31,$C$29))</f>
        <v>0</v>
      </c>
      <c r="G35" s="57">
        <f>ABS(IPMT($C$30/12,5,$C$31,$C$29))</f>
        <v>0</v>
      </c>
      <c r="H35" s="57">
        <f>ABS(IPMT($C$30/12,6,$C$31,$C$29))</f>
        <v>0</v>
      </c>
      <c r="I35" s="57">
        <f>ABS(IPMT($C$30/12,7,$C$31,$C$29))</f>
        <v>0</v>
      </c>
      <c r="J35" s="57">
        <f>ABS(IPMT($C$30/12,8,$C$31,$C$29))</f>
        <v>0</v>
      </c>
      <c r="K35" s="57">
        <f>ABS(IPMT($C$30/12,9,$C$31,$C$29))</f>
        <v>0</v>
      </c>
      <c r="L35" s="57">
        <f>ABS(IPMT($C$30/12,10,$C$31,$C$29))</f>
        <v>0</v>
      </c>
      <c r="M35" s="57">
        <f>ABS(IPMT($C$30/12,11,$C$31,$C$29))</f>
        <v>0</v>
      </c>
      <c r="N35" s="57">
        <f>ABS(IPMT($C$30/12,12,$C$31,$C$29))</f>
        <v>0</v>
      </c>
      <c r="O35" s="382">
        <f>SUM(C35:N35)</f>
        <v>0</v>
      </c>
      <c r="P35" s="22"/>
      <c r="Q35" s="22"/>
    </row>
    <row r="36" spans="2:17" x14ac:dyDescent="0.35">
      <c r="B36" s="60" t="s">
        <v>168</v>
      </c>
      <c r="C36" s="57">
        <f>ABS(PPMT($C$30/12,1,$C$31,$C$29))</f>
        <v>0</v>
      </c>
      <c r="D36" s="57">
        <f>ABS(PPMT($C$30/12,2,$C$31,$C$29))</f>
        <v>0</v>
      </c>
      <c r="E36" s="57">
        <f>ABS(PPMT($C$30/12,3,$C$31,$C$29))</f>
        <v>0</v>
      </c>
      <c r="F36" s="57">
        <f>ABS(PPMT($C$30/12,4,$C$31,$C$29))</f>
        <v>0</v>
      </c>
      <c r="G36" s="57">
        <f>ABS(PPMT($C$30/12,5,$C$31,$C$29))</f>
        <v>0</v>
      </c>
      <c r="H36" s="57">
        <f>ABS(PPMT($C$30/12,6,$C$31,$C$29))</f>
        <v>0</v>
      </c>
      <c r="I36" s="57">
        <f>ABS(PPMT($C$30/12,7,$C$31,$C$29))</f>
        <v>0</v>
      </c>
      <c r="J36" s="57">
        <f>ABS(PPMT($C$30/12,8,$C$31,$C$29))</f>
        <v>0</v>
      </c>
      <c r="K36" s="57">
        <f>ABS(PPMT($C$30/12,9,$C$31,$C$29))</f>
        <v>0</v>
      </c>
      <c r="L36" s="57">
        <f>ABS(PPMT($C$30/12,10,$C$31,$C$29))</f>
        <v>0</v>
      </c>
      <c r="M36" s="57">
        <f>ABS(PPMT($C$30/12,11,$C$31,$C$29))</f>
        <v>0</v>
      </c>
      <c r="N36" s="57">
        <f>ABS(PPMT($C$30/12,12,$C$31,$C$29))</f>
        <v>0</v>
      </c>
      <c r="O36" s="382">
        <f>SUM(C36:N36)</f>
        <v>0</v>
      </c>
      <c r="P36" s="22"/>
      <c r="Q36" s="22"/>
    </row>
    <row r="37" spans="2:17" x14ac:dyDescent="0.35">
      <c r="B37" s="60" t="s">
        <v>169</v>
      </c>
      <c r="C37" s="58">
        <f>$C$29-C36</f>
        <v>0</v>
      </c>
      <c r="D37" s="58">
        <f t="shared" ref="D37:N37" si="3">C37-D36</f>
        <v>0</v>
      </c>
      <c r="E37" s="58">
        <f t="shared" si="3"/>
        <v>0</v>
      </c>
      <c r="F37" s="58">
        <f t="shared" si="3"/>
        <v>0</v>
      </c>
      <c r="G37" s="58">
        <f t="shared" si="3"/>
        <v>0</v>
      </c>
      <c r="H37" s="58">
        <f t="shared" si="3"/>
        <v>0</v>
      </c>
      <c r="I37" s="58">
        <f t="shared" si="3"/>
        <v>0</v>
      </c>
      <c r="J37" s="58">
        <f t="shared" si="3"/>
        <v>0</v>
      </c>
      <c r="K37" s="58">
        <f t="shared" si="3"/>
        <v>0</v>
      </c>
      <c r="L37" s="58">
        <f t="shared" si="3"/>
        <v>0</v>
      </c>
      <c r="M37" s="58">
        <f t="shared" si="3"/>
        <v>0</v>
      </c>
      <c r="N37" s="58">
        <f t="shared" si="3"/>
        <v>0</v>
      </c>
      <c r="O37" s="49"/>
      <c r="P37" s="22"/>
      <c r="Q37" s="22"/>
    </row>
    <row r="38" spans="2:17" x14ac:dyDescent="0.35">
      <c r="B38" s="47" t="s">
        <v>170</v>
      </c>
      <c r="C38" s="50"/>
      <c r="D38" s="50"/>
      <c r="E38" s="50"/>
      <c r="F38" s="50"/>
      <c r="G38" s="50"/>
      <c r="H38" s="50"/>
      <c r="I38" s="50"/>
      <c r="J38" s="50"/>
      <c r="K38" s="50"/>
      <c r="L38" s="50"/>
      <c r="M38" s="50"/>
      <c r="N38" s="50"/>
      <c r="O38" s="50"/>
      <c r="P38" s="22"/>
      <c r="Q38" s="22"/>
    </row>
    <row r="39" spans="2:17" x14ac:dyDescent="0.35">
      <c r="B39" s="60" t="s">
        <v>58</v>
      </c>
      <c r="C39" s="57">
        <f>IF($C$31&lt;13,0,ABS(IPMT($C$30/12,13,$C$31,$C$29)))</f>
        <v>0</v>
      </c>
      <c r="D39" s="57">
        <f>IF($C$31&lt;14,0,ABS(IPMT($C$30/12,14,$C$31,$C$29)))</f>
        <v>0</v>
      </c>
      <c r="E39" s="57">
        <f>IF($C$31&lt;15,0,ABS(IPMT($C$30/12,15,$C$31,$C$29)))</f>
        <v>0</v>
      </c>
      <c r="F39" s="57">
        <f>IF($C$31&lt;16,0,ABS(IPMT($C$30/12,16,$C$31,$C$29)))</f>
        <v>0</v>
      </c>
      <c r="G39" s="57">
        <f>IF($C$31&lt;17,0,ABS(IPMT($C$30/12,17,$C$31,$C$29)))</f>
        <v>0</v>
      </c>
      <c r="H39" s="57">
        <f>IF($C$31&lt;18,0,ABS(IPMT($C$30/12,18,$C$31,$C$29)))</f>
        <v>0</v>
      </c>
      <c r="I39" s="57">
        <f>IF($C$31&lt;19,0,ABS(IPMT($C$30/12,19,$C$31,$C$29)))</f>
        <v>0</v>
      </c>
      <c r="J39" s="57">
        <f>IF($C$31&lt;20,0,ABS(IPMT($C$30/12,20,$C$31,$C$29)))</f>
        <v>0</v>
      </c>
      <c r="K39" s="57">
        <f>IF($C$31&lt;21,0,ABS(IPMT($C$30/12,21,$C$31,$C$29)))</f>
        <v>0</v>
      </c>
      <c r="L39" s="57">
        <f>IF($C$31&lt;22,0,ABS(IPMT($C$30/12,22,$C$31,$C$29)))</f>
        <v>0</v>
      </c>
      <c r="M39" s="57">
        <f>IF($C$31&lt;23,0,ABS(IPMT($C$30/12,23,$C$31,$C$29)))</f>
        <v>0</v>
      </c>
      <c r="N39" s="57">
        <f>IF($C$31&lt;24,0,ABS(IPMT($C$30/12,24,$C$31,$C$29)))</f>
        <v>0</v>
      </c>
      <c r="O39" s="382">
        <f>SUM(C39:N39)</f>
        <v>0</v>
      </c>
      <c r="P39" s="22"/>
      <c r="Q39" s="22"/>
    </row>
    <row r="40" spans="2:17" x14ac:dyDescent="0.35">
      <c r="B40" s="60" t="s">
        <v>168</v>
      </c>
      <c r="C40" s="57">
        <f>IF($C$31&lt;13,0,ABS(PPMT($C$30/12,13,$C$31,$C$29)))</f>
        <v>0</v>
      </c>
      <c r="D40" s="57">
        <f>IF($C$31&lt;14,0,ABS(PPMT($C$30/12,14,$C$31,$C$29)))</f>
        <v>0</v>
      </c>
      <c r="E40" s="57">
        <f>IF($C$31&lt;13,0,ABS(PPMT($C$30/12,15,$C$31,$C$29)))</f>
        <v>0</v>
      </c>
      <c r="F40" s="57">
        <f>IF($C$31&lt;16,0,ABS(PPMT($C$30/12,16,$C$31,$C$29)))</f>
        <v>0</v>
      </c>
      <c r="G40" s="57">
        <f>IF($C$31&lt;17,0,ABS(PPMT($C$30/12,17,$C$31,$C$29)))</f>
        <v>0</v>
      </c>
      <c r="H40" s="57">
        <f>IF($C$31&lt;18,0,ABS(PPMT($C$30/12,18,$C$31,$C$29)))</f>
        <v>0</v>
      </c>
      <c r="I40" s="57">
        <f>IF($C$31&lt;19,0,ABS(PPMT($C$30/12,19,$C$31,$C$29)))</f>
        <v>0</v>
      </c>
      <c r="J40" s="57">
        <f>IF($C$31&lt;20,0,ABS(PPMT($C$30/12,20,$C$31,$C$29)))</f>
        <v>0</v>
      </c>
      <c r="K40" s="57">
        <f>IF($C$31&lt;21,0,ABS(PPMT($C$30/12,21,$C$31,$C$29)))</f>
        <v>0</v>
      </c>
      <c r="L40" s="57">
        <f>IF($C$31&lt;22,0,ABS(PPMT($C$30/12,22,$C$31,$C$29)))</f>
        <v>0</v>
      </c>
      <c r="M40" s="57">
        <f>IF($C$31&lt;23,0,ABS(PPMT($C$30/12,23,$C$31,$C$29)))</f>
        <v>0</v>
      </c>
      <c r="N40" s="57">
        <f>IF($C$31&lt;24,0,ABS(PPMT($C$30/12,24,$C$31,$C$29)))</f>
        <v>0</v>
      </c>
      <c r="O40" s="382">
        <f>SUM(C40:N40)</f>
        <v>0</v>
      </c>
      <c r="P40" s="22"/>
      <c r="Q40" s="22"/>
    </row>
    <row r="41" spans="2:17" x14ac:dyDescent="0.35">
      <c r="B41" s="60" t="s">
        <v>169</v>
      </c>
      <c r="C41" s="58">
        <f>N37-C40</f>
        <v>0</v>
      </c>
      <c r="D41" s="58">
        <f t="shared" ref="D41:N41" si="4">C41-D40</f>
        <v>0</v>
      </c>
      <c r="E41" s="58">
        <f t="shared" si="4"/>
        <v>0</v>
      </c>
      <c r="F41" s="58">
        <f t="shared" si="4"/>
        <v>0</v>
      </c>
      <c r="G41" s="58">
        <f t="shared" si="4"/>
        <v>0</v>
      </c>
      <c r="H41" s="58">
        <f t="shared" si="4"/>
        <v>0</v>
      </c>
      <c r="I41" s="58">
        <f t="shared" si="4"/>
        <v>0</v>
      </c>
      <c r="J41" s="58">
        <f t="shared" si="4"/>
        <v>0</v>
      </c>
      <c r="K41" s="58">
        <f t="shared" si="4"/>
        <v>0</v>
      </c>
      <c r="L41" s="58">
        <f t="shared" si="4"/>
        <v>0</v>
      </c>
      <c r="M41" s="58">
        <f t="shared" si="4"/>
        <v>0</v>
      </c>
      <c r="N41" s="58">
        <f t="shared" si="4"/>
        <v>0</v>
      </c>
      <c r="O41" s="49"/>
      <c r="P41" s="22"/>
      <c r="Q41" s="22"/>
    </row>
    <row r="42" spans="2:17" x14ac:dyDescent="0.35">
      <c r="B42" s="47" t="s">
        <v>171</v>
      </c>
      <c r="C42" s="50"/>
      <c r="D42" s="50"/>
      <c r="E42" s="50"/>
      <c r="F42" s="50"/>
      <c r="G42" s="50"/>
      <c r="H42" s="50"/>
      <c r="I42" s="50"/>
      <c r="J42" s="50"/>
      <c r="K42" s="50"/>
      <c r="L42" s="50"/>
      <c r="M42" s="50"/>
      <c r="N42" s="50"/>
      <c r="O42" s="50"/>
      <c r="P42" s="22"/>
      <c r="Q42" s="22"/>
    </row>
    <row r="43" spans="2:17" x14ac:dyDescent="0.35">
      <c r="B43" s="60" t="s">
        <v>58</v>
      </c>
      <c r="C43" s="57">
        <f>IF($C$31&lt;25,0,ABS(IPMT($C$30/12,25,$C$31,$C$29)))</f>
        <v>0</v>
      </c>
      <c r="D43" s="57">
        <f>IF($C$31&lt;26,0,ABS(IPMT($C$30/12,26,$C$31,$C$29)))</f>
        <v>0</v>
      </c>
      <c r="E43" s="57">
        <f>IF($C$31&lt;27,0,ABS(IPMT($C$30/12,27,$C$31,$C$29)))</f>
        <v>0</v>
      </c>
      <c r="F43" s="57">
        <f>IF($C$31&lt;28,0,ABS(IPMT($C$30/12,28,$C$31,$C$29)))</f>
        <v>0</v>
      </c>
      <c r="G43" s="57">
        <f>IF($C$31&lt;29,0,ABS(IPMT($C$30/12,29,$C$31,$C$29)))</f>
        <v>0</v>
      </c>
      <c r="H43" s="57">
        <f>IF($C$31&lt;29,0,ABS(IPMT($C$30/12,30,$C$31,$C$29)))</f>
        <v>0</v>
      </c>
      <c r="I43" s="57">
        <f>IF($C$31&lt;30,0,ABS(IPMT($C$30/12,31,$C$31,$C$29)))</f>
        <v>0</v>
      </c>
      <c r="J43" s="57">
        <f>IF($C$31&lt;31,0,ABS(IPMT($C$30/12,32,$C$31,$C$29)))</f>
        <v>0</v>
      </c>
      <c r="K43" s="57">
        <f>IF($C$31&lt;32,0,ABS(IPMT($C$30/12,33,$C$31,$C$29)))</f>
        <v>0</v>
      </c>
      <c r="L43" s="57">
        <f>IF($C$31&lt;33,0,ABS(IPMT($C$30/12,34,$C$31,$C$29)))</f>
        <v>0</v>
      </c>
      <c r="M43" s="57">
        <f>IF($C$31&lt;34,0,ABS(IPMT($C$30/12,35,$C$31,$C$29)))</f>
        <v>0</v>
      </c>
      <c r="N43" s="57">
        <f>IF($C$31&lt;35,0,ABS(IPMT($C$30/12,36,$C$31,$C$29)))</f>
        <v>0</v>
      </c>
      <c r="O43" s="382">
        <f>SUM(C43:N43)</f>
        <v>0</v>
      </c>
      <c r="P43" s="22"/>
      <c r="Q43" s="22"/>
    </row>
    <row r="44" spans="2:17" x14ac:dyDescent="0.35">
      <c r="B44" s="60" t="s">
        <v>168</v>
      </c>
      <c r="C44" s="57">
        <f>IF($C$31&lt;25,0,ABS(PPMT($C$30/12,25,$C$31,$C$29)))</f>
        <v>0</v>
      </c>
      <c r="D44" s="57">
        <f>IF($C$31&lt;26,0,ABS(PPMT($C$30/12,26,$C$31,$C$29)))</f>
        <v>0</v>
      </c>
      <c r="E44" s="57">
        <f>IF($C$31&lt;27,0,ABS(PPMT($C$30/12,27,$C$31,$C$29)))</f>
        <v>0</v>
      </c>
      <c r="F44" s="57">
        <f>IF($C$31&lt;28,0,ABS(PPMT($C$30/12,28,$C$31,$C$29)))</f>
        <v>0</v>
      </c>
      <c r="G44" s="57">
        <f>IF($C$31&lt;28,0,ABS(PPMT($C$30/12,29,$C$31,$C$29)))</f>
        <v>0</v>
      </c>
      <c r="H44" s="57">
        <f>IF($C$31&lt;29,0,ABS(PPMT($C$30/12,30,$C$31,$C$29)))</f>
        <v>0</v>
      </c>
      <c r="I44" s="57">
        <f>IF($C$31&lt;30,0,ABS(PPMT($C$30/12,31,$C$31,$C$29)))</f>
        <v>0</v>
      </c>
      <c r="J44" s="57">
        <f>IF($C$31&lt;31,0,ABS(PPMT($C$30/12,32,$C$31,$C$29)))</f>
        <v>0</v>
      </c>
      <c r="K44" s="57">
        <f>IF($C$31&lt;32,0,ABS(PPMT($C$30/12,33,$C$31,$C$29)))</f>
        <v>0</v>
      </c>
      <c r="L44" s="57">
        <f>IF($C$31&lt;33,0,ABS(PPMT($C$30/12,34,$C$31,$C$29)))</f>
        <v>0</v>
      </c>
      <c r="M44" s="57">
        <f>IF($C$31&lt;34,0,ABS(PPMT($C$30/12,35,$C$31,$C$29)))</f>
        <v>0</v>
      </c>
      <c r="N44" s="57">
        <f>IF($C$31&lt;35,0,ABS(PPMT($C$30/12,36,$C$31,$C$29)))</f>
        <v>0</v>
      </c>
      <c r="O44" s="382">
        <f>SUM(C44:N44)</f>
        <v>0</v>
      </c>
      <c r="P44" s="22"/>
      <c r="Q44" s="22"/>
    </row>
    <row r="45" spans="2:17" x14ac:dyDescent="0.35">
      <c r="B45" s="60" t="s">
        <v>169</v>
      </c>
      <c r="C45" s="58">
        <f>N41-C44</f>
        <v>0</v>
      </c>
      <c r="D45" s="58">
        <f t="shared" ref="D45:N45" si="5">C45-D44</f>
        <v>0</v>
      </c>
      <c r="E45" s="58">
        <f t="shared" si="5"/>
        <v>0</v>
      </c>
      <c r="F45" s="58">
        <f t="shared" si="5"/>
        <v>0</v>
      </c>
      <c r="G45" s="58">
        <f t="shared" si="5"/>
        <v>0</v>
      </c>
      <c r="H45" s="58">
        <f t="shared" si="5"/>
        <v>0</v>
      </c>
      <c r="I45" s="58">
        <f t="shared" si="5"/>
        <v>0</v>
      </c>
      <c r="J45" s="58">
        <f t="shared" si="5"/>
        <v>0</v>
      </c>
      <c r="K45" s="58">
        <f t="shared" si="5"/>
        <v>0</v>
      </c>
      <c r="L45" s="58">
        <f t="shared" si="5"/>
        <v>0</v>
      </c>
      <c r="M45" s="58">
        <f t="shared" si="5"/>
        <v>0</v>
      </c>
      <c r="N45" s="58">
        <f t="shared" si="5"/>
        <v>0</v>
      </c>
      <c r="O45" s="49"/>
      <c r="P45" s="22"/>
      <c r="Q45" s="22"/>
    </row>
    <row r="46" spans="2:17" x14ac:dyDescent="0.35">
      <c r="B46" s="21"/>
      <c r="C46" s="21"/>
      <c r="D46" s="22"/>
      <c r="E46" s="22"/>
      <c r="F46" s="22"/>
      <c r="G46" s="22"/>
      <c r="H46" s="22"/>
      <c r="I46" s="22"/>
      <c r="J46" s="22"/>
      <c r="K46" s="22"/>
      <c r="L46" s="22"/>
      <c r="M46" s="22"/>
      <c r="N46" s="22"/>
      <c r="O46" s="22"/>
      <c r="P46" s="22"/>
      <c r="Q46" s="22"/>
    </row>
    <row r="47" spans="2:17" x14ac:dyDescent="0.35">
      <c r="B47" s="21"/>
      <c r="C47" s="21"/>
      <c r="D47" s="22"/>
      <c r="E47" s="22"/>
      <c r="F47" s="22"/>
      <c r="G47" s="22"/>
      <c r="H47" s="22"/>
      <c r="I47" s="22"/>
      <c r="J47" s="22"/>
      <c r="K47" s="22"/>
      <c r="L47" s="22"/>
      <c r="M47" s="22"/>
      <c r="N47" s="22"/>
      <c r="O47" s="22"/>
      <c r="P47" s="22"/>
      <c r="Q47" s="22"/>
    </row>
    <row r="48" spans="2:17" ht="14.4" thickBot="1" x14ac:dyDescent="0.4">
      <c r="B48" s="610" t="s">
        <v>146</v>
      </c>
      <c r="C48" s="610"/>
      <c r="D48" s="22"/>
      <c r="E48" s="22"/>
      <c r="F48" s="22"/>
      <c r="G48" s="22"/>
      <c r="H48" s="22"/>
      <c r="I48" s="22"/>
      <c r="J48" s="22"/>
      <c r="K48" s="22"/>
      <c r="L48" s="22"/>
      <c r="M48" s="22"/>
      <c r="N48" s="22"/>
      <c r="O48" s="22"/>
      <c r="P48" s="22"/>
      <c r="Q48" s="22"/>
    </row>
    <row r="49" spans="2:17" ht="14.4" thickTop="1" x14ac:dyDescent="0.35">
      <c r="B49" s="179" t="s">
        <v>163</v>
      </c>
      <c r="C49" s="462">
        <f>CCDebt</f>
        <v>0</v>
      </c>
      <c r="D49" s="22"/>
      <c r="E49" s="22"/>
      <c r="F49" s="22"/>
      <c r="G49" s="22"/>
      <c r="H49" s="22"/>
      <c r="I49" s="22"/>
      <c r="J49" s="22"/>
      <c r="K49" s="22"/>
      <c r="L49" s="22"/>
      <c r="M49" s="22"/>
      <c r="N49" s="22"/>
      <c r="O49" s="22"/>
      <c r="P49" s="22"/>
      <c r="Q49" s="22"/>
    </row>
    <row r="50" spans="2:17" x14ac:dyDescent="0.35">
      <c r="B50" s="47" t="s">
        <v>164</v>
      </c>
      <c r="C50" s="53">
        <f>'1-StartingPoint'!E39</f>
        <v>7.0000000000000007E-2</v>
      </c>
      <c r="D50" s="22"/>
      <c r="E50" s="22"/>
      <c r="F50" s="22"/>
      <c r="G50" s="22"/>
      <c r="H50" s="22"/>
      <c r="I50" s="22"/>
      <c r="J50" s="22"/>
      <c r="K50" s="22"/>
      <c r="L50" s="22"/>
      <c r="M50" s="22"/>
      <c r="N50" s="22"/>
      <c r="O50" s="22"/>
      <c r="P50" s="22"/>
      <c r="Q50" s="22"/>
    </row>
    <row r="51" spans="2:17" x14ac:dyDescent="0.35">
      <c r="B51" s="47" t="s">
        <v>165</v>
      </c>
      <c r="C51" s="54">
        <f>'1-StartingPoint'!F39</f>
        <v>60</v>
      </c>
      <c r="D51" s="22"/>
      <c r="E51" s="22"/>
      <c r="F51" s="22"/>
      <c r="G51" s="22"/>
      <c r="H51" s="22"/>
      <c r="I51" s="22"/>
      <c r="J51" s="22"/>
      <c r="K51" s="22"/>
      <c r="L51" s="22"/>
      <c r="M51" s="22"/>
      <c r="N51" s="22"/>
      <c r="O51" s="22"/>
      <c r="P51" s="22"/>
      <c r="Q51" s="22"/>
    </row>
    <row r="52" spans="2:17" x14ac:dyDescent="0.35">
      <c r="B52" s="47" t="s">
        <v>166</v>
      </c>
      <c r="C52" s="55">
        <f>ABS(PMT(C50/12,C51,C49))</f>
        <v>0</v>
      </c>
      <c r="D52" s="22"/>
      <c r="E52" s="22"/>
      <c r="F52" s="22"/>
      <c r="G52" s="22"/>
      <c r="H52" s="22"/>
      <c r="I52" s="22"/>
      <c r="J52" s="22"/>
      <c r="K52" s="22"/>
      <c r="L52" s="22"/>
      <c r="M52" s="22"/>
      <c r="N52" s="22"/>
      <c r="O52" s="22"/>
      <c r="P52" s="22"/>
      <c r="Q52" s="22"/>
    </row>
    <row r="53" spans="2:17" x14ac:dyDescent="0.35">
      <c r="B53" s="47"/>
      <c r="C53" s="59" t="str">
        <f>'3a-SalesForecastYear1'!$C$16</f>
        <v>June</v>
      </c>
      <c r="D53" s="59" t="str">
        <f>'3a-SalesForecastYear1'!$D$16</f>
        <v>July</v>
      </c>
      <c r="E53" s="59" t="str">
        <f>'3a-SalesForecastYear1'!$E$16</f>
        <v>August</v>
      </c>
      <c r="F53" s="59" t="str">
        <f>'3a-SalesForecastYear1'!$F$16</f>
        <v>September</v>
      </c>
      <c r="G53" s="59" t="str">
        <f>'3a-SalesForecastYear1'!$G$16</f>
        <v>October</v>
      </c>
      <c r="H53" s="59" t="str">
        <f>'3a-SalesForecastYear1'!$H$16</f>
        <v>November</v>
      </c>
      <c r="I53" s="59" t="str">
        <f>'3a-SalesForecastYear1'!$I$16</f>
        <v>December</v>
      </c>
      <c r="J53" s="59" t="str">
        <f>'3a-SalesForecastYear1'!$J$16</f>
        <v>January</v>
      </c>
      <c r="K53" s="59" t="str">
        <f>'3a-SalesForecastYear1'!$K$16</f>
        <v>February</v>
      </c>
      <c r="L53" s="59" t="str">
        <f>'3a-SalesForecastYear1'!$L$16</f>
        <v>March</v>
      </c>
      <c r="M53" s="59" t="str">
        <f>'3a-SalesForecastYear1'!$M$16</f>
        <v>April</v>
      </c>
      <c r="N53" s="59" t="str">
        <f>'3a-SalesForecastYear1'!$N$16</f>
        <v>May</v>
      </c>
      <c r="O53" s="59" t="s">
        <v>8</v>
      </c>
      <c r="P53" s="22"/>
      <c r="Q53" s="22"/>
    </row>
    <row r="54" spans="2:17" x14ac:dyDescent="0.35">
      <c r="B54" s="47" t="s">
        <v>167</v>
      </c>
      <c r="C54" s="9"/>
      <c r="D54" s="9"/>
      <c r="E54" s="9"/>
      <c r="F54" s="9"/>
      <c r="G54" s="9"/>
      <c r="H54" s="9"/>
      <c r="I54" s="9"/>
      <c r="J54" s="9"/>
      <c r="K54" s="9"/>
      <c r="L54" s="9"/>
      <c r="M54" s="9"/>
      <c r="N54" s="9"/>
      <c r="O54" s="9"/>
      <c r="P54" s="22"/>
      <c r="Q54" s="22"/>
    </row>
    <row r="55" spans="2:17" x14ac:dyDescent="0.35">
      <c r="B55" s="60" t="s">
        <v>58</v>
      </c>
      <c r="C55" s="57">
        <f>ABS(IPMT($C$50/12,1,$C$51,$C$49))</f>
        <v>0</v>
      </c>
      <c r="D55" s="57">
        <f>ABS(IPMT($C$50/12,2,$C$51,$C$49))</f>
        <v>0</v>
      </c>
      <c r="E55" s="57">
        <f>ABS(IPMT($C$50/12,3,$C$51,$C$49))</f>
        <v>0</v>
      </c>
      <c r="F55" s="57">
        <f>ABS(IPMT($C$50/12,4,$C$51,$C$49))</f>
        <v>0</v>
      </c>
      <c r="G55" s="57">
        <f>ABS(IPMT($C$50/12,5,$C$51,$C$49))</f>
        <v>0</v>
      </c>
      <c r="H55" s="57">
        <f>ABS(IPMT($C$50/12,6,$C$51,$C$49))</f>
        <v>0</v>
      </c>
      <c r="I55" s="57">
        <f>ABS(IPMT($C$50/12,7,$C$51,$C$49))</f>
        <v>0</v>
      </c>
      <c r="J55" s="57">
        <f>ABS(IPMT($C$50/12,8,$C$51,$C$49))</f>
        <v>0</v>
      </c>
      <c r="K55" s="57">
        <f>ABS(IPMT($C$50/12,9,$C$51,$C$49))</f>
        <v>0</v>
      </c>
      <c r="L55" s="57">
        <f>ABS(IPMT($C$50/12,10,$C$51,$C$49))</f>
        <v>0</v>
      </c>
      <c r="M55" s="57">
        <f>ABS(IPMT($C$50/12,11,$C$51,$C$49))</f>
        <v>0</v>
      </c>
      <c r="N55" s="57">
        <f>ABS(IPMT($C$50/12,12,$C$51,$C$49))</f>
        <v>0</v>
      </c>
      <c r="O55" s="382">
        <f>SUM(C55:N55)</f>
        <v>0</v>
      </c>
      <c r="P55" s="22"/>
      <c r="Q55" s="22"/>
    </row>
    <row r="56" spans="2:17" x14ac:dyDescent="0.35">
      <c r="B56" s="60" t="s">
        <v>168</v>
      </c>
      <c r="C56" s="57">
        <f>ABS(PPMT($C$50/12,1,$C$51,$C$49))</f>
        <v>0</v>
      </c>
      <c r="D56" s="57">
        <f>ABS(PPMT($C$50/12,2,$C$51,$C$49))</f>
        <v>0</v>
      </c>
      <c r="E56" s="57">
        <f>ABS(PPMT($C$50/12,3,$C$51,$C$49))</f>
        <v>0</v>
      </c>
      <c r="F56" s="57">
        <f>ABS(PPMT($C$50/12,4,$C$51,$C$49))</f>
        <v>0</v>
      </c>
      <c r="G56" s="57">
        <f>ABS(PPMT($C$50/12,5,$C$51,$C$49))</f>
        <v>0</v>
      </c>
      <c r="H56" s="57">
        <f>ABS(PPMT($C$50/12,6,$C$51,$C$49))</f>
        <v>0</v>
      </c>
      <c r="I56" s="57">
        <f>ABS(PPMT($C$50/12,7,$C$51,$C$49))</f>
        <v>0</v>
      </c>
      <c r="J56" s="57">
        <f>ABS(PPMT($C$50/12,8,$C$51,$C$49))</f>
        <v>0</v>
      </c>
      <c r="K56" s="57">
        <f>ABS(PPMT($C$50/12,9,$C$51,$C$49))</f>
        <v>0</v>
      </c>
      <c r="L56" s="57">
        <f>ABS(PPMT($C$50/12,10,$C$51,$C$49))</f>
        <v>0</v>
      </c>
      <c r="M56" s="57">
        <f>ABS(PPMT($C$50/12,11,$C$51,$C$49))</f>
        <v>0</v>
      </c>
      <c r="N56" s="57">
        <f>ABS(PPMT($C$50/12,12,$C$51,$C$49))</f>
        <v>0</v>
      </c>
      <c r="O56" s="382">
        <f>SUM(C56:N56)</f>
        <v>0</v>
      </c>
      <c r="P56" s="22"/>
      <c r="Q56" s="22"/>
    </row>
    <row r="57" spans="2:17" x14ac:dyDescent="0.35">
      <c r="B57" s="60" t="s">
        <v>169</v>
      </c>
      <c r="C57" s="58">
        <f>$C$49-C56</f>
        <v>0</v>
      </c>
      <c r="D57" s="58">
        <f t="shared" ref="D57:N57" si="6">C57-D56</f>
        <v>0</v>
      </c>
      <c r="E57" s="58">
        <f t="shared" si="6"/>
        <v>0</v>
      </c>
      <c r="F57" s="58">
        <f t="shared" si="6"/>
        <v>0</v>
      </c>
      <c r="G57" s="58">
        <f t="shared" si="6"/>
        <v>0</v>
      </c>
      <c r="H57" s="58">
        <f t="shared" si="6"/>
        <v>0</v>
      </c>
      <c r="I57" s="58">
        <f t="shared" si="6"/>
        <v>0</v>
      </c>
      <c r="J57" s="58">
        <f t="shared" si="6"/>
        <v>0</v>
      </c>
      <c r="K57" s="58">
        <f t="shared" si="6"/>
        <v>0</v>
      </c>
      <c r="L57" s="58">
        <f t="shared" si="6"/>
        <v>0</v>
      </c>
      <c r="M57" s="58">
        <f t="shared" si="6"/>
        <v>0</v>
      </c>
      <c r="N57" s="58">
        <f t="shared" si="6"/>
        <v>0</v>
      </c>
      <c r="O57" s="49"/>
      <c r="P57" s="22"/>
      <c r="Q57" s="22"/>
    </row>
    <row r="58" spans="2:17" x14ac:dyDescent="0.35">
      <c r="B58" s="47" t="s">
        <v>170</v>
      </c>
      <c r="C58" s="50"/>
      <c r="D58" s="50"/>
      <c r="E58" s="50"/>
      <c r="F58" s="50"/>
      <c r="G58" s="50"/>
      <c r="H58" s="50"/>
      <c r="I58" s="50"/>
      <c r="J58" s="50"/>
      <c r="K58" s="50"/>
      <c r="L58" s="50"/>
      <c r="M58" s="50"/>
      <c r="N58" s="50"/>
      <c r="O58" s="50"/>
      <c r="P58" s="22"/>
      <c r="Q58" s="22"/>
    </row>
    <row r="59" spans="2:17" x14ac:dyDescent="0.35">
      <c r="B59" s="60" t="s">
        <v>58</v>
      </c>
      <c r="C59" s="57">
        <f>IF($C$51&lt;13,0,ABS(IPMT($C$50/12,13,$C$51,$C$49)))</f>
        <v>0</v>
      </c>
      <c r="D59" s="57">
        <f>IF($C$51&lt;14,0,ABS(IPMT($C$50/12,14,$C$51,$C$49)))</f>
        <v>0</v>
      </c>
      <c r="E59" s="57">
        <f>IF($C$51&lt;15,0,ABS(IPMT($C$50/12,15,$C$51,$C$49)))</f>
        <v>0</v>
      </c>
      <c r="F59" s="57">
        <f>IF($C$51&lt;16,0,ABS(IPMT($C$50/12,16,$C$51,$C$49)))</f>
        <v>0</v>
      </c>
      <c r="G59" s="57">
        <f>IF($C$51&lt;17,0,ABS(IPMT($C$50/12,17,$C$51,$C$49)))</f>
        <v>0</v>
      </c>
      <c r="H59" s="57">
        <f>IF($C$51&lt;18,0,ABS(IPMT($C$50/12,18,$C$51,$C$49)))</f>
        <v>0</v>
      </c>
      <c r="I59" s="57">
        <f>IF($C$51&lt;19,0,ABS(IPMT($C$50/12,19,$C$51,$C$49)))</f>
        <v>0</v>
      </c>
      <c r="J59" s="57">
        <f>IF($C$51&lt;20,0,ABS(IPMT($C$50/12,20,$C$51,$C$49)))</f>
        <v>0</v>
      </c>
      <c r="K59" s="57">
        <f>IF($C$51&lt;21,0,ABS(IPMT($C$50/12,21,$C$51,$C$49)))</f>
        <v>0</v>
      </c>
      <c r="L59" s="57">
        <f>IF($C$51&lt;22,0,ABS(IPMT($C$50/12,22,$C$51,$C$49)))</f>
        <v>0</v>
      </c>
      <c r="M59" s="57">
        <f>IF($C$51&lt;23,0,ABS(IPMT($C$50/23,11,$C$51,$C$49)))</f>
        <v>0</v>
      </c>
      <c r="N59" s="57">
        <f>IF($C$51&lt;24,0,ABS(IPMT($C$50/12,24,$C$51,$C$49)))</f>
        <v>0</v>
      </c>
      <c r="O59" s="382">
        <f>SUM(C59:N59)</f>
        <v>0</v>
      </c>
      <c r="P59" s="22"/>
      <c r="Q59" s="22"/>
    </row>
    <row r="60" spans="2:17" x14ac:dyDescent="0.35">
      <c r="B60" s="60" t="s">
        <v>168</v>
      </c>
      <c r="C60" s="57">
        <f>IF($C$51&lt;13,0,ABS(PPMT($C$50/12,13,$C$51,$C$49)))</f>
        <v>0</v>
      </c>
      <c r="D60" s="57">
        <f>IF($C$51&lt;14,0,ABS(PPMT($C$50/12,14,$C$51,$C$49)))</f>
        <v>0</v>
      </c>
      <c r="E60" s="57">
        <f>IF($C$51&lt;15,0,ABS(PPMT($C$50/12,15,$C$51,$C$49)))</f>
        <v>0</v>
      </c>
      <c r="F60" s="57">
        <f>IF($C$51&lt;16,0,ABS(PPMT($C$50/12,16,$C$51,$C$49)))</f>
        <v>0</v>
      </c>
      <c r="G60" s="57">
        <f>IF($C$51&lt;17,0,ABS(PPMT($C$50/12,17,$C$51,$C$49)))</f>
        <v>0</v>
      </c>
      <c r="H60" s="57">
        <f>IF($C$51&lt;18,0,ABS(PPMT($C$50/12,18,$C$51,$C$49)))</f>
        <v>0</v>
      </c>
      <c r="I60" s="57">
        <f>IF($C$51&lt;19,0,ABS(PPMT($C$50/12,19,$C$51,$C$49)))</f>
        <v>0</v>
      </c>
      <c r="J60" s="57">
        <f>IF($C$51&lt;20,0,ABS(PPMT($C$50/12,20,$C$51,$C$49)))</f>
        <v>0</v>
      </c>
      <c r="K60" s="57">
        <f>IF($C$51&lt;21,0,ABS(PPMT($C$50/12,21,$C$51,$C$49)))</f>
        <v>0</v>
      </c>
      <c r="L60" s="57">
        <f>IF($C$51&lt;22,0,ABS(PPMT($C$50/12,22,$C$51,$C$49)))</f>
        <v>0</v>
      </c>
      <c r="M60" s="57">
        <f>IF($C$51&lt;23,0,ABS(PPMT($C$50/12,23,$C$51,$C$49)))</f>
        <v>0</v>
      </c>
      <c r="N60" s="57">
        <f>IF($C$51&lt;24,0,ABS(PPMT($C$50/12,24,$C$51,$C$49)))</f>
        <v>0</v>
      </c>
      <c r="O60" s="382">
        <f>SUM(C60:N60)</f>
        <v>0</v>
      </c>
      <c r="P60" s="22"/>
      <c r="Q60" s="22"/>
    </row>
    <row r="61" spans="2:17" x14ac:dyDescent="0.35">
      <c r="B61" s="60" t="s">
        <v>169</v>
      </c>
      <c r="C61" s="58">
        <f>N57-C60</f>
        <v>0</v>
      </c>
      <c r="D61" s="58">
        <f t="shared" ref="D61:N61" si="7">C61-D60</f>
        <v>0</v>
      </c>
      <c r="E61" s="58">
        <f t="shared" si="7"/>
        <v>0</v>
      </c>
      <c r="F61" s="58">
        <f t="shared" si="7"/>
        <v>0</v>
      </c>
      <c r="G61" s="58">
        <f t="shared" si="7"/>
        <v>0</v>
      </c>
      <c r="H61" s="58">
        <f t="shared" si="7"/>
        <v>0</v>
      </c>
      <c r="I61" s="58">
        <f t="shared" si="7"/>
        <v>0</v>
      </c>
      <c r="J61" s="58">
        <f t="shared" si="7"/>
        <v>0</v>
      </c>
      <c r="K61" s="58">
        <f t="shared" si="7"/>
        <v>0</v>
      </c>
      <c r="L61" s="58">
        <f t="shared" si="7"/>
        <v>0</v>
      </c>
      <c r="M61" s="58">
        <f t="shared" si="7"/>
        <v>0</v>
      </c>
      <c r="N61" s="58">
        <f t="shared" si="7"/>
        <v>0</v>
      </c>
      <c r="O61" s="49"/>
      <c r="P61" s="22"/>
      <c r="Q61" s="22"/>
    </row>
    <row r="62" spans="2:17" x14ac:dyDescent="0.35">
      <c r="B62" s="47" t="s">
        <v>171</v>
      </c>
      <c r="C62" s="50"/>
      <c r="D62" s="50"/>
      <c r="E62" s="50"/>
      <c r="F62" s="50"/>
      <c r="G62" s="50"/>
      <c r="H62" s="50"/>
      <c r="I62" s="50"/>
      <c r="J62" s="50"/>
      <c r="K62" s="50"/>
      <c r="L62" s="50"/>
      <c r="M62" s="50"/>
      <c r="N62" s="50"/>
      <c r="O62" s="50"/>
      <c r="P62" s="22"/>
      <c r="Q62" s="22"/>
    </row>
    <row r="63" spans="2:17" x14ac:dyDescent="0.35">
      <c r="B63" s="60" t="s">
        <v>58</v>
      </c>
      <c r="C63" s="57">
        <f>IF($C$51&lt;25,0,ABS(IPMT($C$50/12,25,$C$51,$C$49)))</f>
        <v>0</v>
      </c>
      <c r="D63" s="57">
        <f>IF($C$51&lt;26,0,ABS(IPMT($C$50/12,26,$C$51,$C$49)))</f>
        <v>0</v>
      </c>
      <c r="E63" s="57">
        <f>IF($C$51&lt;27,0,ABS(IPMT($C$50/12,27,$C$51,$C$49)))</f>
        <v>0</v>
      </c>
      <c r="F63" s="57">
        <f>IF($C$51&lt;28,0,ABS(IPMT($C$50/12,28,$C$51,$C$49)))</f>
        <v>0</v>
      </c>
      <c r="G63" s="57">
        <f>IF($C$51&lt;29,0,ABS(IPMT($C$50/12,29,$C$51,$C$49)))</f>
        <v>0</v>
      </c>
      <c r="H63" s="57">
        <f>IF($C$51&lt;30,0,ABS(IPMT($C$50/12,30,$C$51,$C$49)))</f>
        <v>0</v>
      </c>
      <c r="I63" s="57">
        <f>IF($C$51&lt;31,0,ABS(IPMT($C$50/12,31,$C$51,$C$49)))</f>
        <v>0</v>
      </c>
      <c r="J63" s="57">
        <f>IF($C$51&lt;32,0,ABS(IPMT($C$50/12,32,$C$51,$C$49)))</f>
        <v>0</v>
      </c>
      <c r="K63" s="57">
        <f>IF($C$51&lt;33,0,ABS(IPMT($C$50/12,33,$C$51,$C$49)))</f>
        <v>0</v>
      </c>
      <c r="L63" s="57">
        <f>IF($C$51&lt;34,0,ABS(IPMT($C$50/12,34,$C$51,$C$49)))</f>
        <v>0</v>
      </c>
      <c r="M63" s="57">
        <f>IF($C$51&lt;35,0,ABS(IPMT($C$50/12,35,$C$51,$C$49)))</f>
        <v>0</v>
      </c>
      <c r="N63" s="57">
        <f>IF($C$51&lt;36,0,ABS(IPMT($C$50/12,36,$C$51,$C$49)))</f>
        <v>0</v>
      </c>
      <c r="O63" s="382">
        <f>SUM(C63:N63)</f>
        <v>0</v>
      </c>
      <c r="P63" s="22"/>
      <c r="Q63" s="22"/>
    </row>
    <row r="64" spans="2:17" x14ac:dyDescent="0.35">
      <c r="B64" s="60" t="s">
        <v>168</v>
      </c>
      <c r="C64" s="57">
        <f>IF($C$51&lt;25,0,ABS(PPMT($C$50/12,25,$C$51,$C$49)))</f>
        <v>0</v>
      </c>
      <c r="D64" s="57">
        <f>IF($C$51&lt;26,0,ABS(PPMT($C$50/12,26,$C$51,$C$49)))</f>
        <v>0</v>
      </c>
      <c r="E64" s="57">
        <f>IF($C$51&lt;27,0,ABS(PPMT($C$50/12,27,$C$51,$C$49)))</f>
        <v>0</v>
      </c>
      <c r="F64" s="57">
        <f>IF($C$51&lt;28,0,ABS(PPMT($C$50/12,28,$C$51,$C$49)))</f>
        <v>0</v>
      </c>
      <c r="G64" s="57">
        <f>IF($C$51&lt;29,0,ABS(PPMT($C$50/12,29,$C$51,$C$49)))</f>
        <v>0</v>
      </c>
      <c r="H64" s="57">
        <f>IF($C$51&lt;30,0,ABS(PPMT($C$50/12,30,$C$51,$C$49)))</f>
        <v>0</v>
      </c>
      <c r="I64" s="57">
        <f>IF($C$51&lt;31,0,ABS(PPMT($C$50/12,31,$C$51,$C$49)))</f>
        <v>0</v>
      </c>
      <c r="J64" s="57">
        <f>IF($C$51&lt;32,0,ABS(PPMT($C$50/12,32,$C$51,$C$49)))</f>
        <v>0</v>
      </c>
      <c r="K64" s="57">
        <f>IF($C$51&lt;33,0,ABS(PPMT($C$50/12,33,$C$51,$C$49)))</f>
        <v>0</v>
      </c>
      <c r="L64" s="57">
        <f>IF($C$51&lt;34,0,ABS(PPMT($C$50/12,34,$C$51,$C$49)))</f>
        <v>0</v>
      </c>
      <c r="M64" s="57">
        <f>IF($C$51&lt;35,0,ABS(PPMT($C$50/12,35,$C$51,$C$49)))</f>
        <v>0</v>
      </c>
      <c r="N64" s="57">
        <f>IF($C$51&lt;36,0,ABS(PPMT($C$50/12,36,$C$51,$C$49)))</f>
        <v>0</v>
      </c>
      <c r="O64" s="382">
        <f>SUM(C64:N64)</f>
        <v>0</v>
      </c>
      <c r="P64" s="22"/>
      <c r="Q64" s="22"/>
    </row>
    <row r="65" spans="2:17" x14ac:dyDescent="0.35">
      <c r="B65" s="60" t="s">
        <v>169</v>
      </c>
      <c r="C65" s="58">
        <f>N61-C64</f>
        <v>0</v>
      </c>
      <c r="D65" s="58">
        <f t="shared" ref="D65:N65" si="8">C65-D64</f>
        <v>0</v>
      </c>
      <c r="E65" s="58">
        <f t="shared" si="8"/>
        <v>0</v>
      </c>
      <c r="F65" s="58">
        <f t="shared" si="8"/>
        <v>0</v>
      </c>
      <c r="G65" s="58">
        <f t="shared" si="8"/>
        <v>0</v>
      </c>
      <c r="H65" s="58">
        <f t="shared" si="8"/>
        <v>0</v>
      </c>
      <c r="I65" s="58">
        <f t="shared" si="8"/>
        <v>0</v>
      </c>
      <c r="J65" s="58">
        <f t="shared" si="8"/>
        <v>0</v>
      </c>
      <c r="K65" s="58">
        <f t="shared" si="8"/>
        <v>0</v>
      </c>
      <c r="L65" s="58">
        <f t="shared" si="8"/>
        <v>0</v>
      </c>
      <c r="M65" s="58">
        <f t="shared" si="8"/>
        <v>0</v>
      </c>
      <c r="N65" s="58">
        <f t="shared" si="8"/>
        <v>0</v>
      </c>
      <c r="O65" s="49"/>
      <c r="P65" s="22"/>
      <c r="Q65" s="22"/>
    </row>
    <row r="66" spans="2:17" x14ac:dyDescent="0.35">
      <c r="B66" s="21"/>
      <c r="C66" s="21"/>
      <c r="D66" s="22"/>
      <c r="E66" s="22"/>
      <c r="F66" s="22"/>
      <c r="G66" s="22"/>
      <c r="H66" s="22"/>
      <c r="I66" s="22"/>
      <c r="J66" s="22"/>
      <c r="K66" s="22"/>
      <c r="L66" s="22"/>
      <c r="M66" s="22"/>
      <c r="N66" s="22"/>
      <c r="O66" s="22"/>
      <c r="P66" s="22"/>
      <c r="Q66" s="22"/>
    </row>
    <row r="67" spans="2:17" x14ac:dyDescent="0.35">
      <c r="B67" s="21"/>
      <c r="C67" s="21"/>
      <c r="D67" s="22"/>
      <c r="E67" s="22"/>
      <c r="F67" s="22"/>
      <c r="G67" s="22"/>
      <c r="H67" s="22"/>
      <c r="I67" s="22"/>
      <c r="J67" s="22"/>
      <c r="K67" s="22"/>
      <c r="L67" s="22"/>
      <c r="M67" s="22"/>
      <c r="N67" s="22"/>
      <c r="O67" s="22"/>
      <c r="P67" s="22"/>
      <c r="Q67" s="22"/>
    </row>
    <row r="68" spans="2:17" ht="14.4" thickBot="1" x14ac:dyDescent="0.4">
      <c r="B68" s="610" t="s">
        <v>147</v>
      </c>
      <c r="C68" s="610"/>
      <c r="D68" s="22"/>
      <c r="E68" s="22"/>
      <c r="F68" s="22"/>
      <c r="G68" s="22"/>
      <c r="H68" s="22"/>
      <c r="I68" s="22"/>
      <c r="J68" s="22"/>
      <c r="K68" s="22"/>
      <c r="L68" s="22"/>
      <c r="M68" s="22"/>
      <c r="N68" s="22"/>
      <c r="O68" s="22"/>
      <c r="P68" s="22"/>
      <c r="Q68" s="22"/>
    </row>
    <row r="69" spans="2:17" ht="14.4" thickTop="1" x14ac:dyDescent="0.35">
      <c r="B69" s="179" t="s">
        <v>163</v>
      </c>
      <c r="C69" s="462">
        <f>VehicleLoan</f>
        <v>0</v>
      </c>
      <c r="D69" s="22"/>
      <c r="E69" s="22"/>
      <c r="F69" s="22"/>
      <c r="G69" s="22"/>
      <c r="H69" s="22"/>
      <c r="I69" s="22"/>
      <c r="J69" s="22"/>
      <c r="K69" s="22"/>
      <c r="L69" s="22"/>
      <c r="M69" s="22"/>
      <c r="N69" s="22"/>
      <c r="O69" s="22"/>
      <c r="P69" s="22"/>
      <c r="Q69" s="22"/>
    </row>
    <row r="70" spans="2:17" x14ac:dyDescent="0.35">
      <c r="B70" s="47" t="s">
        <v>164</v>
      </c>
      <c r="C70" s="53">
        <f>'1-StartingPoint'!E40</f>
        <v>0.06</v>
      </c>
      <c r="D70" s="22"/>
      <c r="E70" s="22"/>
      <c r="F70" s="22"/>
      <c r="G70" s="22"/>
      <c r="H70" s="22"/>
      <c r="I70" s="22"/>
      <c r="J70" s="22"/>
      <c r="K70" s="22"/>
      <c r="L70" s="22"/>
      <c r="M70" s="22"/>
      <c r="N70" s="22"/>
      <c r="O70" s="22"/>
      <c r="P70" s="22"/>
      <c r="Q70" s="22"/>
    </row>
    <row r="71" spans="2:17" x14ac:dyDescent="0.35">
      <c r="B71" s="47" t="s">
        <v>165</v>
      </c>
      <c r="C71" s="54">
        <f>'1-StartingPoint'!F40</f>
        <v>48</v>
      </c>
      <c r="D71" s="22"/>
      <c r="E71" s="22"/>
      <c r="F71" s="22"/>
      <c r="G71" s="22"/>
      <c r="H71" s="22"/>
      <c r="I71" s="22"/>
      <c r="J71" s="22"/>
      <c r="K71" s="22"/>
      <c r="L71" s="22"/>
      <c r="M71" s="22"/>
      <c r="N71" s="22"/>
      <c r="O71" s="22"/>
      <c r="P71" s="22"/>
      <c r="Q71" s="22"/>
    </row>
    <row r="72" spans="2:17" x14ac:dyDescent="0.35">
      <c r="B72" s="47" t="s">
        <v>166</v>
      </c>
      <c r="C72" s="55">
        <f>ABS(PMT(C70/12,C71,C69))</f>
        <v>0</v>
      </c>
      <c r="D72" s="22"/>
      <c r="E72" s="22"/>
      <c r="F72" s="22"/>
      <c r="G72" s="22"/>
      <c r="H72" s="22"/>
      <c r="I72" s="22"/>
      <c r="J72" s="22"/>
      <c r="K72" s="22"/>
      <c r="L72" s="22"/>
      <c r="M72" s="22"/>
      <c r="N72" s="22"/>
      <c r="O72" s="22"/>
      <c r="P72" s="22"/>
      <c r="Q72" s="22"/>
    </row>
    <row r="73" spans="2:17" x14ac:dyDescent="0.35">
      <c r="B73" s="47"/>
      <c r="C73" s="59" t="str">
        <f>'3a-SalesForecastYear1'!$C$16</f>
        <v>June</v>
      </c>
      <c r="D73" s="59" t="str">
        <f>'3a-SalesForecastYear1'!$D$16</f>
        <v>July</v>
      </c>
      <c r="E73" s="59" t="str">
        <f>'3a-SalesForecastYear1'!$E$16</f>
        <v>August</v>
      </c>
      <c r="F73" s="59" t="str">
        <f>'3a-SalesForecastYear1'!$F$16</f>
        <v>September</v>
      </c>
      <c r="G73" s="59" t="str">
        <f>'3a-SalesForecastYear1'!$G$16</f>
        <v>October</v>
      </c>
      <c r="H73" s="59" t="str">
        <f>'3a-SalesForecastYear1'!$H$16</f>
        <v>November</v>
      </c>
      <c r="I73" s="59" t="str">
        <f>'3a-SalesForecastYear1'!$I$16</f>
        <v>December</v>
      </c>
      <c r="J73" s="59" t="str">
        <f>'3a-SalesForecastYear1'!$J$16</f>
        <v>January</v>
      </c>
      <c r="K73" s="59" t="str">
        <f>'3a-SalesForecastYear1'!$K$16</f>
        <v>February</v>
      </c>
      <c r="L73" s="59" t="str">
        <f>'3a-SalesForecastYear1'!$L$16</f>
        <v>March</v>
      </c>
      <c r="M73" s="59" t="str">
        <f>'3a-SalesForecastYear1'!$M$16</f>
        <v>April</v>
      </c>
      <c r="N73" s="59" t="str">
        <f>'3a-SalesForecastYear1'!$N$16</f>
        <v>May</v>
      </c>
      <c r="O73" s="59" t="s">
        <v>8</v>
      </c>
      <c r="P73" s="22"/>
      <c r="Q73" s="22"/>
    </row>
    <row r="74" spans="2:17" x14ac:dyDescent="0.35">
      <c r="B74" s="47" t="s">
        <v>167</v>
      </c>
      <c r="C74" s="9"/>
      <c r="D74" s="9"/>
      <c r="E74" s="9"/>
      <c r="F74" s="9"/>
      <c r="G74" s="9"/>
      <c r="H74" s="9"/>
      <c r="I74" s="9"/>
      <c r="J74" s="9"/>
      <c r="K74" s="9"/>
      <c r="L74" s="9"/>
      <c r="M74" s="9"/>
      <c r="N74" s="9"/>
      <c r="O74" s="9"/>
      <c r="P74" s="22"/>
      <c r="Q74" s="22"/>
    </row>
    <row r="75" spans="2:17" x14ac:dyDescent="0.35">
      <c r="B75" s="61" t="s">
        <v>58</v>
      </c>
      <c r="C75" s="57">
        <f>ABS(IPMT($C$70/12,1,$C$71,$C$69))</f>
        <v>0</v>
      </c>
      <c r="D75" s="57">
        <f>ABS(IPMT($C$70/12,2,$C$71,$C$69))</f>
        <v>0</v>
      </c>
      <c r="E75" s="57">
        <f>ABS(IPMT($C$70/12,3,$C$71,$C$69))</f>
        <v>0</v>
      </c>
      <c r="F75" s="57">
        <f>ABS(IPMT($C$70/12,4,$C$71,$C$69))</f>
        <v>0</v>
      </c>
      <c r="G75" s="57">
        <f>ABS(IPMT($C$70/12,5,$C$71,$C$69))</f>
        <v>0</v>
      </c>
      <c r="H75" s="57">
        <f>ABS(IPMT($C$70/12,6,$C$71,$C$69))</f>
        <v>0</v>
      </c>
      <c r="I75" s="57">
        <f>ABS(IPMT($C$70/12,7,$C$71,$C$69))</f>
        <v>0</v>
      </c>
      <c r="J75" s="57">
        <f>ABS(IPMT($C$70/12,8,$C$71,$C$69))</f>
        <v>0</v>
      </c>
      <c r="K75" s="57">
        <f>ABS(IPMT($C$70/12,9,$C$71,$C$69))</f>
        <v>0</v>
      </c>
      <c r="L75" s="57">
        <f>ABS(IPMT($C$70/12,10,$C$71,$C$69))</f>
        <v>0</v>
      </c>
      <c r="M75" s="57">
        <f>ABS(IPMT($C$70/12,11,$C$71,$C$69))</f>
        <v>0</v>
      </c>
      <c r="N75" s="57">
        <f>ABS(IPMT($C$70/12,12,$C$71,$C$69))</f>
        <v>0</v>
      </c>
      <c r="O75" s="382">
        <f>SUM(C75:N75)</f>
        <v>0</v>
      </c>
      <c r="P75" s="22"/>
      <c r="Q75" s="22"/>
    </row>
    <row r="76" spans="2:17" x14ac:dyDescent="0.35">
      <c r="B76" s="61" t="s">
        <v>168</v>
      </c>
      <c r="C76" s="57">
        <f>ABS(PPMT($C$70/12,1,$C$71,$C$69))</f>
        <v>0</v>
      </c>
      <c r="D76" s="57">
        <f>ABS(PPMT($C$70/12,2,$C$71,$C$69))</f>
        <v>0</v>
      </c>
      <c r="E76" s="57">
        <f>ABS(PPMT($C$70/12,3,$C$71,$C$69))</f>
        <v>0</v>
      </c>
      <c r="F76" s="57">
        <f>ABS(PPMT($C$70/12,4,$C$71,$C$69))</f>
        <v>0</v>
      </c>
      <c r="G76" s="57">
        <f>ABS(PPMT($C$70/12,5,$C$71,$C$69))</f>
        <v>0</v>
      </c>
      <c r="H76" s="57">
        <f>ABS(PPMT($C$70/12,6,$C$71,$C$69))</f>
        <v>0</v>
      </c>
      <c r="I76" s="57">
        <f>ABS(PPMT($C$70/12,7,$C$71,$C$69))</f>
        <v>0</v>
      </c>
      <c r="J76" s="57">
        <f>ABS(PPMT($C$70/12,8,$C$71,$C$69))</f>
        <v>0</v>
      </c>
      <c r="K76" s="57">
        <f>ABS(PPMT($C$70/12,9,$C$71,$C$69))</f>
        <v>0</v>
      </c>
      <c r="L76" s="57">
        <f>ABS(PPMT($C$70/12,10,$C$71,$C$69))</f>
        <v>0</v>
      </c>
      <c r="M76" s="57">
        <f>ABS(PPMT($C$70/12,11,$C$71,$C$69))</f>
        <v>0</v>
      </c>
      <c r="N76" s="57">
        <f>ABS(PPMT($C$70/12,12,$C$71,$C$69))</f>
        <v>0</v>
      </c>
      <c r="O76" s="382">
        <f>SUM(C76:N76)</f>
        <v>0</v>
      </c>
      <c r="P76" s="22"/>
      <c r="Q76" s="22"/>
    </row>
    <row r="77" spans="2:17" x14ac:dyDescent="0.35">
      <c r="B77" s="60" t="s">
        <v>169</v>
      </c>
      <c r="C77" s="58">
        <f>$C$69-C76</f>
        <v>0</v>
      </c>
      <c r="D77" s="58">
        <f t="shared" ref="D77:N77" si="9">C77-D76</f>
        <v>0</v>
      </c>
      <c r="E77" s="58">
        <f t="shared" si="9"/>
        <v>0</v>
      </c>
      <c r="F77" s="58">
        <f t="shared" si="9"/>
        <v>0</v>
      </c>
      <c r="G77" s="58">
        <f t="shared" si="9"/>
        <v>0</v>
      </c>
      <c r="H77" s="58">
        <f t="shared" si="9"/>
        <v>0</v>
      </c>
      <c r="I77" s="58">
        <f t="shared" si="9"/>
        <v>0</v>
      </c>
      <c r="J77" s="58">
        <f t="shared" si="9"/>
        <v>0</v>
      </c>
      <c r="K77" s="58">
        <f t="shared" si="9"/>
        <v>0</v>
      </c>
      <c r="L77" s="58">
        <f t="shared" si="9"/>
        <v>0</v>
      </c>
      <c r="M77" s="58">
        <f t="shared" si="9"/>
        <v>0</v>
      </c>
      <c r="N77" s="58">
        <f t="shared" si="9"/>
        <v>0</v>
      </c>
      <c r="O77" s="49"/>
      <c r="P77" s="22"/>
      <c r="Q77" s="22"/>
    </row>
    <row r="78" spans="2:17" x14ac:dyDescent="0.35">
      <c r="B78" s="47" t="s">
        <v>170</v>
      </c>
      <c r="C78" s="50"/>
      <c r="D78" s="50"/>
      <c r="E78" s="50"/>
      <c r="F78" s="50"/>
      <c r="G78" s="50"/>
      <c r="H78" s="50"/>
      <c r="I78" s="50"/>
      <c r="J78" s="50"/>
      <c r="K78" s="50"/>
      <c r="L78" s="50"/>
      <c r="M78" s="50"/>
      <c r="N78" s="50"/>
      <c r="O78" s="50"/>
      <c r="P78" s="22"/>
      <c r="Q78" s="22"/>
    </row>
    <row r="79" spans="2:17" x14ac:dyDescent="0.35">
      <c r="B79" s="60" t="s">
        <v>58</v>
      </c>
      <c r="C79" s="57">
        <f>IF($C$71&lt;13,0,ABS(IPMT($C$70/12,13,$C$71,$C$69)))</f>
        <v>0</v>
      </c>
      <c r="D79" s="57">
        <f>IF($C$71&lt;14,0,ABS(IPMT($C$70/12,14,$C$71,$C$69)))</f>
        <v>0</v>
      </c>
      <c r="E79" s="57">
        <f>IF($C$71&lt;15,0,ABS(IPMT($C$70/12,15,$C$71,$C$69)))</f>
        <v>0</v>
      </c>
      <c r="F79" s="57">
        <f>IF($C$71&lt;16,0,ABS(IPMT($C$70/12,16,$C$71,$C$69)))</f>
        <v>0</v>
      </c>
      <c r="G79" s="57">
        <f>IF($C$71&lt;17,0,ABS(IPMT($C$70/12,17,$C$71,$C$69)))</f>
        <v>0</v>
      </c>
      <c r="H79" s="57">
        <f>IF($C$71&lt;18,0,ABS(IPMT($C$70/12,18,$C$71,$C$69)))</f>
        <v>0</v>
      </c>
      <c r="I79" s="57">
        <f>IF($C$71&lt;19,0,ABS(IPMT($C$70/12,19,$C$71,$C$69)))</f>
        <v>0</v>
      </c>
      <c r="J79" s="57">
        <f>IF($C$71&lt;20,0,ABS(IPMT($C$70/12,20,$C$71,$C$69)))</f>
        <v>0</v>
      </c>
      <c r="K79" s="57">
        <f>IF($C$71&lt;21,0,ABS(IPMT($C$70/12,21,$C$71,$C$69)))</f>
        <v>0</v>
      </c>
      <c r="L79" s="57">
        <f>IF($C$71&lt;22,0,ABS(IPMT($C$70/12,22,$C$71,$C$69)))</f>
        <v>0</v>
      </c>
      <c r="M79" s="57">
        <f>IF($C$71&lt;23,0,ABS(IPMT($C$70/12,23,$C$71,$C$69)))</f>
        <v>0</v>
      </c>
      <c r="N79" s="57">
        <f>IF($C$71&lt;24,0,ABS(IPMT($C$70/12,24,$C$71,$C$69)))</f>
        <v>0</v>
      </c>
      <c r="O79" s="382">
        <f>SUM(C79:N79)</f>
        <v>0</v>
      </c>
      <c r="P79" s="22"/>
      <c r="Q79" s="22"/>
    </row>
    <row r="80" spans="2:17" x14ac:dyDescent="0.35">
      <c r="B80" s="60" t="s">
        <v>168</v>
      </c>
      <c r="C80" s="57">
        <f>IF($C$71&lt;13,0,ABS(PPMT($C$70/12,13,$C$71,$C$69)))</f>
        <v>0</v>
      </c>
      <c r="D80" s="57">
        <f>IF($C$71&lt;14,0,ABS(PPMT($C$70/12,14,$C$71,$C$69)))</f>
        <v>0</v>
      </c>
      <c r="E80" s="57">
        <f>IF($C$71&lt;15,0,ABS(PPMT($C$70/12,15,$C$71,$C$69)))</f>
        <v>0</v>
      </c>
      <c r="F80" s="57">
        <f>IF($C$71&lt;16,0,ABS(PPMT($C$70/12,16,$C$71,$C$69)))</f>
        <v>0</v>
      </c>
      <c r="G80" s="57">
        <f>IF($C$71&lt;17,0,ABS(PPMT($C$70/12,17,$C$71,$C$69)))</f>
        <v>0</v>
      </c>
      <c r="H80" s="57">
        <f>IF($C$71&lt;18,0,ABS(PPMT($C$70/12,18,$C$71,$C$69)))</f>
        <v>0</v>
      </c>
      <c r="I80" s="57">
        <f>IF($C$71&lt;19,0,ABS(PPMT($C$70/12,19,$C$71,$C$69)))</f>
        <v>0</v>
      </c>
      <c r="J80" s="57">
        <f>IF($C$71&lt;20,0,ABS(PPMT($C$70/12,20,$C$71,$C$69)))</f>
        <v>0</v>
      </c>
      <c r="K80" s="57">
        <f>IF($C$71&lt;21,0,ABS(PPMT($C$70/12,21,$C$71,$C$69)))</f>
        <v>0</v>
      </c>
      <c r="L80" s="57">
        <f>IF($C$71&lt;22,0,ABS(PPMT($C$70/12,22,$C$71,$C$69)))</f>
        <v>0</v>
      </c>
      <c r="M80" s="57">
        <f>IF($C$71&lt;23,0,ABS(PPMT($C$70/12,23,$C$71,$C$69)))</f>
        <v>0</v>
      </c>
      <c r="N80" s="57">
        <f>IF($C$71&lt;24,0,ABS(PPMT($C$70/12,24,$C$71,$C$69)))</f>
        <v>0</v>
      </c>
      <c r="O80" s="382">
        <f>SUM(C80:N80)</f>
        <v>0</v>
      </c>
      <c r="P80" s="22"/>
      <c r="Q80" s="22"/>
    </row>
    <row r="81" spans="2:17" x14ac:dyDescent="0.35">
      <c r="B81" s="60" t="s">
        <v>169</v>
      </c>
      <c r="C81" s="58">
        <f>N77-C80</f>
        <v>0</v>
      </c>
      <c r="D81" s="58">
        <f t="shared" ref="D81:N81" si="10">C81-D80</f>
        <v>0</v>
      </c>
      <c r="E81" s="58">
        <f t="shared" si="10"/>
        <v>0</v>
      </c>
      <c r="F81" s="58">
        <f t="shared" si="10"/>
        <v>0</v>
      </c>
      <c r="G81" s="58">
        <f t="shared" si="10"/>
        <v>0</v>
      </c>
      <c r="H81" s="58">
        <f t="shared" si="10"/>
        <v>0</v>
      </c>
      <c r="I81" s="58">
        <f t="shared" si="10"/>
        <v>0</v>
      </c>
      <c r="J81" s="58">
        <f t="shared" si="10"/>
        <v>0</v>
      </c>
      <c r="K81" s="58">
        <f t="shared" si="10"/>
        <v>0</v>
      </c>
      <c r="L81" s="58">
        <f t="shared" si="10"/>
        <v>0</v>
      </c>
      <c r="M81" s="58">
        <f t="shared" si="10"/>
        <v>0</v>
      </c>
      <c r="N81" s="58">
        <f t="shared" si="10"/>
        <v>0</v>
      </c>
      <c r="O81" s="49"/>
      <c r="P81" s="22"/>
      <c r="Q81" s="22"/>
    </row>
    <row r="82" spans="2:17" x14ac:dyDescent="0.35">
      <c r="B82" s="47" t="s">
        <v>171</v>
      </c>
      <c r="C82" s="50"/>
      <c r="D82" s="50"/>
      <c r="E82" s="50"/>
      <c r="F82" s="50"/>
      <c r="G82" s="50"/>
      <c r="H82" s="50"/>
      <c r="I82" s="50"/>
      <c r="J82" s="50"/>
      <c r="K82" s="50"/>
      <c r="L82" s="50"/>
      <c r="M82" s="50"/>
      <c r="N82" s="50"/>
      <c r="O82" s="50"/>
      <c r="P82" s="22"/>
      <c r="Q82" s="22"/>
    </row>
    <row r="83" spans="2:17" x14ac:dyDescent="0.35">
      <c r="B83" s="60" t="s">
        <v>58</v>
      </c>
      <c r="C83" s="57">
        <f>IF($C$71&lt;25,0,ABS(IPMT($C$70/12,25,$C$71,$C$69)))</f>
        <v>0</v>
      </c>
      <c r="D83" s="57">
        <f>IF($C$71&lt;26,0,ABS(IPMT($C$70/12,26,$C$71,$C$69)))</f>
        <v>0</v>
      </c>
      <c r="E83" s="57">
        <f>IF($C$71&lt;27,0,ABS(IPMT($C$70/12,27,$C$71,$C$69)))</f>
        <v>0</v>
      </c>
      <c r="F83" s="57">
        <f>IF($C$71&lt;28,0,ABS(IPMT($C$70/12,28,$C$71,$C$69)))</f>
        <v>0</v>
      </c>
      <c r="G83" s="57">
        <f>IF($C$71&lt;29,0,ABS(IPMT($C$70/12,29,$C$71,$C$69)))</f>
        <v>0</v>
      </c>
      <c r="H83" s="57">
        <f>IF($C$71&lt;30,0,ABS(IPMT($C$70/12,30,$C$71,$C$69)))</f>
        <v>0</v>
      </c>
      <c r="I83" s="57">
        <f>IF($C$71&lt;31,0,ABS(IPMT($C$70/12,31,$C$71,$C$69)))</f>
        <v>0</v>
      </c>
      <c r="J83" s="57">
        <f>IF($C$71&lt;32,0,ABS(IPMT($C$70/12,32,$C$71,$C$69)))</f>
        <v>0</v>
      </c>
      <c r="K83" s="57">
        <f>IF($C$71&lt;33,0,ABS(IPMT($C$70/12,33,$C$71,$C$69)))</f>
        <v>0</v>
      </c>
      <c r="L83" s="57">
        <f>IF($C$71&lt;34,0,ABS(IPMT($C$70/12,34,$C$71,$C$69)))</f>
        <v>0</v>
      </c>
      <c r="M83" s="57">
        <f>IF($C$71&lt;34,0,ABS(IPMT($C$70/12,35,$C$71,$C$69)))</f>
        <v>0</v>
      </c>
      <c r="N83" s="57">
        <f>IF($C$71&lt;36,0,ABS(IPMT($C$70/12,36,$C$71,$C$69)))</f>
        <v>0</v>
      </c>
      <c r="O83" s="382">
        <f>SUM(C83:N83)</f>
        <v>0</v>
      </c>
      <c r="P83" s="22"/>
      <c r="Q83" s="22"/>
    </row>
    <row r="84" spans="2:17" x14ac:dyDescent="0.35">
      <c r="B84" s="60" t="s">
        <v>168</v>
      </c>
      <c r="C84" s="57">
        <f>IF($C$71&lt;25,0,ABS(PPMT($C$70/12,25,$C$71,$C$69)))</f>
        <v>0</v>
      </c>
      <c r="D84" s="57">
        <f>IF($C$71&lt;26,0,ABS(PPMT($C$70/12,26,$C$71,$C$69)))</f>
        <v>0</v>
      </c>
      <c r="E84" s="57">
        <f>IF($C$71&lt;27,0,ABS(PPMT($C$70/12,27,$C$71,$C$69)))</f>
        <v>0</v>
      </c>
      <c r="F84" s="57">
        <f>IF($C$71&lt;28,0,ABS(PPMT($C$70/12,28,$C$71,$C$69)))</f>
        <v>0</v>
      </c>
      <c r="G84" s="57">
        <f>IF($C$71&lt;29,0,ABS(PPMT($C$70/12,29,$C$71,$C$69)))</f>
        <v>0</v>
      </c>
      <c r="H84" s="57">
        <f>IF($C$71&lt;30,0,ABS(PPMT($C$70/12,30,$C$71,$C$69)))</f>
        <v>0</v>
      </c>
      <c r="I84" s="57">
        <f>IF($C$71&lt;31,0,ABS(PPMT($C$70/12,31,$C$71,$C$69)))</f>
        <v>0</v>
      </c>
      <c r="J84" s="57">
        <f>IF($C$71&lt;32,0,ABS(PPMT($C$70/12,32,$C$71,$C$69)))</f>
        <v>0</v>
      </c>
      <c r="K84" s="57">
        <f>IF($C$71&lt;33,0,ABS(PPMT($C$70/12,33,$C$71,$C$69)))</f>
        <v>0</v>
      </c>
      <c r="L84" s="57">
        <f>IF($C$71&lt;34,0,ABS(PPMT($C$70/12,34,$C$71,$C$69)))</f>
        <v>0</v>
      </c>
      <c r="M84" s="57">
        <f>ABS(PPMT($C$70/12,35,$C$71,$C$69))</f>
        <v>0</v>
      </c>
      <c r="N84" s="57">
        <f>IF($C$71&lt;36,0,ABS(PPMT($C$70/12,36,$C$71,$C$69)))</f>
        <v>0</v>
      </c>
      <c r="O84" s="382">
        <f>SUM(C84:N84)</f>
        <v>0</v>
      </c>
      <c r="P84" s="22"/>
      <c r="Q84" s="22"/>
    </row>
    <row r="85" spans="2:17" x14ac:dyDescent="0.35">
      <c r="B85" s="60" t="s">
        <v>169</v>
      </c>
      <c r="C85" s="58">
        <f>N81-C84</f>
        <v>0</v>
      </c>
      <c r="D85" s="58">
        <f t="shared" ref="D85:N85" si="11">C85-D84</f>
        <v>0</v>
      </c>
      <c r="E85" s="58">
        <f t="shared" si="11"/>
        <v>0</v>
      </c>
      <c r="F85" s="58">
        <f t="shared" si="11"/>
        <v>0</v>
      </c>
      <c r="G85" s="58">
        <f t="shared" si="11"/>
        <v>0</v>
      </c>
      <c r="H85" s="58">
        <f t="shared" si="11"/>
        <v>0</v>
      </c>
      <c r="I85" s="58">
        <f t="shared" si="11"/>
        <v>0</v>
      </c>
      <c r="J85" s="58">
        <f t="shared" si="11"/>
        <v>0</v>
      </c>
      <c r="K85" s="58">
        <f t="shared" si="11"/>
        <v>0</v>
      </c>
      <c r="L85" s="58">
        <f t="shared" si="11"/>
        <v>0</v>
      </c>
      <c r="M85" s="58">
        <f t="shared" si="11"/>
        <v>0</v>
      </c>
      <c r="N85" s="58">
        <f t="shared" si="11"/>
        <v>0</v>
      </c>
      <c r="O85" s="49"/>
      <c r="P85" s="22"/>
      <c r="Q85" s="22"/>
    </row>
    <row r="86" spans="2:17" x14ac:dyDescent="0.35">
      <c r="B86" s="21"/>
      <c r="C86" s="21"/>
      <c r="D86" s="22"/>
      <c r="E86" s="22"/>
      <c r="F86" s="22"/>
      <c r="G86" s="22"/>
      <c r="H86" s="22"/>
      <c r="I86" s="22"/>
      <c r="J86" s="22"/>
      <c r="K86" s="22"/>
      <c r="L86" s="22"/>
      <c r="M86" s="22"/>
      <c r="N86" s="22"/>
      <c r="O86" s="22"/>
      <c r="P86" s="22"/>
      <c r="Q86" s="22"/>
    </row>
    <row r="87" spans="2:17" x14ac:dyDescent="0.35">
      <c r="B87" s="21"/>
      <c r="C87" s="21"/>
      <c r="D87" s="22"/>
      <c r="E87" s="22"/>
      <c r="F87" s="22"/>
      <c r="G87" s="22"/>
      <c r="H87" s="22"/>
      <c r="I87" s="22"/>
      <c r="J87" s="22"/>
      <c r="K87" s="22"/>
      <c r="L87" s="22"/>
      <c r="M87" s="22"/>
      <c r="N87" s="22"/>
      <c r="O87" s="22"/>
      <c r="P87" s="22"/>
      <c r="Q87" s="22"/>
    </row>
    <row r="88" spans="2:17" ht="14.4" thickBot="1" x14ac:dyDescent="0.4">
      <c r="B88" s="610" t="s">
        <v>148</v>
      </c>
      <c r="C88" s="610"/>
      <c r="D88" s="22"/>
      <c r="E88" s="22"/>
      <c r="F88" s="22"/>
      <c r="G88" s="22"/>
      <c r="H88" s="22"/>
      <c r="I88" s="22"/>
      <c r="J88" s="22"/>
      <c r="K88" s="22"/>
      <c r="L88" s="22"/>
      <c r="M88" s="22"/>
      <c r="N88" s="22"/>
      <c r="O88" s="22"/>
      <c r="P88" s="22"/>
      <c r="Q88" s="22"/>
    </row>
    <row r="89" spans="2:17" ht="14.4" thickTop="1" x14ac:dyDescent="0.35">
      <c r="B89" s="179" t="s">
        <v>163</v>
      </c>
      <c r="C89" s="463">
        <f>OtherBankDebt</f>
        <v>0</v>
      </c>
      <c r="D89" s="22"/>
      <c r="E89" s="22"/>
      <c r="F89" s="22"/>
      <c r="G89" s="22"/>
      <c r="H89" s="22"/>
      <c r="I89" s="22"/>
      <c r="J89" s="22"/>
      <c r="K89" s="22"/>
      <c r="L89" s="22"/>
      <c r="M89" s="22"/>
      <c r="N89" s="22"/>
      <c r="O89" s="22"/>
      <c r="P89" s="22"/>
      <c r="Q89" s="22"/>
    </row>
    <row r="90" spans="2:17" x14ac:dyDescent="0.35">
      <c r="B90" s="47" t="s">
        <v>164</v>
      </c>
      <c r="C90" s="53">
        <f>'1-StartingPoint'!E41</f>
        <v>0.05</v>
      </c>
      <c r="D90" s="22"/>
      <c r="E90" s="22"/>
      <c r="F90" s="22"/>
      <c r="G90" s="22"/>
      <c r="H90" s="22"/>
      <c r="I90" s="22"/>
      <c r="J90" s="22"/>
      <c r="K90" s="22"/>
      <c r="L90" s="22"/>
      <c r="M90" s="22"/>
      <c r="N90" s="22"/>
      <c r="O90" s="22"/>
      <c r="P90" s="22"/>
      <c r="Q90" s="22"/>
    </row>
    <row r="91" spans="2:17" x14ac:dyDescent="0.35">
      <c r="B91" s="47" t="s">
        <v>165</v>
      </c>
      <c r="C91" s="54">
        <f>'1-StartingPoint'!F41</f>
        <v>36</v>
      </c>
      <c r="D91" s="22"/>
      <c r="E91" s="22"/>
      <c r="F91" s="22"/>
      <c r="G91" s="22"/>
      <c r="H91" s="22"/>
      <c r="I91" s="22"/>
      <c r="J91" s="22"/>
      <c r="K91" s="22"/>
      <c r="L91" s="22"/>
      <c r="M91" s="22"/>
      <c r="N91" s="22"/>
      <c r="O91" s="22"/>
      <c r="P91" s="22"/>
      <c r="Q91" s="22"/>
    </row>
    <row r="92" spans="2:17" x14ac:dyDescent="0.35">
      <c r="B92" s="47" t="s">
        <v>166</v>
      </c>
      <c r="C92" s="55">
        <f>ABS(PMT(C90/12,C91,C89))</f>
        <v>0</v>
      </c>
      <c r="D92" s="22"/>
      <c r="E92" s="22"/>
      <c r="F92" s="22"/>
      <c r="G92" s="22"/>
      <c r="H92" s="22"/>
      <c r="I92" s="22"/>
      <c r="J92" s="22"/>
      <c r="K92" s="22"/>
      <c r="L92" s="22"/>
      <c r="M92" s="22"/>
      <c r="N92" s="22"/>
      <c r="O92" s="22"/>
      <c r="P92" s="22"/>
      <c r="Q92" s="22"/>
    </row>
    <row r="93" spans="2:17" x14ac:dyDescent="0.35">
      <c r="B93" s="47"/>
      <c r="C93" s="59" t="str">
        <f>'3a-SalesForecastYear1'!$C$16</f>
        <v>June</v>
      </c>
      <c r="D93" s="59" t="str">
        <f>'3a-SalesForecastYear1'!$D$16</f>
        <v>July</v>
      </c>
      <c r="E93" s="59" t="str">
        <f>'3a-SalesForecastYear1'!$E$16</f>
        <v>August</v>
      </c>
      <c r="F93" s="59" t="str">
        <f>'3a-SalesForecastYear1'!$F$16</f>
        <v>September</v>
      </c>
      <c r="G93" s="59" t="str">
        <f>'3a-SalesForecastYear1'!$G$16</f>
        <v>October</v>
      </c>
      <c r="H93" s="59" t="str">
        <f>'3a-SalesForecastYear1'!$H$16</f>
        <v>November</v>
      </c>
      <c r="I93" s="59" t="str">
        <f>'3a-SalesForecastYear1'!$I$16</f>
        <v>December</v>
      </c>
      <c r="J93" s="59" t="str">
        <f>'3a-SalesForecastYear1'!$J$16</f>
        <v>January</v>
      </c>
      <c r="K93" s="59" t="str">
        <f>'3a-SalesForecastYear1'!$K$16</f>
        <v>February</v>
      </c>
      <c r="L93" s="59" t="str">
        <f>'3a-SalesForecastYear1'!$L$16</f>
        <v>March</v>
      </c>
      <c r="M93" s="59" t="str">
        <f>'3a-SalesForecastYear1'!$M$16</f>
        <v>April</v>
      </c>
      <c r="N93" s="59" t="str">
        <f>'3a-SalesForecastYear1'!$N$16</f>
        <v>May</v>
      </c>
      <c r="O93" s="59" t="s">
        <v>8</v>
      </c>
      <c r="P93" s="22"/>
      <c r="Q93" s="22"/>
    </row>
    <row r="94" spans="2:17" x14ac:dyDescent="0.35">
      <c r="B94" s="47" t="s">
        <v>167</v>
      </c>
      <c r="C94" s="9"/>
      <c r="D94" s="9"/>
      <c r="E94" s="9"/>
      <c r="F94" s="9"/>
      <c r="G94" s="9"/>
      <c r="H94" s="9"/>
      <c r="I94" s="9"/>
      <c r="J94" s="9"/>
      <c r="K94" s="9"/>
      <c r="L94" s="9"/>
      <c r="M94" s="9"/>
      <c r="N94" s="9"/>
      <c r="O94" s="9"/>
      <c r="P94" s="22"/>
      <c r="Q94" s="22"/>
    </row>
    <row r="95" spans="2:17" x14ac:dyDescent="0.35">
      <c r="B95" s="60" t="s">
        <v>58</v>
      </c>
      <c r="C95" s="57">
        <f>ABS(IPMT($C$90/12,1,$C$91,$C$89))</f>
        <v>0</v>
      </c>
      <c r="D95" s="57">
        <f>ABS(IPMT($C$90/12,2,$C$91,$C$89))</f>
        <v>0</v>
      </c>
      <c r="E95" s="57">
        <f>ABS(IPMT($C$90/12,3,$C$91,$C$89))</f>
        <v>0</v>
      </c>
      <c r="F95" s="57">
        <f>ABS(IPMT($C$90/12,4,$C$91,$C$89))</f>
        <v>0</v>
      </c>
      <c r="G95" s="57">
        <f>ABS(IPMT($C$90/12,5,$C$91,$C$89))</f>
        <v>0</v>
      </c>
      <c r="H95" s="57">
        <f>ABS(IPMT($C$90/12,6,$C$91,$C$89))</f>
        <v>0</v>
      </c>
      <c r="I95" s="57">
        <f>ABS(IPMT($C$90/12,7,$C$91,$C$89))</f>
        <v>0</v>
      </c>
      <c r="J95" s="57">
        <f>ABS(IPMT($C$90/12,8,$C$91,$C$89))</f>
        <v>0</v>
      </c>
      <c r="K95" s="57">
        <f>ABS(IPMT($C$90/12,9,$C$91,$C$89))</f>
        <v>0</v>
      </c>
      <c r="L95" s="57">
        <f>ABS(IPMT($C$90/12,10,$C$91,$C$89))</f>
        <v>0</v>
      </c>
      <c r="M95" s="57">
        <f>ABS(IPMT($C$90/12,11,$C$91,$C$89))</f>
        <v>0</v>
      </c>
      <c r="N95" s="57">
        <f>ABS(IPMT($C$90/12,12,$C$91,$C$89))</f>
        <v>0</v>
      </c>
      <c r="O95" s="382">
        <f>SUM(C95:N95)</f>
        <v>0</v>
      </c>
      <c r="P95" s="22"/>
      <c r="Q95" s="22"/>
    </row>
    <row r="96" spans="2:17" x14ac:dyDescent="0.35">
      <c r="B96" s="60" t="s">
        <v>168</v>
      </c>
      <c r="C96" s="57">
        <f>ABS(PPMT($C$90/12,1,$C$91,$C$89))</f>
        <v>0</v>
      </c>
      <c r="D96" s="57">
        <f>ABS(PPMT($C$90/12,2,$C$91,$C$89))</f>
        <v>0</v>
      </c>
      <c r="E96" s="57">
        <f>ABS(PPMT($C$90/12,3,$C$91,$C$89))</f>
        <v>0</v>
      </c>
      <c r="F96" s="57">
        <f>ABS(PPMT($C$90/12,4,$C$91,$C$89))</f>
        <v>0</v>
      </c>
      <c r="G96" s="57">
        <f>ABS(PPMT($C$90/12,5,$C$91,$C$89))</f>
        <v>0</v>
      </c>
      <c r="H96" s="57">
        <f>ABS(PPMT($C$90/12,6,$C$91,$C$89))</f>
        <v>0</v>
      </c>
      <c r="I96" s="57">
        <f>ABS(PPMT($C$90/12,7,$C$91,$C$89))</f>
        <v>0</v>
      </c>
      <c r="J96" s="57">
        <f>ABS(PPMT($C$90/12,8,$C$91,$C$89))</f>
        <v>0</v>
      </c>
      <c r="K96" s="57">
        <f>ABS(PPMT($C$90/12,9,$C$91,$C$89))</f>
        <v>0</v>
      </c>
      <c r="L96" s="57">
        <f>ABS(PPMT($C$90/12,10,$C$91,$C$89))</f>
        <v>0</v>
      </c>
      <c r="M96" s="57">
        <f>ABS(PPMT($C$90/12,11,$C$91,$C$89))</f>
        <v>0</v>
      </c>
      <c r="N96" s="57">
        <f>ABS(PPMT($C$90/12,12,$C$91,$C$89))</f>
        <v>0</v>
      </c>
      <c r="O96" s="382">
        <f>SUM(C96:N96)</f>
        <v>0</v>
      </c>
      <c r="P96" s="22"/>
      <c r="Q96" s="22"/>
    </row>
    <row r="97" spans="2:17" x14ac:dyDescent="0.35">
      <c r="B97" s="60" t="s">
        <v>169</v>
      </c>
      <c r="C97" s="58">
        <f>$C$89-C96</f>
        <v>0</v>
      </c>
      <c r="D97" s="58">
        <f t="shared" ref="D97:N97" si="12">C97-D96</f>
        <v>0</v>
      </c>
      <c r="E97" s="58">
        <f t="shared" si="12"/>
        <v>0</v>
      </c>
      <c r="F97" s="58">
        <f t="shared" si="12"/>
        <v>0</v>
      </c>
      <c r="G97" s="58">
        <f t="shared" si="12"/>
        <v>0</v>
      </c>
      <c r="H97" s="58">
        <f t="shared" si="12"/>
        <v>0</v>
      </c>
      <c r="I97" s="58">
        <f t="shared" si="12"/>
        <v>0</v>
      </c>
      <c r="J97" s="58">
        <f t="shared" si="12"/>
        <v>0</v>
      </c>
      <c r="K97" s="58">
        <f t="shared" si="12"/>
        <v>0</v>
      </c>
      <c r="L97" s="58">
        <f t="shared" si="12"/>
        <v>0</v>
      </c>
      <c r="M97" s="58">
        <f t="shared" si="12"/>
        <v>0</v>
      </c>
      <c r="N97" s="58">
        <f t="shared" si="12"/>
        <v>0</v>
      </c>
      <c r="O97" s="49"/>
      <c r="P97" s="22"/>
      <c r="Q97" s="22"/>
    </row>
    <row r="98" spans="2:17" x14ac:dyDescent="0.35">
      <c r="B98" s="47" t="s">
        <v>170</v>
      </c>
      <c r="C98" s="50"/>
      <c r="D98" s="50"/>
      <c r="E98" s="50"/>
      <c r="F98" s="50"/>
      <c r="G98" s="50"/>
      <c r="H98" s="50"/>
      <c r="I98" s="50"/>
      <c r="J98" s="50"/>
      <c r="K98" s="50"/>
      <c r="L98" s="50"/>
      <c r="M98" s="50"/>
      <c r="N98" s="50"/>
      <c r="O98" s="50"/>
      <c r="P98" s="22"/>
      <c r="Q98" s="22"/>
    </row>
    <row r="99" spans="2:17" x14ac:dyDescent="0.35">
      <c r="B99" s="60" t="s">
        <v>58</v>
      </c>
      <c r="C99" s="57">
        <f>IF($C$91&lt;13,0,ABS(IPMT($C$90/12,13,$C$91,$C$89)))</f>
        <v>0</v>
      </c>
      <c r="D99" s="57">
        <f>IF($C$91&lt;14,0,ABS(IPMT($C$90/12,14,$C$91,$C$89)))</f>
        <v>0</v>
      </c>
      <c r="E99" s="57">
        <f>IF($C$91&lt;15,0,ABS(IPMT($C$90/12,15,$C$91,$C$89)))</f>
        <v>0</v>
      </c>
      <c r="F99" s="57">
        <f>IF($C$91&lt;16,0,ABS(IPMT($C$90/12,16,$C$91,$C$89)))</f>
        <v>0</v>
      </c>
      <c r="G99" s="57">
        <f>IF($C$91&lt;17,0,ABS(IPMT($C$90/12,17,$C$91,$C$89)))</f>
        <v>0</v>
      </c>
      <c r="H99" s="57">
        <f>IF($C$91&lt;18,0,ABS(IPMT($C$90/12,18,$C$91,$C$89)))</f>
        <v>0</v>
      </c>
      <c r="I99" s="57">
        <f>IF($C$91&lt;19,0,ABS(IPMT($C$90/12,19,$C$91,$C$89)))</f>
        <v>0</v>
      </c>
      <c r="J99" s="57">
        <f>IF($C$91&lt;20,0,ABS(IPMT($C$90/12,20,$C$91,$C$89)))</f>
        <v>0</v>
      </c>
      <c r="K99" s="57">
        <f>IF($C$91&lt;21,0,ABS(IPMT($C$90/12,21,$C$91,$C$89)))</f>
        <v>0</v>
      </c>
      <c r="L99" s="57">
        <f>IF($C$91&lt;22,0,ABS(IPMT($C$90/12,22,$C$91,$C$89)))</f>
        <v>0</v>
      </c>
      <c r="M99" s="57">
        <f>IF($C$91&lt;23,0,ABS(IPMT($C$90/23,11,$C$91,$C$89)))</f>
        <v>0</v>
      </c>
      <c r="N99" s="57">
        <f>IF($C$91&lt;24,0,ABS(IPMT($C$90/12,24,$C$91,$C$89)))</f>
        <v>0</v>
      </c>
      <c r="O99" s="382">
        <f>SUM(C99:N99)</f>
        <v>0</v>
      </c>
      <c r="P99" s="22"/>
      <c r="Q99" s="22"/>
    </row>
    <row r="100" spans="2:17" x14ac:dyDescent="0.35">
      <c r="B100" s="60" t="s">
        <v>168</v>
      </c>
      <c r="C100" s="57">
        <f>IF($C$91&lt;13,0,ABS(PPMT($C$90/12,13,$C$91,$C$89)))</f>
        <v>0</v>
      </c>
      <c r="D100" s="57">
        <f>IF($C$91&lt;14,0,ABS(PPMT($C$90/12,14,$C$91,$C$89)))</f>
        <v>0</v>
      </c>
      <c r="E100" s="57">
        <f>IF($C$91&lt;15,0,ABS(PPMT($C$90/12,15,$C$91,$C$89)))</f>
        <v>0</v>
      </c>
      <c r="F100" s="57">
        <f>IF($C$91&lt;16,0,ABS(PPMT($C$90/12,16,$C$91,$C$89)))</f>
        <v>0</v>
      </c>
      <c r="G100" s="57">
        <f>IF($C$91&lt;17,0,ABS(PPMT($C$90/12,17,$C$91,$C$89)))</f>
        <v>0</v>
      </c>
      <c r="H100" s="57">
        <f>IF($C$91&lt;18,0,ABS(PPMT($C$90/12,18,$C$91,$C$89)))</f>
        <v>0</v>
      </c>
      <c r="I100" s="57">
        <f>IF($C$91&lt;19,0,ABS(PPMT($C$90/12,19,$C$91,$C$89)))</f>
        <v>0</v>
      </c>
      <c r="J100" s="57">
        <f>IF($C$91&lt;20,0,ABS(PPMT($C$90/12,20,$C$91,$C$89)))</f>
        <v>0</v>
      </c>
      <c r="K100" s="57">
        <f>IF($C$91&lt;21,0,ABS(PPMT($C$90/12,21,$C$91,$C$89)))</f>
        <v>0</v>
      </c>
      <c r="L100" s="57">
        <f>IF($C$91&lt;22,0,ABS(PPMT($C$90/12,22,$C$91,$C$89)))</f>
        <v>0</v>
      </c>
      <c r="M100" s="57">
        <f>IF($C$91&lt;23,0,ABS(PPMT($C$90/12,23,$C$91,$C$89)))</f>
        <v>0</v>
      </c>
      <c r="N100" s="57">
        <f>IF($C$91&lt;24,0,ABS(PPMT($C$90/12,24,$C$91,$C$89)))</f>
        <v>0</v>
      </c>
      <c r="O100" s="382">
        <f>SUM(C100:N100)</f>
        <v>0</v>
      </c>
      <c r="P100" s="22"/>
      <c r="Q100" s="22"/>
    </row>
    <row r="101" spans="2:17" x14ac:dyDescent="0.35">
      <c r="B101" s="60" t="s">
        <v>169</v>
      </c>
      <c r="C101" s="58">
        <f>N97-C100</f>
        <v>0</v>
      </c>
      <c r="D101" s="58">
        <f t="shared" ref="D101:N101" si="13">C101-D100</f>
        <v>0</v>
      </c>
      <c r="E101" s="58">
        <f t="shared" si="13"/>
        <v>0</v>
      </c>
      <c r="F101" s="58">
        <f t="shared" si="13"/>
        <v>0</v>
      </c>
      <c r="G101" s="58">
        <f t="shared" si="13"/>
        <v>0</v>
      </c>
      <c r="H101" s="58">
        <f t="shared" si="13"/>
        <v>0</v>
      </c>
      <c r="I101" s="58">
        <f t="shared" si="13"/>
        <v>0</v>
      </c>
      <c r="J101" s="58">
        <f t="shared" si="13"/>
        <v>0</v>
      </c>
      <c r="K101" s="58">
        <f t="shared" si="13"/>
        <v>0</v>
      </c>
      <c r="L101" s="58">
        <f t="shared" si="13"/>
        <v>0</v>
      </c>
      <c r="M101" s="58">
        <f t="shared" si="13"/>
        <v>0</v>
      </c>
      <c r="N101" s="58">
        <f t="shared" si="13"/>
        <v>0</v>
      </c>
      <c r="O101" s="49"/>
      <c r="P101" s="22"/>
      <c r="Q101" s="22"/>
    </row>
    <row r="102" spans="2:17" x14ac:dyDescent="0.35">
      <c r="B102" s="47" t="s">
        <v>171</v>
      </c>
      <c r="C102" s="50"/>
      <c r="D102" s="50"/>
      <c r="E102" s="50"/>
      <c r="F102" s="50"/>
      <c r="G102" s="50"/>
      <c r="H102" s="50"/>
      <c r="I102" s="50"/>
      <c r="J102" s="50"/>
      <c r="K102" s="50"/>
      <c r="L102" s="50"/>
      <c r="M102" s="50"/>
      <c r="N102" s="50"/>
      <c r="O102" s="50"/>
      <c r="P102" s="22"/>
      <c r="Q102" s="22"/>
    </row>
    <row r="103" spans="2:17" x14ac:dyDescent="0.35">
      <c r="B103" s="60" t="s">
        <v>58</v>
      </c>
      <c r="C103" s="57">
        <f>IF($C$91&lt;25,0,ABS(IPMT($C$90/12,25,$C$91,$C$89)))</f>
        <v>0</v>
      </c>
      <c r="D103" s="57">
        <f>IF($C$91&lt;26,0,ABS(IPMT($C$90/12,26,$C$91,$C$89)))</f>
        <v>0</v>
      </c>
      <c r="E103" s="57">
        <f>IF($C$91&lt;27,0,ABS(IPMT($C$90/12,27,$C$91,$C$89)))</f>
        <v>0</v>
      </c>
      <c r="F103" s="57">
        <f>IF($C$91&lt;28,0,ABS(IPMT($C$90/12,28,$C$91,$C$89)))</f>
        <v>0</v>
      </c>
      <c r="G103" s="57">
        <f>IF($C$91&lt;29,0,ABS(IPMT($C$90/12,29,$C$91,$C$89)))</f>
        <v>0</v>
      </c>
      <c r="H103" s="57">
        <f>IF($C$91&lt;30,0,ABS(IPMT($C$90/12,30,$C$91,$C$89)))</f>
        <v>0</v>
      </c>
      <c r="I103" s="57">
        <f>IF($C$91&lt;31,0,ABS(IPMT($C$90/12,31,$C$91,$C$89)))</f>
        <v>0</v>
      </c>
      <c r="J103" s="57">
        <f>IF($C$91&lt;32,0,ABS(IPMT($C$90/12,32,$C$91,$C$89)))</f>
        <v>0</v>
      </c>
      <c r="K103" s="57">
        <f>IF($C$91&lt;33,0,ABS(IPMT($C$90/12,33,$C$91,$C$89)))</f>
        <v>0</v>
      </c>
      <c r="L103" s="57">
        <f>IF($C$91&lt;34,0,ABS(IPMT($C$90/12,34,$C$91,$C$89)))</f>
        <v>0</v>
      </c>
      <c r="M103" s="57">
        <f>IF($C$91&lt;35,0,ABS(IPMT($C$90/12,35,$C$91,$C$89)))</f>
        <v>0</v>
      </c>
      <c r="N103" s="57">
        <f>IF($C$91&lt;36,0,ABS(IPMT($C$90/12,36,$C$91,$C$89)))</f>
        <v>0</v>
      </c>
      <c r="O103" s="382">
        <f>SUM(C103:N103)</f>
        <v>0</v>
      </c>
      <c r="P103" s="22"/>
      <c r="Q103" s="22"/>
    </row>
    <row r="104" spans="2:17" x14ac:dyDescent="0.35">
      <c r="B104" s="60" t="s">
        <v>168</v>
      </c>
      <c r="C104" s="57">
        <f>IF($C$91&lt;25,0,ABS(PPMT($C$90/12,25,$C$91,$C$89)))</f>
        <v>0</v>
      </c>
      <c r="D104" s="57">
        <f>IF($C$91&lt;26,0,ABS(PPMT($C$90/12,26,$C$91,$C$89)))</f>
        <v>0</v>
      </c>
      <c r="E104" s="57">
        <f>IF($C$91&lt;27,0,ABS(PPMT($C$90/12,27,$C$91,$C$89)))</f>
        <v>0</v>
      </c>
      <c r="F104" s="57">
        <f>IF($C$91&lt;28,0,ABS(PPMT($C$90/12,28,$C$91,$C$89)))</f>
        <v>0</v>
      </c>
      <c r="G104" s="57">
        <f>IF($C$91&lt;29,0,ABS(PPMT($C$90/12,29,$C$91,$C$89)))</f>
        <v>0</v>
      </c>
      <c r="H104" s="57">
        <f>IF($C$91&lt;30,0,ABS(PPMT($C$90/12,30,$C$91,$C$89)))</f>
        <v>0</v>
      </c>
      <c r="I104" s="57">
        <f>IF($C$91&lt;31,0,ABS(PPMT($C$90/12,31,$C$91,$C$89)))</f>
        <v>0</v>
      </c>
      <c r="J104" s="57">
        <f>IF($C$91&lt;32,0,ABS(PPMT($C$90/12,32,$C$91,$C$89)))</f>
        <v>0</v>
      </c>
      <c r="K104" s="57">
        <f>IF($C$91&lt;33,0,ABS(PPMT($C$90/12,33,$C$91,$C$89)))</f>
        <v>0</v>
      </c>
      <c r="L104" s="57">
        <f>IF($C$91&lt;34,0,ABS(PPMT($C$90/12,34,$C$91,$C$89)))</f>
        <v>0</v>
      </c>
      <c r="M104" s="57">
        <f>IF($C$91&lt;35,0,ABS(PPMT($C$90/12,35,$C$91,$C$89)))</f>
        <v>0</v>
      </c>
      <c r="N104" s="57">
        <f>IF($C$91&lt;36,0,ABS(PPMT($C$90/12,36,$C$91,$C$89)))</f>
        <v>0</v>
      </c>
      <c r="O104" s="382">
        <f>SUM(C104:N104)</f>
        <v>0</v>
      </c>
      <c r="P104" s="22"/>
      <c r="Q104" s="22"/>
    </row>
    <row r="105" spans="2:17" x14ac:dyDescent="0.35">
      <c r="B105" s="60" t="s">
        <v>169</v>
      </c>
      <c r="C105" s="58">
        <f>N101-C104</f>
        <v>0</v>
      </c>
      <c r="D105" s="58">
        <f t="shared" ref="D105:N105" si="14">C105-D104</f>
        <v>0</v>
      </c>
      <c r="E105" s="58">
        <f t="shared" si="14"/>
        <v>0</v>
      </c>
      <c r="F105" s="58">
        <f t="shared" si="14"/>
        <v>0</v>
      </c>
      <c r="G105" s="58">
        <f t="shared" si="14"/>
        <v>0</v>
      </c>
      <c r="H105" s="58">
        <f t="shared" si="14"/>
        <v>0</v>
      </c>
      <c r="I105" s="58">
        <f t="shared" si="14"/>
        <v>0</v>
      </c>
      <c r="J105" s="58">
        <f t="shared" si="14"/>
        <v>0</v>
      </c>
      <c r="K105" s="58">
        <f t="shared" si="14"/>
        <v>0</v>
      </c>
      <c r="L105" s="58">
        <f t="shared" si="14"/>
        <v>0</v>
      </c>
      <c r="M105" s="58">
        <f t="shared" si="14"/>
        <v>0</v>
      </c>
      <c r="N105" s="58">
        <f t="shared" si="14"/>
        <v>0</v>
      </c>
      <c r="O105" s="49"/>
      <c r="P105" s="22"/>
      <c r="Q105" s="22"/>
    </row>
    <row r="106" spans="2:17" x14ac:dyDescent="0.35">
      <c r="B106" s="21"/>
      <c r="C106" s="21"/>
      <c r="D106" s="22"/>
      <c r="E106" s="22"/>
      <c r="F106" s="22"/>
      <c r="G106" s="22"/>
      <c r="H106" s="22"/>
      <c r="I106" s="22"/>
      <c r="J106" s="22"/>
      <c r="K106" s="22"/>
      <c r="L106" s="22"/>
      <c r="M106" s="22"/>
      <c r="N106" s="22"/>
      <c r="O106" s="22"/>
      <c r="P106" s="22"/>
      <c r="Q106" s="22"/>
    </row>
    <row r="107" spans="2:17" x14ac:dyDescent="0.35">
      <c r="B107" s="22"/>
      <c r="C107" s="22"/>
      <c r="D107" s="22"/>
      <c r="E107" s="22"/>
      <c r="F107" s="22"/>
      <c r="G107" s="22"/>
      <c r="H107" s="22"/>
      <c r="I107" s="22"/>
      <c r="J107" s="22"/>
      <c r="K107" s="22"/>
      <c r="L107" s="22"/>
      <c r="M107" s="22"/>
      <c r="N107" s="22"/>
      <c r="O107" s="22"/>
      <c r="P107" s="22"/>
      <c r="Q107" s="22"/>
    </row>
    <row r="108" spans="2:17" ht="14.4" thickBot="1" x14ac:dyDescent="0.4">
      <c r="B108" s="610" t="s">
        <v>31</v>
      </c>
      <c r="C108" s="610"/>
      <c r="D108" s="22"/>
      <c r="E108" s="22"/>
      <c r="F108" s="22"/>
      <c r="G108" s="22"/>
      <c r="H108" s="22"/>
      <c r="I108" s="22"/>
      <c r="J108" s="22"/>
      <c r="K108" s="22"/>
      <c r="L108" s="22"/>
      <c r="M108" s="22"/>
      <c r="N108" s="22"/>
      <c r="O108" s="22"/>
      <c r="P108" s="12"/>
      <c r="Q108" s="12"/>
    </row>
    <row r="109" spans="2:17" ht="14.4" thickTop="1" x14ac:dyDescent="0.35">
      <c r="B109" s="464" t="str">
        <f>'1-StartingPoint'!B10</f>
        <v>Real Estate-Buildings</v>
      </c>
      <c r="C109" s="465">
        <f>'1-StartingPoint'!D10</f>
        <v>20</v>
      </c>
      <c r="D109" s="22"/>
      <c r="E109" s="22"/>
      <c r="F109" s="22"/>
      <c r="G109" s="22"/>
      <c r="H109" s="22"/>
      <c r="I109" s="22"/>
      <c r="J109" s="22"/>
      <c r="K109" s="22"/>
      <c r="L109" s="22"/>
      <c r="M109" s="22"/>
      <c r="N109" s="22"/>
      <c r="O109" s="22"/>
      <c r="P109" s="12"/>
      <c r="Q109" s="12"/>
    </row>
    <row r="110" spans="2:17" x14ac:dyDescent="0.35">
      <c r="B110" s="242" t="str">
        <f>'1-StartingPoint'!B11</f>
        <v>Leasehold Improvements</v>
      </c>
      <c r="C110" s="283">
        <f>'1-StartingPoint'!D11</f>
        <v>7</v>
      </c>
      <c r="D110" s="22"/>
      <c r="E110" s="22"/>
      <c r="F110" s="22"/>
      <c r="G110" s="22"/>
      <c r="H110" s="22"/>
      <c r="I110" s="22"/>
      <c r="J110" s="22"/>
      <c r="K110" s="22"/>
      <c r="L110" s="22"/>
      <c r="M110" s="22"/>
      <c r="N110" s="22"/>
      <c r="O110" s="22"/>
      <c r="P110" s="12"/>
      <c r="Q110" s="12"/>
    </row>
    <row r="111" spans="2:17" x14ac:dyDescent="0.35">
      <c r="B111" s="242" t="str">
        <f>'1-StartingPoint'!B12</f>
        <v>Equipment</v>
      </c>
      <c r="C111" s="283">
        <f>'1-StartingPoint'!D12</f>
        <v>7</v>
      </c>
      <c r="D111" s="22"/>
      <c r="E111" s="22"/>
      <c r="F111" s="22"/>
      <c r="G111" s="22"/>
      <c r="H111" s="22"/>
      <c r="I111" s="22"/>
      <c r="J111" s="22"/>
      <c r="K111" s="22"/>
      <c r="L111" s="22"/>
      <c r="M111" s="22"/>
      <c r="N111" s="22"/>
      <c r="O111" s="22"/>
      <c r="P111" s="12"/>
      <c r="Q111" s="12"/>
    </row>
    <row r="112" spans="2:17" x14ac:dyDescent="0.35">
      <c r="B112" s="242" t="str">
        <f>'1-StartingPoint'!B13</f>
        <v>Furniture and Fixtures</v>
      </c>
      <c r="C112" s="283">
        <f>'1-StartingPoint'!D13</f>
        <v>5</v>
      </c>
      <c r="D112" s="22"/>
      <c r="E112" s="22"/>
      <c r="F112" s="22"/>
      <c r="G112" s="22"/>
      <c r="H112" s="22"/>
      <c r="I112" s="22"/>
      <c r="J112" s="22"/>
      <c r="K112" s="22"/>
      <c r="L112" s="22"/>
      <c r="M112" s="22"/>
      <c r="N112" s="22"/>
      <c r="O112" s="22"/>
      <c r="P112" s="12"/>
      <c r="Q112" s="12"/>
    </row>
    <row r="113" spans="2:17" x14ac:dyDescent="0.35">
      <c r="B113" s="242" t="str">
        <f>'1-StartingPoint'!B14</f>
        <v>Vehicles</v>
      </c>
      <c r="C113" s="283">
        <f>'1-StartingPoint'!D14</f>
        <v>5</v>
      </c>
      <c r="D113" s="22"/>
      <c r="E113" s="22"/>
      <c r="F113" s="22"/>
      <c r="G113" s="22"/>
      <c r="H113" s="22"/>
      <c r="I113" s="22"/>
      <c r="J113" s="22"/>
      <c r="K113" s="22"/>
      <c r="L113" s="22"/>
      <c r="M113" s="22"/>
      <c r="N113" s="22"/>
      <c r="O113" s="22"/>
      <c r="P113" s="12"/>
      <c r="Q113" s="12"/>
    </row>
    <row r="114" spans="2:17" x14ac:dyDescent="0.35">
      <c r="B114" s="242" t="str">
        <f>'1-StartingPoint'!B15</f>
        <v>Other</v>
      </c>
      <c r="C114" s="283">
        <f>'1-StartingPoint'!D15</f>
        <v>5</v>
      </c>
      <c r="D114" s="22"/>
      <c r="E114" s="22"/>
      <c r="F114" s="22"/>
      <c r="G114" s="22"/>
      <c r="H114" s="22"/>
      <c r="I114" s="22"/>
      <c r="J114" s="22"/>
      <c r="K114" s="22"/>
      <c r="L114" s="22"/>
      <c r="M114" s="22"/>
      <c r="N114" s="22"/>
      <c r="O114" s="22"/>
      <c r="P114" s="22"/>
      <c r="Q114" s="22"/>
    </row>
    <row r="115" spans="2:17" x14ac:dyDescent="0.35">
      <c r="B115" s="47"/>
      <c r="C115" s="59" t="str">
        <f>'3a-SalesForecastYear1'!$C$16</f>
        <v>June</v>
      </c>
      <c r="D115" s="59" t="str">
        <f>'3a-SalesForecastYear1'!$D$16</f>
        <v>July</v>
      </c>
      <c r="E115" s="59" t="str">
        <f>'3a-SalesForecastYear1'!$E$16</f>
        <v>August</v>
      </c>
      <c r="F115" s="59" t="str">
        <f>'3a-SalesForecastYear1'!$F$16</f>
        <v>September</v>
      </c>
      <c r="G115" s="59" t="str">
        <f>'3a-SalesForecastYear1'!$G$16</f>
        <v>October</v>
      </c>
      <c r="H115" s="59" t="str">
        <f>'3a-SalesForecastYear1'!$H$16</f>
        <v>November</v>
      </c>
      <c r="I115" s="59" t="str">
        <f>'3a-SalesForecastYear1'!$I$16</f>
        <v>December</v>
      </c>
      <c r="J115" s="59" t="str">
        <f>'3a-SalesForecastYear1'!$J$16</f>
        <v>January</v>
      </c>
      <c r="K115" s="59" t="str">
        <f>'3a-SalesForecastYear1'!$K$16</f>
        <v>February</v>
      </c>
      <c r="L115" s="59" t="str">
        <f>'3a-SalesForecastYear1'!$L$16</f>
        <v>March</v>
      </c>
      <c r="M115" s="59" t="str">
        <f>'3a-SalesForecastYear1'!$M$16</f>
        <v>April</v>
      </c>
      <c r="N115" s="59" t="str">
        <f>'3a-SalesForecastYear1'!$N$16</f>
        <v>May</v>
      </c>
      <c r="O115" s="59" t="s">
        <v>8</v>
      </c>
      <c r="P115" s="22"/>
      <c r="Q115" s="22"/>
    </row>
    <row r="116" spans="2:17" x14ac:dyDescent="0.35">
      <c r="B116" s="47" t="s">
        <v>167</v>
      </c>
      <c r="C116" s="56"/>
      <c r="D116" s="56"/>
      <c r="E116" s="56"/>
      <c r="F116" s="56"/>
      <c r="G116" s="56"/>
      <c r="H116" s="56"/>
      <c r="I116" s="56"/>
      <c r="J116" s="56"/>
      <c r="K116" s="56"/>
      <c r="L116" s="56"/>
      <c r="M116" s="56"/>
      <c r="N116" s="56"/>
      <c r="O116" s="56"/>
      <c r="P116" s="22"/>
      <c r="Q116" s="22"/>
    </row>
    <row r="117" spans="2:17" x14ac:dyDescent="0.35">
      <c r="B117" s="60" t="s">
        <v>247</v>
      </c>
      <c r="C117" s="57">
        <f>(Buildings/'1-StartingPoint'!$D$10/12)+(LeaseImprovements/'1-StartingPoint'!$D$11/12)+(Equipment/'1-StartingPoint'!$D$12/12)+(Furniture/'1-StartingPoint'!$D$13/12)+(Vehicles/'1-StartingPoint'!$D$14/12)+(OtherFixedAssets/'1-StartingPoint'!$D$15/12)</f>
        <v>0</v>
      </c>
      <c r="D117" s="57">
        <f>C119</f>
        <v>0</v>
      </c>
      <c r="E117" s="57">
        <f t="shared" ref="E117:N117" si="15">D119</f>
        <v>0</v>
      </c>
      <c r="F117" s="57">
        <f t="shared" si="15"/>
        <v>0</v>
      </c>
      <c r="G117" s="57">
        <f t="shared" si="15"/>
        <v>0</v>
      </c>
      <c r="H117" s="57">
        <f t="shared" si="15"/>
        <v>0</v>
      </c>
      <c r="I117" s="57">
        <f t="shared" si="15"/>
        <v>0</v>
      </c>
      <c r="J117" s="57">
        <f t="shared" si="15"/>
        <v>0</v>
      </c>
      <c r="K117" s="57">
        <f t="shared" si="15"/>
        <v>0</v>
      </c>
      <c r="L117" s="57">
        <f t="shared" si="15"/>
        <v>0</v>
      </c>
      <c r="M117" s="57">
        <f t="shared" si="15"/>
        <v>0</v>
      </c>
      <c r="N117" s="57">
        <f t="shared" si="15"/>
        <v>0</v>
      </c>
      <c r="O117" s="382">
        <f>SUM(C117:N117)</f>
        <v>0</v>
      </c>
      <c r="P117" s="22"/>
      <c r="Q117" s="22"/>
    </row>
    <row r="118" spans="2:17" x14ac:dyDescent="0.35">
      <c r="B118" s="60" t="s">
        <v>248</v>
      </c>
      <c r="C118" s="57">
        <v>0</v>
      </c>
      <c r="D118" s="57">
        <f>('4-AdditionalInputs'!E29/'4-AdditionalInputs'!$C$29/12)+('4-AdditionalInputs'!E30/'4-AdditionalInputs'!$C$30/12)+('4-AdditionalInputs'!E31/'4-AdditionalInputs'!$C$31/12)+('4-AdditionalInputs'!E32/'4-AdditionalInputs'!$C$32/12)+('4-AdditionalInputs'!E33/'4-AdditionalInputs'!$C$33/12)+('4-AdditionalInputs'!E34/'4-AdditionalInputs'!$C$34/12)</f>
        <v>0</v>
      </c>
      <c r="E118" s="57">
        <f>('4-AdditionalInputs'!F29/'4-AdditionalInputs'!$C$29/12)+('4-AdditionalInputs'!F30/'4-AdditionalInputs'!$C$30/12)+('4-AdditionalInputs'!F31/'4-AdditionalInputs'!$C$31/12)+('4-AdditionalInputs'!F32/'4-AdditionalInputs'!$C$32/12)+('4-AdditionalInputs'!F33/'4-AdditionalInputs'!$C$33/12)+('4-AdditionalInputs'!F34/'4-AdditionalInputs'!$C$34/12)</f>
        <v>0</v>
      </c>
      <c r="F118" s="57">
        <f>('4-AdditionalInputs'!G29/'4-AdditionalInputs'!$C$29/12)+('4-AdditionalInputs'!G30/'4-AdditionalInputs'!$C$30/12)+('4-AdditionalInputs'!G31/'4-AdditionalInputs'!$C$31/12)+('4-AdditionalInputs'!G32/'4-AdditionalInputs'!$C$32/12)+('4-AdditionalInputs'!G33/'4-AdditionalInputs'!$C$33/12)+('4-AdditionalInputs'!G34/'4-AdditionalInputs'!$C$34/12)</f>
        <v>0</v>
      </c>
      <c r="G118" s="57">
        <f>('4-AdditionalInputs'!H29/'4-AdditionalInputs'!$C$29/12)+('4-AdditionalInputs'!H30/'4-AdditionalInputs'!$C$30/12)+('4-AdditionalInputs'!H31/'4-AdditionalInputs'!$C$31/12)+('4-AdditionalInputs'!H32/'4-AdditionalInputs'!$C$32/12)+('4-AdditionalInputs'!H33/'4-AdditionalInputs'!$C$33/12)+('4-AdditionalInputs'!H34/'4-AdditionalInputs'!$C$34/12)</f>
        <v>0</v>
      </c>
      <c r="H118" s="57">
        <f>('4-AdditionalInputs'!I29/'4-AdditionalInputs'!$C$29/12)+('4-AdditionalInputs'!I30/'4-AdditionalInputs'!$C$30/12)+('4-AdditionalInputs'!I31/'4-AdditionalInputs'!$C$31/12)+('4-AdditionalInputs'!I32/'4-AdditionalInputs'!$C$32/12)+('4-AdditionalInputs'!I33/'4-AdditionalInputs'!$C$33/12)+('4-AdditionalInputs'!I34/'4-AdditionalInputs'!$C$34/12)</f>
        <v>0</v>
      </c>
      <c r="I118" s="57">
        <f>('4-AdditionalInputs'!J29/'4-AdditionalInputs'!$C$29/12)+('4-AdditionalInputs'!J30/'4-AdditionalInputs'!$C$30/12)+('4-AdditionalInputs'!J31/'4-AdditionalInputs'!$C$31/12)+('4-AdditionalInputs'!J32/'4-AdditionalInputs'!$C$32/12)+('4-AdditionalInputs'!J33/'4-AdditionalInputs'!$C$33/12)+('4-AdditionalInputs'!J34/'4-AdditionalInputs'!$C$34/12)</f>
        <v>0</v>
      </c>
      <c r="J118" s="57">
        <f>('4-AdditionalInputs'!K29/'4-AdditionalInputs'!$C$29/12)+('4-AdditionalInputs'!K30/'4-AdditionalInputs'!$C$30/12)+('4-AdditionalInputs'!K31/'4-AdditionalInputs'!$C$31/12)+('4-AdditionalInputs'!K32/'4-AdditionalInputs'!$C$32/12)+('4-AdditionalInputs'!K33/'4-AdditionalInputs'!$C$33/12)+('4-AdditionalInputs'!K34/'4-AdditionalInputs'!$C$34/12)</f>
        <v>0</v>
      </c>
      <c r="K118" s="57">
        <f>('4-AdditionalInputs'!L29/'4-AdditionalInputs'!$C$29/12)+('4-AdditionalInputs'!L30/'4-AdditionalInputs'!$C$30/12)+('4-AdditionalInputs'!L31/'4-AdditionalInputs'!$C$31/12)+('4-AdditionalInputs'!L32/'4-AdditionalInputs'!$C$32/12)+('4-AdditionalInputs'!L33/'4-AdditionalInputs'!$C$33/12)+('4-AdditionalInputs'!L34/'4-AdditionalInputs'!$C$34/12)</f>
        <v>0</v>
      </c>
      <c r="L118" s="57">
        <f>('4-AdditionalInputs'!M29/'4-AdditionalInputs'!$C$29/12)+('4-AdditionalInputs'!M30/'4-AdditionalInputs'!$C$30/12)+('4-AdditionalInputs'!M31/'4-AdditionalInputs'!$C$31/12)+('4-AdditionalInputs'!M32/'4-AdditionalInputs'!$C$32/12)+('4-AdditionalInputs'!M33/'4-AdditionalInputs'!$C$33/12)+('4-AdditionalInputs'!M34/'4-AdditionalInputs'!$C$34/12)</f>
        <v>0</v>
      </c>
      <c r="M118" s="57">
        <f>('4-AdditionalInputs'!N29/'4-AdditionalInputs'!$C$29/12)+('4-AdditionalInputs'!N30/'4-AdditionalInputs'!$C$30/12)+('4-AdditionalInputs'!N31/'4-AdditionalInputs'!$C$31/12)+('4-AdditionalInputs'!N32/'4-AdditionalInputs'!$C$32/12)+('4-AdditionalInputs'!N33/'4-AdditionalInputs'!$C$33/12)+('4-AdditionalInputs'!N34/'4-AdditionalInputs'!$C$34/12)</f>
        <v>0</v>
      </c>
      <c r="N118" s="57">
        <f>('4-AdditionalInputs'!O29/'4-AdditionalInputs'!$C$29/12)+('4-AdditionalInputs'!O30/'4-AdditionalInputs'!$C$30/12)+('4-AdditionalInputs'!O31/'4-AdditionalInputs'!$C$31/12)+('4-AdditionalInputs'!O32/'4-AdditionalInputs'!$C$32/12)+('4-AdditionalInputs'!O33/'4-AdditionalInputs'!$C$33/12)+('4-AdditionalInputs'!O34/'4-AdditionalInputs'!$C$34/12)</f>
        <v>0</v>
      </c>
      <c r="O118" s="57"/>
      <c r="P118" s="22"/>
      <c r="Q118" s="22"/>
    </row>
    <row r="119" spans="2:17" x14ac:dyDescent="0.35">
      <c r="B119" s="60" t="s">
        <v>249</v>
      </c>
      <c r="C119" s="58">
        <f>SUM(C117:C118)</f>
        <v>0</v>
      </c>
      <c r="D119" s="58">
        <f t="shared" ref="D119:N119" si="16">SUM(D117:D118)</f>
        <v>0</v>
      </c>
      <c r="E119" s="58">
        <f t="shared" si="16"/>
        <v>0</v>
      </c>
      <c r="F119" s="58">
        <f t="shared" si="16"/>
        <v>0</v>
      </c>
      <c r="G119" s="58">
        <f t="shared" si="16"/>
        <v>0</v>
      </c>
      <c r="H119" s="58">
        <f t="shared" si="16"/>
        <v>0</v>
      </c>
      <c r="I119" s="58">
        <f t="shared" si="16"/>
        <v>0</v>
      </c>
      <c r="J119" s="58">
        <f t="shared" si="16"/>
        <v>0</v>
      </c>
      <c r="K119" s="58">
        <f t="shared" si="16"/>
        <v>0</v>
      </c>
      <c r="L119" s="58">
        <f t="shared" si="16"/>
        <v>0</v>
      </c>
      <c r="M119" s="58">
        <f t="shared" si="16"/>
        <v>0</v>
      </c>
      <c r="N119" s="58">
        <f t="shared" si="16"/>
        <v>0</v>
      </c>
      <c r="O119" s="382">
        <f t="shared" ref="O119:O127" si="17">SUM(C119:N119)</f>
        <v>0</v>
      </c>
      <c r="P119" s="22"/>
      <c r="Q119" s="22"/>
    </row>
    <row r="120" spans="2:17" x14ac:dyDescent="0.35">
      <c r="B120" s="47" t="s">
        <v>170</v>
      </c>
      <c r="C120" s="56"/>
      <c r="D120" s="56"/>
      <c r="E120" s="56"/>
      <c r="F120" s="56"/>
      <c r="G120" s="56"/>
      <c r="H120" s="56"/>
      <c r="I120" s="56"/>
      <c r="J120" s="56"/>
      <c r="K120" s="56"/>
      <c r="L120" s="56"/>
      <c r="M120" s="56"/>
      <c r="N120" s="56"/>
      <c r="O120" s="57"/>
      <c r="P120" s="22"/>
      <c r="Q120" s="22"/>
    </row>
    <row r="121" spans="2:17" x14ac:dyDescent="0.35">
      <c r="B121" s="60" t="s">
        <v>247</v>
      </c>
      <c r="C121" s="57">
        <f>N119</f>
        <v>0</v>
      </c>
      <c r="D121" s="57">
        <f>C123</f>
        <v>0</v>
      </c>
      <c r="E121" s="57">
        <f t="shared" ref="E121:N121" si="18">D123</f>
        <v>0</v>
      </c>
      <c r="F121" s="57">
        <f t="shared" si="18"/>
        <v>0</v>
      </c>
      <c r="G121" s="57">
        <f t="shared" si="18"/>
        <v>0</v>
      </c>
      <c r="H121" s="57">
        <f t="shared" si="18"/>
        <v>0</v>
      </c>
      <c r="I121" s="57">
        <f t="shared" si="18"/>
        <v>0</v>
      </c>
      <c r="J121" s="57">
        <f t="shared" si="18"/>
        <v>0</v>
      </c>
      <c r="K121" s="57">
        <f t="shared" si="18"/>
        <v>0</v>
      </c>
      <c r="L121" s="57">
        <f t="shared" si="18"/>
        <v>0</v>
      </c>
      <c r="M121" s="57">
        <f t="shared" si="18"/>
        <v>0</v>
      </c>
      <c r="N121" s="57">
        <f t="shared" si="18"/>
        <v>0</v>
      </c>
      <c r="O121" s="382">
        <f t="shared" si="17"/>
        <v>0</v>
      </c>
      <c r="P121" s="22"/>
      <c r="Q121" s="22"/>
    </row>
    <row r="122" spans="2:17" x14ac:dyDescent="0.35">
      <c r="B122" s="60" t="s">
        <v>248</v>
      </c>
      <c r="C122" s="57">
        <f>('4-AdditionalInputs'!$Q$29/'4-AdditionalInputs'!$C$29/12)+('4-AdditionalInputs'!$Q$30/'4-AdditionalInputs'!$C$30/12)+('4-AdditionalInputs'!$Q$31/'4-AdditionalInputs'!$C$31/12)+('4-AdditionalInputs'!$Q$32/'4-AdditionalInputs'!$C$32/12)+('4-AdditionalInputs'!$Q$33/'4-AdditionalInputs'!$C$33/12)+('4-AdditionalInputs'!$Q$34/'4-AdditionalInputs'!$C$34/12)</f>
        <v>0</v>
      </c>
      <c r="D122" s="57">
        <f>('4-AdditionalInputs'!$Q$29/'4-AdditionalInputs'!$C$29/12)+('4-AdditionalInputs'!$Q$30/'4-AdditionalInputs'!$C$30/12)+('4-AdditionalInputs'!$Q$31/'4-AdditionalInputs'!$C$31/12)+('4-AdditionalInputs'!$Q$32/'4-AdditionalInputs'!$C$32/12)+('4-AdditionalInputs'!$Q$33/'4-AdditionalInputs'!$C$33/12)+('4-AdditionalInputs'!$Q$34/'4-AdditionalInputs'!$C$34/12)</f>
        <v>0</v>
      </c>
      <c r="E122" s="57">
        <f>('4-AdditionalInputs'!$Q$29/'4-AdditionalInputs'!$C$29/12)+('4-AdditionalInputs'!$Q$30/'4-AdditionalInputs'!$C$30/12)+('4-AdditionalInputs'!$Q$31/'4-AdditionalInputs'!$C$31/12)+('4-AdditionalInputs'!$Q$32/'4-AdditionalInputs'!$C$32/12)+('4-AdditionalInputs'!$Q$33/'4-AdditionalInputs'!$C$33/12)+('4-AdditionalInputs'!$Q$34/'4-AdditionalInputs'!$C$34/12)</f>
        <v>0</v>
      </c>
      <c r="F122" s="57">
        <f>('4-AdditionalInputs'!$Q$29/'4-AdditionalInputs'!$C$29/12)+('4-AdditionalInputs'!$Q$30/'4-AdditionalInputs'!$C$30/12)+('4-AdditionalInputs'!$Q$31/'4-AdditionalInputs'!$C$31/12)+('4-AdditionalInputs'!$Q$32/'4-AdditionalInputs'!$C$32/12)+('4-AdditionalInputs'!$Q$33/'4-AdditionalInputs'!$C$33/12)+('4-AdditionalInputs'!$Q$34/'4-AdditionalInputs'!$C$34/12)</f>
        <v>0</v>
      </c>
      <c r="G122" s="57">
        <f>('4-AdditionalInputs'!$Q$29/'4-AdditionalInputs'!$C$29/12)+('4-AdditionalInputs'!$Q$30/'4-AdditionalInputs'!$C$30/12)+('4-AdditionalInputs'!$Q$31/'4-AdditionalInputs'!$C$31/12)+('4-AdditionalInputs'!$Q$32/'4-AdditionalInputs'!$C$32/12)+('4-AdditionalInputs'!$Q$33/'4-AdditionalInputs'!$C$33/12)+('4-AdditionalInputs'!$Q$34/'4-AdditionalInputs'!$C$34/12)</f>
        <v>0</v>
      </c>
      <c r="H122" s="57">
        <f>('4-AdditionalInputs'!$Q$29/'4-AdditionalInputs'!$C$29/12)+('4-AdditionalInputs'!$Q$30/'4-AdditionalInputs'!$C$30/12)+('4-AdditionalInputs'!$Q$31/'4-AdditionalInputs'!$C$31/12)+('4-AdditionalInputs'!$Q$32/'4-AdditionalInputs'!$C$32/12)+('4-AdditionalInputs'!$Q$33/'4-AdditionalInputs'!$C$33/12)+('4-AdditionalInputs'!$Q$34/'4-AdditionalInputs'!$C$34/12)</f>
        <v>0</v>
      </c>
      <c r="I122" s="57">
        <f>('4-AdditionalInputs'!$Q$29/'4-AdditionalInputs'!$C$29/12)+('4-AdditionalInputs'!$Q$30/'4-AdditionalInputs'!$C$30/12)+('4-AdditionalInputs'!$Q$31/'4-AdditionalInputs'!$C$31/12)+('4-AdditionalInputs'!$Q$32/'4-AdditionalInputs'!$C$32/12)+('4-AdditionalInputs'!$Q$33/'4-AdditionalInputs'!$C$33/12)+('4-AdditionalInputs'!$Q$34/'4-AdditionalInputs'!$C$34/12)</f>
        <v>0</v>
      </c>
      <c r="J122" s="57">
        <f>('4-AdditionalInputs'!$Q$29/'4-AdditionalInputs'!$C$29/12)+('4-AdditionalInputs'!$Q$30/'4-AdditionalInputs'!$C$30/12)+('4-AdditionalInputs'!$Q$31/'4-AdditionalInputs'!$C$31/12)+('4-AdditionalInputs'!$Q$32/'4-AdditionalInputs'!$C$32/12)+('4-AdditionalInputs'!$Q$33/'4-AdditionalInputs'!$C$33/12)+('4-AdditionalInputs'!$Q$34/'4-AdditionalInputs'!$C$34/12)</f>
        <v>0</v>
      </c>
      <c r="K122" s="57">
        <f>('4-AdditionalInputs'!$Q$29/'4-AdditionalInputs'!$C$29/12)+('4-AdditionalInputs'!$Q$30/'4-AdditionalInputs'!$C$30/12)+('4-AdditionalInputs'!$Q$31/'4-AdditionalInputs'!$C$31/12)+('4-AdditionalInputs'!$Q$32/'4-AdditionalInputs'!$C$32/12)+('4-AdditionalInputs'!$Q$33/'4-AdditionalInputs'!$C$33/12)+('4-AdditionalInputs'!$Q$34/'4-AdditionalInputs'!$C$34/12)</f>
        <v>0</v>
      </c>
      <c r="L122" s="57">
        <f>('4-AdditionalInputs'!$Q$29/'4-AdditionalInputs'!$C$29/12)+('4-AdditionalInputs'!$Q$30/'4-AdditionalInputs'!$C$30/12)+('4-AdditionalInputs'!$Q$31/'4-AdditionalInputs'!$C$31/12)+('4-AdditionalInputs'!$Q$32/'4-AdditionalInputs'!$C$32/12)+('4-AdditionalInputs'!$Q$33/'4-AdditionalInputs'!$C$33/12)+('4-AdditionalInputs'!$Q$34/'4-AdditionalInputs'!$C$34/12)</f>
        <v>0</v>
      </c>
      <c r="M122" s="57">
        <f>('4-AdditionalInputs'!$Q$29/'4-AdditionalInputs'!$C$29/12)+('4-AdditionalInputs'!$Q$30/'4-AdditionalInputs'!$C$30/12)+('4-AdditionalInputs'!$Q$31/'4-AdditionalInputs'!$C$31/12)+('4-AdditionalInputs'!$Q$32/'4-AdditionalInputs'!$C$32/12)+('4-AdditionalInputs'!$Q$33/'4-AdditionalInputs'!$C$33/12)+('4-AdditionalInputs'!$Q$34/'4-AdditionalInputs'!$C$34/12)</f>
        <v>0</v>
      </c>
      <c r="N122" s="57">
        <f>('4-AdditionalInputs'!$Q$29/'4-AdditionalInputs'!$C$29/12)+('4-AdditionalInputs'!$Q$30/'4-AdditionalInputs'!$C$30/12)+('4-AdditionalInputs'!$Q$31/'4-AdditionalInputs'!$C$31/12)+('4-AdditionalInputs'!$Q$32/'4-AdditionalInputs'!$C$32/12)+('4-AdditionalInputs'!$Q$33/'4-AdditionalInputs'!$C$33/12)+('4-AdditionalInputs'!$Q$34/'4-AdditionalInputs'!$C$34/12)</f>
        <v>0</v>
      </c>
      <c r="O122" s="57"/>
      <c r="P122" s="22"/>
      <c r="Q122" s="22"/>
    </row>
    <row r="123" spans="2:17" x14ac:dyDescent="0.35">
      <c r="B123" s="60" t="s">
        <v>249</v>
      </c>
      <c r="C123" s="58">
        <f>SUM(C121:C122)</f>
        <v>0</v>
      </c>
      <c r="D123" s="58">
        <f t="shared" ref="D123:N123" si="19">SUM(D121:D122)</f>
        <v>0</v>
      </c>
      <c r="E123" s="58">
        <f t="shared" si="19"/>
        <v>0</v>
      </c>
      <c r="F123" s="58">
        <f t="shared" si="19"/>
        <v>0</v>
      </c>
      <c r="G123" s="58">
        <f t="shared" si="19"/>
        <v>0</v>
      </c>
      <c r="H123" s="58">
        <f t="shared" si="19"/>
        <v>0</v>
      </c>
      <c r="I123" s="58">
        <f t="shared" si="19"/>
        <v>0</v>
      </c>
      <c r="J123" s="58">
        <f t="shared" si="19"/>
        <v>0</v>
      </c>
      <c r="K123" s="58">
        <f t="shared" si="19"/>
        <v>0</v>
      </c>
      <c r="L123" s="58">
        <f t="shared" si="19"/>
        <v>0</v>
      </c>
      <c r="M123" s="58">
        <f t="shared" si="19"/>
        <v>0</v>
      </c>
      <c r="N123" s="58">
        <f t="shared" si="19"/>
        <v>0</v>
      </c>
      <c r="O123" s="382">
        <f t="shared" si="17"/>
        <v>0</v>
      </c>
      <c r="P123" s="22"/>
      <c r="Q123" s="22"/>
    </row>
    <row r="124" spans="2:17" x14ac:dyDescent="0.35">
      <c r="B124" s="47" t="s">
        <v>171</v>
      </c>
      <c r="C124" s="56"/>
      <c r="D124" s="56"/>
      <c r="E124" s="56"/>
      <c r="F124" s="56"/>
      <c r="G124" s="56"/>
      <c r="H124" s="56"/>
      <c r="I124" s="56"/>
      <c r="J124" s="56"/>
      <c r="K124" s="56"/>
      <c r="L124" s="56"/>
      <c r="M124" s="56"/>
      <c r="N124" s="56"/>
      <c r="O124" s="57"/>
      <c r="P124" s="22"/>
      <c r="Q124" s="22"/>
    </row>
    <row r="125" spans="2:17" x14ac:dyDescent="0.35">
      <c r="B125" s="60" t="s">
        <v>247</v>
      </c>
      <c r="C125" s="57">
        <f>N123</f>
        <v>0</v>
      </c>
      <c r="D125" s="57">
        <f>C127</f>
        <v>0</v>
      </c>
      <c r="E125" s="57">
        <f t="shared" ref="E125:N125" si="20">D127</f>
        <v>0</v>
      </c>
      <c r="F125" s="57">
        <f t="shared" si="20"/>
        <v>0</v>
      </c>
      <c r="G125" s="57">
        <f t="shared" si="20"/>
        <v>0</v>
      </c>
      <c r="H125" s="57">
        <f t="shared" si="20"/>
        <v>0</v>
      </c>
      <c r="I125" s="57">
        <f t="shared" si="20"/>
        <v>0</v>
      </c>
      <c r="J125" s="57">
        <f t="shared" si="20"/>
        <v>0</v>
      </c>
      <c r="K125" s="57">
        <f t="shared" si="20"/>
        <v>0</v>
      </c>
      <c r="L125" s="57">
        <f t="shared" si="20"/>
        <v>0</v>
      </c>
      <c r="M125" s="57">
        <f t="shared" si="20"/>
        <v>0</v>
      </c>
      <c r="N125" s="57">
        <f t="shared" si="20"/>
        <v>0</v>
      </c>
      <c r="O125" s="382">
        <f t="shared" si="17"/>
        <v>0</v>
      </c>
      <c r="P125" s="22"/>
      <c r="Q125" s="22"/>
    </row>
    <row r="126" spans="2:17" x14ac:dyDescent="0.35">
      <c r="B126" s="60" t="s">
        <v>248</v>
      </c>
      <c r="C126" s="57">
        <f>('4-AdditionalInputs'!$R$29/'4-AdditionalInputs'!$C$29/12)+('4-AdditionalInputs'!$R$30/'4-AdditionalInputs'!$C$30/12)+('4-AdditionalInputs'!$R$31/'4-AdditionalInputs'!$C$31/12)+('4-AdditionalInputs'!$R$32/'4-AdditionalInputs'!$C$32/12)+('4-AdditionalInputs'!$R$33/'4-AdditionalInputs'!$C$33/12)+('4-AdditionalInputs'!$R$34/'4-AdditionalInputs'!$C$34/12)</f>
        <v>0</v>
      </c>
      <c r="D126" s="57">
        <f>('4-AdditionalInputs'!$R$29/'4-AdditionalInputs'!$C$29/12)+('4-AdditionalInputs'!$R$30/'4-AdditionalInputs'!$C$30/12)+('4-AdditionalInputs'!$R$31/'4-AdditionalInputs'!$C$31/12)+('4-AdditionalInputs'!$R$32/'4-AdditionalInputs'!$C$32/12)+('4-AdditionalInputs'!$R$33/'4-AdditionalInputs'!$C$33/12)+('4-AdditionalInputs'!$R$34/'4-AdditionalInputs'!$C$34/12)</f>
        <v>0</v>
      </c>
      <c r="E126" s="57">
        <f>('4-AdditionalInputs'!$R$29/'4-AdditionalInputs'!$C$29/12)+('4-AdditionalInputs'!$R$30/'4-AdditionalInputs'!$C$30/12)+('4-AdditionalInputs'!$R$31/'4-AdditionalInputs'!$C$31/12)+('4-AdditionalInputs'!$R$32/'4-AdditionalInputs'!$C$32/12)+('4-AdditionalInputs'!$R$33/'4-AdditionalInputs'!$C$33/12)+('4-AdditionalInputs'!$R$34/'4-AdditionalInputs'!$C$34/12)</f>
        <v>0</v>
      </c>
      <c r="F126" s="57">
        <f>('4-AdditionalInputs'!$R$29/'4-AdditionalInputs'!$C$29/12)+('4-AdditionalInputs'!$R$30/'4-AdditionalInputs'!$C$30/12)+('4-AdditionalInputs'!$R$31/'4-AdditionalInputs'!$C$31/12)+('4-AdditionalInputs'!$R$32/'4-AdditionalInputs'!$C$32/12)+('4-AdditionalInputs'!$R$33/'4-AdditionalInputs'!$C$33/12)+('4-AdditionalInputs'!$R$34/'4-AdditionalInputs'!$C$34/12)</f>
        <v>0</v>
      </c>
      <c r="G126" s="57">
        <f>('4-AdditionalInputs'!$R$29/'4-AdditionalInputs'!$C$29/12)+('4-AdditionalInputs'!$R$30/'4-AdditionalInputs'!$C$30/12)+('4-AdditionalInputs'!$R$31/'4-AdditionalInputs'!$C$31/12)+('4-AdditionalInputs'!$R$32/'4-AdditionalInputs'!$C$32/12)+('4-AdditionalInputs'!$R$33/'4-AdditionalInputs'!$C$33/12)+('4-AdditionalInputs'!$R$34/'4-AdditionalInputs'!$C$34/12)</f>
        <v>0</v>
      </c>
      <c r="H126" s="57">
        <f>('4-AdditionalInputs'!$R$29/'4-AdditionalInputs'!$C$29/12)+('4-AdditionalInputs'!$R$30/'4-AdditionalInputs'!$C$30/12)+('4-AdditionalInputs'!$R$31/'4-AdditionalInputs'!$C$31/12)+('4-AdditionalInputs'!$R$32/'4-AdditionalInputs'!$C$32/12)+('4-AdditionalInputs'!$R$33/'4-AdditionalInputs'!$C$33/12)+('4-AdditionalInputs'!$R$34/'4-AdditionalInputs'!$C$34/12)</f>
        <v>0</v>
      </c>
      <c r="I126" s="57">
        <f>('4-AdditionalInputs'!$R$29/'4-AdditionalInputs'!$C$29/12)+('4-AdditionalInputs'!$R$30/'4-AdditionalInputs'!$C$30/12)+('4-AdditionalInputs'!$R$31/'4-AdditionalInputs'!$C$31/12)+('4-AdditionalInputs'!$R$32/'4-AdditionalInputs'!$C$32/12)+('4-AdditionalInputs'!$R$33/'4-AdditionalInputs'!$C$33/12)+('4-AdditionalInputs'!$R$34/'4-AdditionalInputs'!$C$34/12)</f>
        <v>0</v>
      </c>
      <c r="J126" s="57">
        <f>('4-AdditionalInputs'!$R$29/'4-AdditionalInputs'!$C$29/12)+('4-AdditionalInputs'!$R$30/'4-AdditionalInputs'!$C$30/12)+('4-AdditionalInputs'!$R$31/'4-AdditionalInputs'!$C$31/12)+('4-AdditionalInputs'!$R$32/'4-AdditionalInputs'!$C$32/12)+('4-AdditionalInputs'!$R$33/'4-AdditionalInputs'!$C$33/12)+('4-AdditionalInputs'!$R$34/'4-AdditionalInputs'!$C$34/12)</f>
        <v>0</v>
      </c>
      <c r="K126" s="57">
        <f>('4-AdditionalInputs'!$R$29/'4-AdditionalInputs'!$C$29/12)+('4-AdditionalInputs'!$R$30/'4-AdditionalInputs'!$C$30/12)+('4-AdditionalInputs'!$R$31/'4-AdditionalInputs'!$C$31/12)+('4-AdditionalInputs'!$R$32/'4-AdditionalInputs'!$C$32/12)+('4-AdditionalInputs'!$R$33/'4-AdditionalInputs'!$C$33/12)+('4-AdditionalInputs'!$R$34/'4-AdditionalInputs'!$C$34/12)</f>
        <v>0</v>
      </c>
      <c r="L126" s="57">
        <f>('4-AdditionalInputs'!$R$29/'4-AdditionalInputs'!$C$29/12)+('4-AdditionalInputs'!$R$30/'4-AdditionalInputs'!$C$30/12)+('4-AdditionalInputs'!$R$31/'4-AdditionalInputs'!$C$31/12)+('4-AdditionalInputs'!$R$32/'4-AdditionalInputs'!$C$32/12)+('4-AdditionalInputs'!$R$33/'4-AdditionalInputs'!$C$33/12)+('4-AdditionalInputs'!$R$34/'4-AdditionalInputs'!$C$34/12)</f>
        <v>0</v>
      </c>
      <c r="M126" s="57">
        <f>('4-AdditionalInputs'!$R$29/'4-AdditionalInputs'!$C$29/12)+('4-AdditionalInputs'!$R$30/'4-AdditionalInputs'!$C$30/12)+('4-AdditionalInputs'!$R$31/'4-AdditionalInputs'!$C$31/12)+('4-AdditionalInputs'!$R$32/'4-AdditionalInputs'!$C$32/12)+('4-AdditionalInputs'!$R$33/'4-AdditionalInputs'!$C$33/12)+('4-AdditionalInputs'!$R$34/'4-AdditionalInputs'!$C$34/12)</f>
        <v>0</v>
      </c>
      <c r="N126" s="57">
        <f>('4-AdditionalInputs'!$R$29/'4-AdditionalInputs'!$C$29/12)+('4-AdditionalInputs'!$R$30/'4-AdditionalInputs'!$C$30/12)+('4-AdditionalInputs'!$R$31/'4-AdditionalInputs'!$C$31/12)+('4-AdditionalInputs'!$R$32/'4-AdditionalInputs'!$C$32/12)+('4-AdditionalInputs'!$R$33/'4-AdditionalInputs'!$C$33/12)+('4-AdditionalInputs'!$R$34/'4-AdditionalInputs'!$C$34/12)</f>
        <v>0</v>
      </c>
      <c r="O126" s="57"/>
      <c r="P126" s="22"/>
      <c r="Q126" s="22"/>
    </row>
    <row r="127" spans="2:17" x14ac:dyDescent="0.35">
      <c r="B127" s="60" t="s">
        <v>338</v>
      </c>
      <c r="C127" s="58">
        <f>SUM(C125:C126)</f>
        <v>0</v>
      </c>
      <c r="D127" s="58">
        <f t="shared" ref="D127:N127" si="21">SUM(D125:D126)</f>
        <v>0</v>
      </c>
      <c r="E127" s="58">
        <f t="shared" si="21"/>
        <v>0</v>
      </c>
      <c r="F127" s="58">
        <f t="shared" si="21"/>
        <v>0</v>
      </c>
      <c r="G127" s="58">
        <f t="shared" si="21"/>
        <v>0</v>
      </c>
      <c r="H127" s="58">
        <f t="shared" si="21"/>
        <v>0</v>
      </c>
      <c r="I127" s="58">
        <f t="shared" si="21"/>
        <v>0</v>
      </c>
      <c r="J127" s="58">
        <f t="shared" si="21"/>
        <v>0</v>
      </c>
      <c r="K127" s="58">
        <f t="shared" si="21"/>
        <v>0</v>
      </c>
      <c r="L127" s="58">
        <f t="shared" si="21"/>
        <v>0</v>
      </c>
      <c r="M127" s="58">
        <f t="shared" si="21"/>
        <v>0</v>
      </c>
      <c r="N127" s="58">
        <f t="shared" si="21"/>
        <v>0</v>
      </c>
      <c r="O127" s="382">
        <f t="shared" si="17"/>
        <v>0</v>
      </c>
      <c r="P127" s="22"/>
      <c r="Q127" s="22"/>
    </row>
    <row r="128" spans="2:17" x14ac:dyDescent="0.35">
      <c r="B128" s="22"/>
      <c r="C128" s="22"/>
      <c r="D128" s="22"/>
      <c r="E128" s="22"/>
      <c r="F128" s="22"/>
      <c r="G128" s="22"/>
      <c r="H128" s="22"/>
      <c r="I128" s="22"/>
      <c r="J128" s="22"/>
      <c r="K128" s="22"/>
      <c r="L128" s="22"/>
      <c r="M128" s="22"/>
      <c r="N128" s="22"/>
      <c r="O128" s="22"/>
      <c r="P128" s="22"/>
      <c r="Q128" s="22"/>
    </row>
    <row r="129" spans="2:17" x14ac:dyDescent="0.35">
      <c r="B129" s="22"/>
      <c r="C129" s="22"/>
      <c r="D129" s="22"/>
      <c r="E129" s="22"/>
      <c r="F129" s="22"/>
      <c r="G129" s="22"/>
      <c r="H129" s="22"/>
      <c r="I129" s="22"/>
      <c r="J129" s="22"/>
      <c r="K129" s="22"/>
      <c r="L129" s="22"/>
      <c r="M129" s="22"/>
      <c r="N129" s="22"/>
      <c r="O129" s="22"/>
      <c r="P129" s="22"/>
      <c r="Q129" s="22"/>
    </row>
    <row r="130" spans="2:17" x14ac:dyDescent="0.35">
      <c r="B130" s="22"/>
      <c r="C130" s="22"/>
      <c r="D130" s="22"/>
      <c r="E130" s="22"/>
      <c r="F130" s="22"/>
      <c r="G130" s="22"/>
      <c r="H130" s="22"/>
      <c r="I130" s="22"/>
      <c r="J130" s="22"/>
      <c r="K130" s="22"/>
      <c r="L130" s="22"/>
      <c r="M130" s="22"/>
      <c r="N130" s="22"/>
      <c r="O130" s="22"/>
      <c r="P130" s="22"/>
      <c r="Q130" s="22"/>
    </row>
    <row r="131" spans="2:17" ht="14.4" thickBot="1" x14ac:dyDescent="0.4">
      <c r="B131" s="413" t="s">
        <v>262</v>
      </c>
      <c r="C131" s="413"/>
      <c r="D131" s="413" t="s">
        <v>228</v>
      </c>
      <c r="E131" s="22"/>
      <c r="F131" s="22"/>
      <c r="G131" s="22"/>
      <c r="H131" s="22"/>
      <c r="I131" s="22"/>
      <c r="J131" s="22"/>
      <c r="K131" s="22"/>
      <c r="L131" s="22"/>
      <c r="M131" s="22"/>
      <c r="N131" s="22"/>
      <c r="O131" s="22"/>
      <c r="P131" s="22"/>
      <c r="Q131" s="22"/>
    </row>
    <row r="132" spans="2:17" ht="14.4" thickTop="1" x14ac:dyDescent="0.35">
      <c r="B132" s="390" t="s">
        <v>266</v>
      </c>
      <c r="C132" s="391">
        <f>TotalOperatingCapital-Working_Capital-Inventory-OtherStartUp</f>
        <v>0</v>
      </c>
      <c r="D132" s="390"/>
      <c r="E132" s="22"/>
      <c r="F132" s="22"/>
      <c r="G132" s="22"/>
      <c r="H132" s="22"/>
      <c r="I132" s="22"/>
      <c r="J132" s="22"/>
      <c r="K132" s="22"/>
      <c r="L132" s="22"/>
      <c r="M132" s="22"/>
      <c r="N132" s="22"/>
      <c r="O132" s="22"/>
      <c r="P132" s="22"/>
      <c r="Q132" s="22"/>
    </row>
    <row r="133" spans="2:17" x14ac:dyDescent="0.35">
      <c r="B133" s="9" t="s">
        <v>291</v>
      </c>
      <c r="C133" s="82">
        <f>IF('4-AdditionalInputs'!C44=0,0,'Amortization&amp;Depreciation'!C132/'4-AdditionalInputs'!C44)</f>
        <v>0</v>
      </c>
      <c r="D133" s="299">
        <f>+C133/12</f>
        <v>0</v>
      </c>
      <c r="E133" s="22"/>
      <c r="F133" s="22"/>
      <c r="G133" s="22"/>
      <c r="H133" s="22"/>
      <c r="I133" s="22"/>
      <c r="J133" s="22"/>
      <c r="K133" s="22"/>
      <c r="L133" s="22"/>
      <c r="M133" s="22"/>
      <c r="N133" s="22"/>
      <c r="O133" s="22"/>
      <c r="P133" s="22"/>
      <c r="Q133" s="22"/>
    </row>
    <row r="134" spans="2:17" x14ac:dyDescent="0.35">
      <c r="B134" s="9" t="s">
        <v>290</v>
      </c>
      <c r="C134" s="82">
        <f>+OtherStartUp</f>
        <v>0</v>
      </c>
      <c r="D134" s="9"/>
      <c r="E134" s="22"/>
      <c r="F134" s="22"/>
      <c r="G134" s="22"/>
      <c r="H134" s="22"/>
      <c r="I134" s="22"/>
      <c r="J134" s="22"/>
      <c r="K134" s="22"/>
      <c r="L134" s="22"/>
      <c r="M134" s="22"/>
      <c r="N134" s="22"/>
      <c r="O134" s="22"/>
      <c r="P134" s="22"/>
      <c r="Q134" s="22"/>
    </row>
    <row r="135" spans="2:17" x14ac:dyDescent="0.35">
      <c r="B135" s="9" t="s">
        <v>291</v>
      </c>
      <c r="C135" s="82">
        <f>IF('4-AdditionalInputs'!C44=0,0,C134/'4-AdditionalInputs'!C44)</f>
        <v>0</v>
      </c>
      <c r="D135" s="299">
        <f>+C135/12</f>
        <v>0</v>
      </c>
      <c r="E135" s="22"/>
      <c r="F135" s="22"/>
      <c r="G135" s="22"/>
      <c r="H135" s="22"/>
      <c r="I135" s="22"/>
      <c r="J135" s="22"/>
      <c r="K135" s="22"/>
      <c r="L135" s="22"/>
      <c r="M135" s="22"/>
      <c r="N135" s="22"/>
      <c r="O135" s="22"/>
      <c r="P135" s="22"/>
      <c r="Q135" s="22"/>
    </row>
    <row r="136" spans="2:17" x14ac:dyDescent="0.35">
      <c r="B136" s="47" t="s">
        <v>266</v>
      </c>
      <c r="C136" s="59" t="str">
        <f>'3a-SalesForecastYear1'!$C$16</f>
        <v>June</v>
      </c>
      <c r="D136" s="59" t="str">
        <f>'3a-SalesForecastYear1'!$D$16</f>
        <v>July</v>
      </c>
      <c r="E136" s="59" t="str">
        <f>'3a-SalesForecastYear1'!$E$16</f>
        <v>August</v>
      </c>
      <c r="F136" s="59" t="str">
        <f>'3a-SalesForecastYear1'!$F$16</f>
        <v>September</v>
      </c>
      <c r="G136" s="59" t="str">
        <f>'3a-SalesForecastYear1'!$G$16</f>
        <v>October</v>
      </c>
      <c r="H136" s="59" t="str">
        <f>'3a-SalesForecastYear1'!$H$16</f>
        <v>November</v>
      </c>
      <c r="I136" s="59" t="str">
        <f>'3a-SalesForecastYear1'!$I$16</f>
        <v>December</v>
      </c>
      <c r="J136" s="59" t="str">
        <f>'3a-SalesForecastYear1'!$J$16</f>
        <v>January</v>
      </c>
      <c r="K136" s="59" t="str">
        <f>'3a-SalesForecastYear1'!$K$16</f>
        <v>February</v>
      </c>
      <c r="L136" s="59" t="str">
        <f>'3a-SalesForecastYear1'!$L$16</f>
        <v>March</v>
      </c>
      <c r="M136" s="59" t="str">
        <f>'3a-SalesForecastYear1'!$M$16</f>
        <v>April</v>
      </c>
      <c r="N136" s="59" t="str">
        <f>'3a-SalesForecastYear1'!$N$16</f>
        <v>May</v>
      </c>
      <c r="O136" s="59" t="s">
        <v>8</v>
      </c>
      <c r="P136" s="22"/>
      <c r="Q136" s="22"/>
    </row>
    <row r="137" spans="2:17" x14ac:dyDescent="0.35">
      <c r="B137" s="47" t="s">
        <v>167</v>
      </c>
      <c r="C137" s="56"/>
      <c r="D137" s="56"/>
      <c r="E137" s="56"/>
      <c r="F137" s="56"/>
      <c r="G137" s="56"/>
      <c r="H137" s="56"/>
      <c r="I137" s="56"/>
      <c r="J137" s="56"/>
      <c r="K137" s="56"/>
      <c r="L137" s="56"/>
      <c r="M137" s="56"/>
      <c r="N137" s="56"/>
      <c r="O137" s="56"/>
      <c r="P137" s="22"/>
      <c r="Q137" s="22"/>
    </row>
    <row r="138" spans="2:17" x14ac:dyDescent="0.35">
      <c r="B138" s="60" t="s">
        <v>292</v>
      </c>
      <c r="C138" s="57">
        <f>+D133</f>
        <v>0</v>
      </c>
      <c r="D138" s="57">
        <f>IF(C139&lt;$C$132,$D$133,0)</f>
        <v>0</v>
      </c>
      <c r="E138" s="57">
        <f t="shared" ref="E138:N138" si="22">IF(D139&lt;$C$132,$D$133,0)</f>
        <v>0</v>
      </c>
      <c r="F138" s="57">
        <f t="shared" si="22"/>
        <v>0</v>
      </c>
      <c r="G138" s="57">
        <f t="shared" si="22"/>
        <v>0</v>
      </c>
      <c r="H138" s="57">
        <f t="shared" si="22"/>
        <v>0</v>
      </c>
      <c r="I138" s="57">
        <f t="shared" si="22"/>
        <v>0</v>
      </c>
      <c r="J138" s="57">
        <f t="shared" si="22"/>
        <v>0</v>
      </c>
      <c r="K138" s="57">
        <f t="shared" si="22"/>
        <v>0</v>
      </c>
      <c r="L138" s="57">
        <f t="shared" si="22"/>
        <v>0</v>
      </c>
      <c r="M138" s="57">
        <f t="shared" si="22"/>
        <v>0</v>
      </c>
      <c r="N138" s="57">
        <f t="shared" si="22"/>
        <v>0</v>
      </c>
      <c r="O138" s="382">
        <f>SUM(C138:N138)</f>
        <v>0</v>
      </c>
      <c r="P138" s="22"/>
      <c r="Q138" s="22"/>
    </row>
    <row r="139" spans="2:17" x14ac:dyDescent="0.35">
      <c r="B139" s="60" t="s">
        <v>339</v>
      </c>
      <c r="C139" s="58">
        <f>+C138</f>
        <v>0</v>
      </c>
      <c r="D139" s="58">
        <f>+D138+C139</f>
        <v>0</v>
      </c>
      <c r="E139" s="58">
        <f t="shared" ref="E139:N139" si="23">+E138+D139</f>
        <v>0</v>
      </c>
      <c r="F139" s="58">
        <f t="shared" si="23"/>
        <v>0</v>
      </c>
      <c r="G139" s="58">
        <f t="shared" si="23"/>
        <v>0</v>
      </c>
      <c r="H139" s="58">
        <f t="shared" si="23"/>
        <v>0</v>
      </c>
      <c r="I139" s="58">
        <f t="shared" si="23"/>
        <v>0</v>
      </c>
      <c r="J139" s="58">
        <f t="shared" si="23"/>
        <v>0</v>
      </c>
      <c r="K139" s="58">
        <f t="shared" si="23"/>
        <v>0</v>
      </c>
      <c r="L139" s="58">
        <f t="shared" si="23"/>
        <v>0</v>
      </c>
      <c r="M139" s="58">
        <f t="shared" si="23"/>
        <v>0</v>
      </c>
      <c r="N139" s="58">
        <f t="shared" si="23"/>
        <v>0</v>
      </c>
      <c r="O139" s="57"/>
      <c r="P139" s="22"/>
      <c r="Q139" s="22"/>
    </row>
    <row r="140" spans="2:17" x14ac:dyDescent="0.35">
      <c r="B140" s="47" t="s">
        <v>170</v>
      </c>
      <c r="C140" s="56"/>
      <c r="D140" s="56"/>
      <c r="E140" s="56"/>
      <c r="F140" s="56"/>
      <c r="G140" s="56"/>
      <c r="H140" s="56"/>
      <c r="I140" s="56"/>
      <c r="J140" s="56"/>
      <c r="K140" s="56"/>
      <c r="L140" s="56"/>
      <c r="M140" s="56"/>
      <c r="N140" s="56"/>
      <c r="O140" s="57"/>
      <c r="P140" s="22"/>
      <c r="Q140" s="22"/>
    </row>
    <row r="141" spans="2:17" x14ac:dyDescent="0.35">
      <c r="B141" s="60" t="s">
        <v>292</v>
      </c>
      <c r="C141" s="57">
        <f>IF(N139&lt;$C$132,$D$133,0)</f>
        <v>0</v>
      </c>
      <c r="D141" s="57">
        <f t="shared" ref="D141:N141" si="24">IF(C142&lt;$C$132,$D$133,0)</f>
        <v>0</v>
      </c>
      <c r="E141" s="57">
        <f t="shared" si="24"/>
        <v>0</v>
      </c>
      <c r="F141" s="57">
        <f t="shared" si="24"/>
        <v>0</v>
      </c>
      <c r="G141" s="57">
        <f t="shared" si="24"/>
        <v>0</v>
      </c>
      <c r="H141" s="57">
        <f t="shared" si="24"/>
        <v>0</v>
      </c>
      <c r="I141" s="57">
        <f t="shared" si="24"/>
        <v>0</v>
      </c>
      <c r="J141" s="57">
        <f t="shared" si="24"/>
        <v>0</v>
      </c>
      <c r="K141" s="57">
        <f t="shared" si="24"/>
        <v>0</v>
      </c>
      <c r="L141" s="57">
        <f t="shared" si="24"/>
        <v>0</v>
      </c>
      <c r="M141" s="57">
        <f t="shared" si="24"/>
        <v>0</v>
      </c>
      <c r="N141" s="57">
        <f t="shared" si="24"/>
        <v>0</v>
      </c>
      <c r="O141" s="382">
        <f t="shared" ref="O141" si="25">SUM(C141:N141)</f>
        <v>0</v>
      </c>
      <c r="P141" s="22"/>
      <c r="Q141" s="22"/>
    </row>
    <row r="142" spans="2:17" x14ac:dyDescent="0.35">
      <c r="B142" s="60" t="s">
        <v>339</v>
      </c>
      <c r="C142" s="58">
        <f>+C141+N139</f>
        <v>0</v>
      </c>
      <c r="D142" s="58">
        <f t="shared" ref="D142:N142" si="26">+D141+C142</f>
        <v>0</v>
      </c>
      <c r="E142" s="58">
        <f t="shared" si="26"/>
        <v>0</v>
      </c>
      <c r="F142" s="58">
        <f t="shared" si="26"/>
        <v>0</v>
      </c>
      <c r="G142" s="58">
        <f t="shared" si="26"/>
        <v>0</v>
      </c>
      <c r="H142" s="58">
        <f t="shared" si="26"/>
        <v>0</v>
      </c>
      <c r="I142" s="58">
        <f t="shared" si="26"/>
        <v>0</v>
      </c>
      <c r="J142" s="58">
        <f t="shared" si="26"/>
        <v>0</v>
      </c>
      <c r="K142" s="58">
        <f t="shared" si="26"/>
        <v>0</v>
      </c>
      <c r="L142" s="58">
        <f t="shared" si="26"/>
        <v>0</v>
      </c>
      <c r="M142" s="58">
        <f t="shared" si="26"/>
        <v>0</v>
      </c>
      <c r="N142" s="58">
        <f t="shared" si="26"/>
        <v>0</v>
      </c>
      <c r="O142" s="57"/>
      <c r="P142" s="22"/>
      <c r="Q142" s="22"/>
    </row>
    <row r="143" spans="2:17" x14ac:dyDescent="0.35">
      <c r="B143" s="47" t="s">
        <v>171</v>
      </c>
      <c r="C143" s="56"/>
      <c r="D143" s="56"/>
      <c r="E143" s="56"/>
      <c r="F143" s="56"/>
      <c r="G143" s="56"/>
      <c r="H143" s="56"/>
      <c r="I143" s="56"/>
      <c r="J143" s="56"/>
      <c r="K143" s="56"/>
      <c r="L143" s="56"/>
      <c r="M143" s="56"/>
      <c r="N143" s="56"/>
      <c r="O143" s="57"/>
      <c r="P143" s="22"/>
      <c r="Q143" s="22"/>
    </row>
    <row r="144" spans="2:17" x14ac:dyDescent="0.35">
      <c r="B144" s="60" t="s">
        <v>292</v>
      </c>
      <c r="C144" s="57">
        <f>IF(N142&lt;$C$132,$D$133,0)</f>
        <v>0</v>
      </c>
      <c r="D144" s="57">
        <f t="shared" ref="D144:N144" si="27">IF(C145&lt;$C$132,$D$133,0)</f>
        <v>0</v>
      </c>
      <c r="E144" s="57">
        <f t="shared" si="27"/>
        <v>0</v>
      </c>
      <c r="F144" s="57">
        <f t="shared" si="27"/>
        <v>0</v>
      </c>
      <c r="G144" s="57">
        <f t="shared" si="27"/>
        <v>0</v>
      </c>
      <c r="H144" s="57">
        <f t="shared" si="27"/>
        <v>0</v>
      </c>
      <c r="I144" s="57">
        <f t="shared" si="27"/>
        <v>0</v>
      </c>
      <c r="J144" s="57">
        <f t="shared" si="27"/>
        <v>0</v>
      </c>
      <c r="K144" s="57">
        <f t="shared" si="27"/>
        <v>0</v>
      </c>
      <c r="L144" s="57">
        <f t="shared" si="27"/>
        <v>0</v>
      </c>
      <c r="M144" s="57">
        <f t="shared" si="27"/>
        <v>0</v>
      </c>
      <c r="N144" s="57">
        <f t="shared" si="27"/>
        <v>0</v>
      </c>
      <c r="O144" s="382">
        <f t="shared" ref="O144" si="28">SUM(C144:N144)</f>
        <v>0</v>
      </c>
      <c r="P144" s="22"/>
      <c r="Q144" s="22"/>
    </row>
    <row r="145" spans="2:17" x14ac:dyDescent="0.35">
      <c r="B145" s="60" t="s">
        <v>339</v>
      </c>
      <c r="C145" s="58">
        <f>+C144+N142</f>
        <v>0</v>
      </c>
      <c r="D145" s="58">
        <f t="shared" ref="D145" si="29">+D144+C145</f>
        <v>0</v>
      </c>
      <c r="E145" s="58">
        <f t="shared" ref="E145" si="30">+E144+D145</f>
        <v>0</v>
      </c>
      <c r="F145" s="58">
        <f t="shared" ref="F145" si="31">+F144+E145</f>
        <v>0</v>
      </c>
      <c r="G145" s="58">
        <f t="shared" ref="G145" si="32">+G144+F145</f>
        <v>0</v>
      </c>
      <c r="H145" s="58">
        <f t="shared" ref="H145" si="33">+H144+G145</f>
        <v>0</v>
      </c>
      <c r="I145" s="58">
        <f t="shared" ref="I145" si="34">+I144+H145</f>
        <v>0</v>
      </c>
      <c r="J145" s="58">
        <f t="shared" ref="J145" si="35">+J144+I145</f>
        <v>0</v>
      </c>
      <c r="K145" s="58">
        <f t="shared" ref="K145" si="36">+K144+J145</f>
        <v>0</v>
      </c>
      <c r="L145" s="58">
        <f t="shared" ref="L145" si="37">+L144+K145</f>
        <v>0</v>
      </c>
      <c r="M145" s="58">
        <f t="shared" ref="M145" si="38">+M144+L145</f>
        <v>0</v>
      </c>
      <c r="N145" s="58">
        <f t="shared" ref="N145" si="39">+N144+M145</f>
        <v>0</v>
      </c>
      <c r="O145" s="57"/>
      <c r="P145" s="22"/>
      <c r="Q145" s="22"/>
    </row>
    <row r="146" spans="2:17" x14ac:dyDescent="0.35">
      <c r="B146" s="22"/>
      <c r="C146" s="22"/>
      <c r="D146" s="22"/>
      <c r="E146" s="22"/>
      <c r="F146" s="22"/>
      <c r="G146" s="22"/>
      <c r="H146" s="22"/>
      <c r="I146" s="22"/>
      <c r="J146" s="22"/>
      <c r="K146" s="22"/>
      <c r="L146" s="22"/>
      <c r="M146" s="22"/>
      <c r="N146" s="22"/>
      <c r="O146" s="22"/>
      <c r="P146" s="22"/>
      <c r="Q146" s="22"/>
    </row>
    <row r="147" spans="2:17" ht="14.4" thickBot="1" x14ac:dyDescent="0.4">
      <c r="B147" s="413" t="s">
        <v>290</v>
      </c>
      <c r="C147" s="413" t="str">
        <f>'3a-SalesForecastYear1'!$C$16</f>
        <v>June</v>
      </c>
      <c r="D147" s="413" t="str">
        <f>'3a-SalesForecastYear1'!$D$16</f>
        <v>July</v>
      </c>
      <c r="E147" s="413" t="str">
        <f>'3a-SalesForecastYear1'!$E$16</f>
        <v>August</v>
      </c>
      <c r="F147" s="413" t="str">
        <f>'3a-SalesForecastYear1'!$F$16</f>
        <v>September</v>
      </c>
      <c r="G147" s="413" t="str">
        <f>'3a-SalesForecastYear1'!$G$16</f>
        <v>October</v>
      </c>
      <c r="H147" s="413" t="str">
        <f>'3a-SalesForecastYear1'!$H$16</f>
        <v>November</v>
      </c>
      <c r="I147" s="413" t="str">
        <f>'3a-SalesForecastYear1'!$I$16</f>
        <v>December</v>
      </c>
      <c r="J147" s="413" t="str">
        <f>'3a-SalesForecastYear1'!$J$16</f>
        <v>January</v>
      </c>
      <c r="K147" s="413" t="str">
        <f>'3a-SalesForecastYear1'!$K$16</f>
        <v>February</v>
      </c>
      <c r="L147" s="413" t="str">
        <f>'3a-SalesForecastYear1'!$L$16</f>
        <v>March</v>
      </c>
      <c r="M147" s="413" t="str">
        <f>'3a-SalesForecastYear1'!$M$16</f>
        <v>April</v>
      </c>
      <c r="N147" s="413" t="str">
        <f>'3a-SalesForecastYear1'!$N$16</f>
        <v>May</v>
      </c>
      <c r="O147" s="413" t="s">
        <v>8</v>
      </c>
      <c r="P147" s="22"/>
      <c r="Q147" s="22"/>
    </row>
    <row r="148" spans="2:17" ht="14.4" thickTop="1" x14ac:dyDescent="0.35">
      <c r="B148" s="179" t="s">
        <v>167</v>
      </c>
      <c r="C148" s="412"/>
      <c r="D148" s="412"/>
      <c r="E148" s="412"/>
      <c r="F148" s="412"/>
      <c r="G148" s="412"/>
      <c r="H148" s="412"/>
      <c r="I148" s="412"/>
      <c r="J148" s="412"/>
      <c r="K148" s="412"/>
      <c r="L148" s="412"/>
      <c r="M148" s="412"/>
      <c r="N148" s="412"/>
      <c r="O148" s="412"/>
      <c r="P148" s="22"/>
      <c r="Q148" s="22"/>
    </row>
    <row r="149" spans="2:17" x14ac:dyDescent="0.35">
      <c r="B149" s="60" t="s">
        <v>292</v>
      </c>
      <c r="C149" s="57">
        <f>+D135</f>
        <v>0</v>
      </c>
      <c r="D149" s="57">
        <f>IF(C150&lt;$C$134,$D$135,0)</f>
        <v>0</v>
      </c>
      <c r="E149" s="57">
        <f t="shared" ref="E149:N149" si="40">IF(D150&lt;$C$134,$D$135,0)</f>
        <v>0</v>
      </c>
      <c r="F149" s="57">
        <f t="shared" si="40"/>
        <v>0</v>
      </c>
      <c r="G149" s="57">
        <f t="shared" si="40"/>
        <v>0</v>
      </c>
      <c r="H149" s="57">
        <f t="shared" si="40"/>
        <v>0</v>
      </c>
      <c r="I149" s="57">
        <f t="shared" si="40"/>
        <v>0</v>
      </c>
      <c r="J149" s="57">
        <f t="shared" si="40"/>
        <v>0</v>
      </c>
      <c r="K149" s="57">
        <f t="shared" si="40"/>
        <v>0</v>
      </c>
      <c r="L149" s="57">
        <f t="shared" si="40"/>
        <v>0</v>
      </c>
      <c r="M149" s="57">
        <f t="shared" si="40"/>
        <v>0</v>
      </c>
      <c r="N149" s="57">
        <f t="shared" si="40"/>
        <v>0</v>
      </c>
      <c r="O149" s="382">
        <f>SUM(C149:N149)</f>
        <v>0</v>
      </c>
      <c r="P149" s="22"/>
      <c r="Q149" s="22"/>
    </row>
    <row r="150" spans="2:17" x14ac:dyDescent="0.35">
      <c r="B150" s="60" t="s">
        <v>339</v>
      </c>
      <c r="C150" s="58">
        <f>+C149</f>
        <v>0</v>
      </c>
      <c r="D150" s="58">
        <f>+D149+C150</f>
        <v>0</v>
      </c>
      <c r="E150" s="58">
        <f t="shared" ref="E150:N150" si="41">+E149+D150</f>
        <v>0</v>
      </c>
      <c r="F150" s="58">
        <f t="shared" si="41"/>
        <v>0</v>
      </c>
      <c r="G150" s="58">
        <f t="shared" si="41"/>
        <v>0</v>
      </c>
      <c r="H150" s="58">
        <f t="shared" si="41"/>
        <v>0</v>
      </c>
      <c r="I150" s="58">
        <f t="shared" si="41"/>
        <v>0</v>
      </c>
      <c r="J150" s="58">
        <f t="shared" si="41"/>
        <v>0</v>
      </c>
      <c r="K150" s="58">
        <f t="shared" si="41"/>
        <v>0</v>
      </c>
      <c r="L150" s="58">
        <f t="shared" si="41"/>
        <v>0</v>
      </c>
      <c r="M150" s="58">
        <f t="shared" si="41"/>
        <v>0</v>
      </c>
      <c r="N150" s="58">
        <f t="shared" si="41"/>
        <v>0</v>
      </c>
      <c r="O150" s="57"/>
      <c r="P150" s="22"/>
      <c r="Q150" s="22"/>
    </row>
    <row r="151" spans="2:17" x14ac:dyDescent="0.35">
      <c r="B151" s="47" t="s">
        <v>170</v>
      </c>
      <c r="C151" s="56"/>
      <c r="D151" s="56"/>
      <c r="E151" s="56"/>
      <c r="F151" s="56"/>
      <c r="G151" s="56"/>
      <c r="H151" s="56"/>
      <c r="I151" s="56"/>
      <c r="J151" s="56"/>
      <c r="K151" s="56"/>
      <c r="L151" s="56"/>
      <c r="M151" s="56"/>
      <c r="N151" s="56"/>
      <c r="O151" s="57"/>
      <c r="P151" s="22"/>
      <c r="Q151" s="22"/>
    </row>
    <row r="152" spans="2:17" x14ac:dyDescent="0.35">
      <c r="B152" s="60" t="s">
        <v>247</v>
      </c>
      <c r="C152" s="57">
        <f>IF(N150&lt;$C$134,$D$135,0)</f>
        <v>0</v>
      </c>
      <c r="D152" s="57">
        <f>IF(C153&lt;$C$134,$D$135,0)</f>
        <v>0</v>
      </c>
      <c r="E152" s="57">
        <f t="shared" ref="E152:N152" si="42">IF(D153&lt;$C$134,$D$135,0)</f>
        <v>0</v>
      </c>
      <c r="F152" s="57">
        <f t="shared" si="42"/>
        <v>0</v>
      </c>
      <c r="G152" s="57">
        <f t="shared" si="42"/>
        <v>0</v>
      </c>
      <c r="H152" s="57">
        <f t="shared" si="42"/>
        <v>0</v>
      </c>
      <c r="I152" s="57">
        <f t="shared" si="42"/>
        <v>0</v>
      </c>
      <c r="J152" s="57">
        <f t="shared" si="42"/>
        <v>0</v>
      </c>
      <c r="K152" s="57">
        <f t="shared" si="42"/>
        <v>0</v>
      </c>
      <c r="L152" s="57">
        <f t="shared" si="42"/>
        <v>0</v>
      </c>
      <c r="M152" s="57">
        <f t="shared" si="42"/>
        <v>0</v>
      </c>
      <c r="N152" s="57">
        <f t="shared" si="42"/>
        <v>0</v>
      </c>
      <c r="O152" s="382">
        <f t="shared" ref="O152" si="43">SUM(C152:N152)</f>
        <v>0</v>
      </c>
      <c r="P152" s="22"/>
      <c r="Q152" s="22"/>
    </row>
    <row r="153" spans="2:17" x14ac:dyDescent="0.35">
      <c r="B153" s="60" t="s">
        <v>249</v>
      </c>
      <c r="C153" s="58">
        <f>+C152+N150</f>
        <v>0</v>
      </c>
      <c r="D153" s="58">
        <f>+D152+C153</f>
        <v>0</v>
      </c>
      <c r="E153" s="58">
        <f t="shared" ref="E153" si="44">+E152+D153</f>
        <v>0</v>
      </c>
      <c r="F153" s="58">
        <f t="shared" ref="F153" si="45">+F152+E153</f>
        <v>0</v>
      </c>
      <c r="G153" s="58">
        <f t="shared" ref="G153" si="46">+G152+F153</f>
        <v>0</v>
      </c>
      <c r="H153" s="58">
        <f t="shared" ref="H153" si="47">+H152+G153</f>
        <v>0</v>
      </c>
      <c r="I153" s="58">
        <f t="shared" ref="I153" si="48">+I152+H153</f>
        <v>0</v>
      </c>
      <c r="J153" s="58">
        <f t="shared" ref="J153" si="49">+J152+I153</f>
        <v>0</v>
      </c>
      <c r="K153" s="58">
        <f t="shared" ref="K153" si="50">+K152+J153</f>
        <v>0</v>
      </c>
      <c r="L153" s="58">
        <f t="shared" ref="L153" si="51">+L152+K153</f>
        <v>0</v>
      </c>
      <c r="M153" s="58">
        <f t="shared" ref="M153" si="52">+M152+L153</f>
        <v>0</v>
      </c>
      <c r="N153" s="58">
        <f t="shared" ref="N153" si="53">+N152+M153</f>
        <v>0</v>
      </c>
      <c r="O153" s="57"/>
      <c r="P153" s="22"/>
      <c r="Q153" s="22"/>
    </row>
    <row r="154" spans="2:17" x14ac:dyDescent="0.35">
      <c r="B154" s="47" t="s">
        <v>171</v>
      </c>
      <c r="C154" s="56"/>
      <c r="D154" s="56"/>
      <c r="E154" s="56"/>
      <c r="F154" s="56"/>
      <c r="G154" s="56"/>
      <c r="H154" s="56"/>
      <c r="I154" s="56"/>
      <c r="J154" s="56"/>
      <c r="K154" s="56"/>
      <c r="L154" s="56"/>
      <c r="M154" s="56"/>
      <c r="N154" s="56"/>
      <c r="O154" s="57"/>
      <c r="P154" s="22"/>
      <c r="Q154" s="22"/>
    </row>
    <row r="155" spans="2:17" x14ac:dyDescent="0.35">
      <c r="B155" s="60" t="s">
        <v>247</v>
      </c>
      <c r="C155" s="57">
        <f>IF(N153&lt;$C$134,$D$135,0)</f>
        <v>0</v>
      </c>
      <c r="D155" s="57">
        <f>IF(C156&lt;$C$134,$D$135,0)</f>
        <v>0</v>
      </c>
      <c r="E155" s="57">
        <f t="shared" ref="E155:N155" si="54">IF(D156&lt;$C$134,$D$135,0)</f>
        <v>0</v>
      </c>
      <c r="F155" s="57">
        <f t="shared" si="54"/>
        <v>0</v>
      </c>
      <c r="G155" s="57">
        <f t="shared" si="54"/>
        <v>0</v>
      </c>
      <c r="H155" s="57">
        <f t="shared" si="54"/>
        <v>0</v>
      </c>
      <c r="I155" s="57">
        <f t="shared" si="54"/>
        <v>0</v>
      </c>
      <c r="J155" s="57">
        <f t="shared" si="54"/>
        <v>0</v>
      </c>
      <c r="K155" s="57">
        <f t="shared" si="54"/>
        <v>0</v>
      </c>
      <c r="L155" s="57">
        <f t="shared" si="54"/>
        <v>0</v>
      </c>
      <c r="M155" s="57">
        <f t="shared" si="54"/>
        <v>0</v>
      </c>
      <c r="N155" s="57">
        <f t="shared" si="54"/>
        <v>0</v>
      </c>
      <c r="O155" s="382">
        <f t="shared" ref="O155" si="55">SUM(C155:N155)</f>
        <v>0</v>
      </c>
      <c r="P155" s="22"/>
      <c r="Q155" s="22"/>
    </row>
    <row r="156" spans="2:17" x14ac:dyDescent="0.35">
      <c r="B156" s="60" t="s">
        <v>338</v>
      </c>
      <c r="C156" s="58">
        <f>+C155+N153</f>
        <v>0</v>
      </c>
      <c r="D156" s="58">
        <f>+D155+C156</f>
        <v>0</v>
      </c>
      <c r="E156" s="58">
        <f t="shared" ref="E156" si="56">+E155+D156</f>
        <v>0</v>
      </c>
      <c r="F156" s="58">
        <f t="shared" ref="F156" si="57">+F155+E156</f>
        <v>0</v>
      </c>
      <c r="G156" s="58">
        <f t="shared" ref="G156" si="58">+G155+F156</f>
        <v>0</v>
      </c>
      <c r="H156" s="58">
        <f t="shared" ref="H156" si="59">+H155+G156</f>
        <v>0</v>
      </c>
      <c r="I156" s="58">
        <f t="shared" ref="I156" si="60">+I155+H156</f>
        <v>0</v>
      </c>
      <c r="J156" s="58">
        <f t="shared" ref="J156" si="61">+J155+I156</f>
        <v>0</v>
      </c>
      <c r="K156" s="58">
        <f t="shared" ref="K156" si="62">+K155+J156</f>
        <v>0</v>
      </c>
      <c r="L156" s="58">
        <f t="shared" ref="L156" si="63">+L155+K156</f>
        <v>0</v>
      </c>
      <c r="M156" s="58">
        <f t="shared" ref="M156" si="64">+M155+L156</f>
        <v>0</v>
      </c>
      <c r="N156" s="58">
        <f t="shared" ref="N156" si="65">+N155+M156</f>
        <v>0</v>
      </c>
      <c r="O156" s="57"/>
      <c r="P156" s="22"/>
      <c r="Q156" s="22"/>
    </row>
    <row r="157" spans="2:17" x14ac:dyDescent="0.35">
      <c r="B157" s="22"/>
      <c r="C157" s="22"/>
      <c r="D157" s="22"/>
      <c r="E157" s="22"/>
      <c r="F157" s="22"/>
      <c r="G157" s="22"/>
      <c r="H157" s="22"/>
      <c r="I157" s="22"/>
      <c r="J157" s="22"/>
      <c r="K157" s="22"/>
      <c r="L157" s="22"/>
      <c r="M157" s="22"/>
      <c r="N157" s="22"/>
      <c r="O157" s="22"/>
      <c r="P157" s="22"/>
      <c r="Q157" s="22"/>
    </row>
    <row r="158" spans="2:17" x14ac:dyDescent="0.35">
      <c r="B158" s="22"/>
      <c r="C158" s="22"/>
      <c r="D158" s="22"/>
      <c r="E158" s="22"/>
      <c r="F158" s="22"/>
      <c r="G158" s="22"/>
      <c r="H158" s="22"/>
      <c r="I158" s="22"/>
      <c r="J158" s="22"/>
      <c r="K158" s="22"/>
      <c r="L158" s="22"/>
      <c r="M158" s="22"/>
      <c r="N158" s="22"/>
      <c r="O158" s="22"/>
      <c r="P158" s="22"/>
      <c r="Q158" s="22"/>
    </row>
    <row r="159" spans="2:17" x14ac:dyDescent="0.35">
      <c r="B159" s="22"/>
      <c r="C159" s="22"/>
      <c r="D159" s="22"/>
      <c r="E159" s="22"/>
      <c r="F159" s="22"/>
      <c r="G159" s="22"/>
      <c r="H159" s="22"/>
      <c r="I159" s="22"/>
      <c r="J159" s="22"/>
      <c r="K159" s="22"/>
      <c r="L159" s="22"/>
      <c r="M159" s="22"/>
      <c r="N159" s="22"/>
      <c r="O159" s="22"/>
      <c r="P159" s="22"/>
      <c r="Q159" s="22"/>
    </row>
  </sheetData>
  <sheetProtection formatColumns="0" formatRows="0"/>
  <mergeCells count="8">
    <mergeCell ref="B2:E2"/>
    <mergeCell ref="B108:C108"/>
    <mergeCell ref="E4:G6"/>
    <mergeCell ref="B68:C68"/>
    <mergeCell ref="B88:C88"/>
    <mergeCell ref="B8:C8"/>
    <mergeCell ref="B28:C28"/>
    <mergeCell ref="B48:C48"/>
  </mergeCells>
  <phoneticPr fontId="3" type="noConversion"/>
  <hyperlinks>
    <hyperlink ref="E4:G6" location="'1-StartingPoint'!A1" display="Return to Starting Point" xr:uid="{00000000-0004-0000-1200-000000000000}"/>
  </hyperlinks>
  <pageMargins left="0.25" right="0.25" top="0.75" bottom="0.75" header="0.3" footer="0.3"/>
  <pageSetup scale="71" fitToHeight="3" orientation="landscape" r:id="rId1"/>
  <headerFooter scaleWithDoc="0">
    <oddHeader>&amp;C&amp;"Gill Sans MT,Regular"&amp;12Amortization and Depreciation Schedule</oddHeader>
  </headerFooter>
  <rowBreaks count="3" manualBreakCount="3">
    <brk id="46" min="1" max="14" man="1"/>
    <brk id="86" min="1" max="14" man="1"/>
    <brk id="129" min="1" max="1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95B"/>
    <pageSetUpPr fitToPage="1"/>
  </sheetPr>
  <dimension ref="A1:L53"/>
  <sheetViews>
    <sheetView topLeftCell="A4" zoomScaleNormal="100" zoomScalePageLayoutView="60" workbookViewId="0">
      <selection activeCell="C15" sqref="C15"/>
    </sheetView>
  </sheetViews>
  <sheetFormatPr defaultColWidth="8.88671875" defaultRowHeight="16.8" x14ac:dyDescent="0.45"/>
  <cols>
    <col min="1" max="1" width="8.88671875" style="467"/>
    <col min="2" max="2" width="35" style="467" bestFit="1" customWidth="1"/>
    <col min="3" max="3" width="20.6640625" style="467" customWidth="1"/>
    <col min="4" max="4" width="21.5546875" style="467" bestFit="1" customWidth="1"/>
    <col min="5" max="5" width="11.109375" style="467" bestFit="1" customWidth="1"/>
    <col min="6" max="6" width="22.33203125" style="467" customWidth="1"/>
    <col min="7" max="7" width="19.6640625" style="467" bestFit="1" customWidth="1"/>
    <col min="8" max="8" width="16.44140625" style="467" customWidth="1"/>
    <col min="9" max="16384" width="8.88671875" style="467"/>
  </cols>
  <sheetData>
    <row r="1" spans="1:10" x14ac:dyDescent="0.45">
      <c r="A1" s="466"/>
      <c r="B1" s="466"/>
      <c r="C1" s="466"/>
      <c r="D1" s="466"/>
      <c r="E1" s="466"/>
      <c r="F1" s="466"/>
      <c r="G1" s="466"/>
      <c r="H1" s="466"/>
      <c r="I1" s="466"/>
    </row>
    <row r="2" spans="1:10" x14ac:dyDescent="0.45">
      <c r="A2" s="466"/>
      <c r="B2" s="601" t="s">
        <v>212</v>
      </c>
      <c r="C2" s="601"/>
      <c r="D2" s="601"/>
      <c r="E2" s="466"/>
      <c r="F2" s="466"/>
      <c r="G2" s="466"/>
      <c r="H2" s="466"/>
      <c r="I2" s="466"/>
    </row>
    <row r="3" spans="1:10" x14ac:dyDescent="0.45">
      <c r="A3" s="466"/>
      <c r="B3" s="468"/>
      <c r="C3" s="468"/>
      <c r="D3" s="466"/>
      <c r="E3" s="466"/>
      <c r="F3" s="466"/>
      <c r="G3" s="466"/>
      <c r="H3" s="466"/>
      <c r="I3" s="466"/>
    </row>
    <row r="4" spans="1:10" ht="18" customHeight="1" x14ac:dyDescent="0.45">
      <c r="A4" s="466"/>
      <c r="B4" s="469" t="s">
        <v>130</v>
      </c>
      <c r="C4" s="470" t="s">
        <v>131</v>
      </c>
      <c r="D4" s="466"/>
      <c r="E4" s="466"/>
      <c r="F4" s="466"/>
      <c r="G4" s="466"/>
      <c r="H4" s="466"/>
      <c r="I4" s="466"/>
    </row>
    <row r="5" spans="1:10" x14ac:dyDescent="0.45">
      <c r="A5" s="471"/>
      <c r="B5" s="472" t="str">
        <f>IF(ISBLANK(Directions!C6), "Owner", Directions!C6)</f>
        <v>Thomas Francis</v>
      </c>
      <c r="C5" s="471" t="str">
        <f>IF(ISBLANK(Directions!D6), "Company 1", Directions!D6)</f>
        <v>Project "Dogen"</v>
      </c>
      <c r="D5" s="471"/>
      <c r="E5" s="471"/>
      <c r="F5" s="471"/>
      <c r="G5" s="471"/>
      <c r="H5" s="466"/>
    </row>
    <row r="6" spans="1:10" x14ac:dyDescent="0.45">
      <c r="A6" s="466"/>
      <c r="B6" s="466"/>
      <c r="C6" s="466"/>
      <c r="D6" s="473"/>
      <c r="E6" s="473"/>
      <c r="F6" s="473"/>
      <c r="G6" s="473"/>
      <c r="H6" s="466"/>
    </row>
    <row r="7" spans="1:10" ht="17.25" customHeight="1" thickBot="1" x14ac:dyDescent="0.5">
      <c r="A7" s="466"/>
      <c r="B7" s="474" t="s">
        <v>33</v>
      </c>
      <c r="C7" s="474" t="s">
        <v>1</v>
      </c>
      <c r="D7" s="474" t="s">
        <v>159</v>
      </c>
      <c r="E7" s="577" t="s">
        <v>32</v>
      </c>
      <c r="F7" s="577"/>
      <c r="G7" s="475"/>
      <c r="H7" s="466"/>
      <c r="I7" s="466"/>
      <c r="J7" s="466"/>
    </row>
    <row r="8" spans="1:10" ht="17.399999999999999" thickTop="1" x14ac:dyDescent="0.45">
      <c r="A8" s="466"/>
      <c r="B8" s="476"/>
      <c r="C8" s="477"/>
      <c r="D8" s="477"/>
      <c r="E8" s="578"/>
      <c r="F8" s="579"/>
      <c r="G8" s="478"/>
      <c r="H8" s="466"/>
      <c r="I8" s="466"/>
      <c r="J8" s="466"/>
    </row>
    <row r="9" spans="1:10" x14ac:dyDescent="0.45">
      <c r="A9" s="466"/>
      <c r="B9" s="479" t="s">
        <v>34</v>
      </c>
      <c r="C9" s="480"/>
      <c r="D9" s="558" t="s">
        <v>354</v>
      </c>
      <c r="E9" s="580"/>
      <c r="F9" s="581"/>
      <c r="G9" s="478"/>
      <c r="H9" s="466"/>
      <c r="I9" s="466"/>
      <c r="J9" s="466"/>
    </row>
    <row r="10" spans="1:10" x14ac:dyDescent="0.45">
      <c r="A10" s="466"/>
      <c r="B10" s="479" t="s">
        <v>351</v>
      </c>
      <c r="C10" s="481"/>
      <c r="D10" s="482">
        <v>20</v>
      </c>
      <c r="E10" s="582"/>
      <c r="F10" s="583"/>
      <c r="G10" s="483"/>
      <c r="H10" s="466"/>
      <c r="I10" s="466"/>
      <c r="J10" s="466"/>
    </row>
    <row r="11" spans="1:10" x14ac:dyDescent="0.45">
      <c r="A11" s="466"/>
      <c r="B11" s="479" t="s">
        <v>35</v>
      </c>
      <c r="C11" s="481"/>
      <c r="D11" s="482">
        <v>7</v>
      </c>
      <c r="E11" s="582"/>
      <c r="F11" s="583"/>
      <c r="G11" s="483"/>
      <c r="H11" s="466"/>
      <c r="I11" s="466"/>
      <c r="J11" s="466"/>
    </row>
    <row r="12" spans="1:10" x14ac:dyDescent="0.45">
      <c r="A12" s="466"/>
      <c r="B12" s="479" t="s">
        <v>2</v>
      </c>
      <c r="C12" s="481"/>
      <c r="D12" s="482">
        <v>7</v>
      </c>
      <c r="E12" s="582"/>
      <c r="F12" s="583"/>
      <c r="G12" s="483"/>
      <c r="H12" s="466"/>
      <c r="I12" s="466"/>
      <c r="J12" s="466"/>
    </row>
    <row r="13" spans="1:10" x14ac:dyDescent="0.45">
      <c r="A13" s="466"/>
      <c r="B13" s="479" t="s">
        <v>36</v>
      </c>
      <c r="C13" s="481"/>
      <c r="D13" s="482">
        <v>5</v>
      </c>
      <c r="E13" s="582"/>
      <c r="F13" s="583"/>
      <c r="G13" s="483"/>
      <c r="H13" s="466"/>
      <c r="I13" s="466"/>
      <c r="J13" s="466"/>
    </row>
    <row r="14" spans="1:10" x14ac:dyDescent="0.45">
      <c r="A14" s="466"/>
      <c r="B14" s="479" t="s">
        <v>3</v>
      </c>
      <c r="C14" s="481"/>
      <c r="D14" s="482">
        <v>5</v>
      </c>
      <c r="E14" s="582"/>
      <c r="F14" s="583"/>
      <c r="G14" s="483"/>
      <c r="H14" s="466"/>
      <c r="I14" s="466"/>
      <c r="J14" s="466"/>
    </row>
    <row r="15" spans="1:10" x14ac:dyDescent="0.45">
      <c r="A15" s="466"/>
      <c r="B15" s="479" t="s">
        <v>16</v>
      </c>
      <c r="C15" s="481"/>
      <c r="D15" s="482">
        <v>5</v>
      </c>
      <c r="E15" s="582"/>
      <c r="F15" s="583"/>
      <c r="G15" s="483"/>
      <c r="H15" s="466"/>
      <c r="I15" s="466"/>
      <c r="J15" s="466"/>
    </row>
    <row r="16" spans="1:10" x14ac:dyDescent="0.45">
      <c r="A16" s="466"/>
      <c r="B16" s="484" t="s">
        <v>38</v>
      </c>
      <c r="C16" s="485">
        <f>SUM(C9:C15)</f>
        <v>0</v>
      </c>
      <c r="D16" s="486"/>
      <c r="E16" s="587"/>
      <c r="F16" s="588"/>
      <c r="G16" s="487"/>
      <c r="H16" s="466"/>
      <c r="I16" s="466"/>
      <c r="J16" s="466"/>
    </row>
    <row r="17" spans="1:9" x14ac:dyDescent="0.45">
      <c r="A17" s="466"/>
      <c r="B17" s="592"/>
      <c r="C17" s="593"/>
      <c r="D17" s="593"/>
      <c r="E17" s="593"/>
      <c r="F17" s="594"/>
      <c r="G17" s="488"/>
      <c r="H17" s="466"/>
      <c r="I17" s="466"/>
    </row>
    <row r="18" spans="1:9" ht="17.399999999999999" thickBot="1" x14ac:dyDescent="0.5">
      <c r="A18" s="466"/>
      <c r="B18" s="489" t="s">
        <v>39</v>
      </c>
      <c r="C18" s="490" t="s">
        <v>1</v>
      </c>
      <c r="D18" s="584" t="s">
        <v>32</v>
      </c>
      <c r="E18" s="585"/>
      <c r="F18" s="586"/>
      <c r="G18" s="466"/>
      <c r="H18" s="466"/>
      <c r="I18" s="466"/>
    </row>
    <row r="19" spans="1:9" ht="17.399999999999999" thickTop="1" x14ac:dyDescent="0.45">
      <c r="A19" s="466"/>
      <c r="B19" s="491" t="s">
        <v>40</v>
      </c>
      <c r="C19" s="492"/>
      <c r="D19" s="595"/>
      <c r="E19" s="596"/>
      <c r="F19" s="597"/>
      <c r="G19" s="466"/>
      <c r="H19" s="466"/>
      <c r="I19" s="466"/>
    </row>
    <row r="20" spans="1:9" x14ac:dyDescent="0.45">
      <c r="A20" s="466"/>
      <c r="B20" s="484" t="s">
        <v>41</v>
      </c>
      <c r="C20" s="481"/>
      <c r="D20" s="574"/>
      <c r="E20" s="575"/>
      <c r="F20" s="576"/>
      <c r="G20" s="466"/>
      <c r="H20" s="466"/>
      <c r="I20" s="466"/>
    </row>
    <row r="21" spans="1:9" x14ac:dyDescent="0.45">
      <c r="A21" s="466"/>
      <c r="B21" s="484" t="s">
        <v>4</v>
      </c>
      <c r="C21" s="481"/>
      <c r="D21" s="574"/>
      <c r="E21" s="575"/>
      <c r="F21" s="576"/>
      <c r="G21" s="466"/>
      <c r="H21" s="466"/>
      <c r="I21" s="466"/>
    </row>
    <row r="22" spans="1:9" x14ac:dyDescent="0.45">
      <c r="A22" s="466"/>
      <c r="B22" s="484" t="s">
        <v>42</v>
      </c>
      <c r="C22" s="481"/>
      <c r="D22" s="574"/>
      <c r="E22" s="575"/>
      <c r="F22" s="576"/>
      <c r="G22" s="466"/>
      <c r="H22" s="466"/>
      <c r="I22" s="466"/>
    </row>
    <row r="23" spans="1:9" x14ac:dyDescent="0.45">
      <c r="A23" s="466"/>
      <c r="B23" s="484" t="s">
        <v>43</v>
      </c>
      <c r="C23" s="481"/>
      <c r="D23" s="574"/>
      <c r="E23" s="575"/>
      <c r="F23" s="576"/>
      <c r="G23" s="466"/>
      <c r="H23" s="466"/>
      <c r="I23" s="466"/>
    </row>
    <row r="24" spans="1:9" x14ac:dyDescent="0.45">
      <c r="A24" s="466"/>
      <c r="B24" s="484" t="s">
        <v>44</v>
      </c>
      <c r="C24" s="481"/>
      <c r="D24" s="574"/>
      <c r="E24" s="575"/>
      <c r="F24" s="576"/>
      <c r="G24" s="466"/>
      <c r="H24" s="466"/>
      <c r="I24" s="466"/>
    </row>
    <row r="25" spans="1:9" x14ac:dyDescent="0.45">
      <c r="A25" s="466"/>
      <c r="B25" s="484" t="s">
        <v>5</v>
      </c>
      <c r="C25" s="481"/>
      <c r="D25" s="574"/>
      <c r="E25" s="575"/>
      <c r="F25" s="576"/>
      <c r="G25" s="493"/>
      <c r="H25" s="466"/>
      <c r="I25" s="466"/>
    </row>
    <row r="26" spans="1:9" x14ac:dyDescent="0.45">
      <c r="A26" s="466"/>
      <c r="B26" s="484" t="s">
        <v>45</v>
      </c>
      <c r="C26" s="481"/>
      <c r="D26" s="574"/>
      <c r="E26" s="575"/>
      <c r="F26" s="576"/>
      <c r="G26" s="466"/>
      <c r="H26" s="466"/>
      <c r="I26" s="466"/>
    </row>
    <row r="27" spans="1:9" x14ac:dyDescent="0.45">
      <c r="A27" s="466"/>
      <c r="B27" s="484" t="s">
        <v>6</v>
      </c>
      <c r="C27" s="481"/>
      <c r="D27" s="574"/>
      <c r="E27" s="575"/>
      <c r="F27" s="576"/>
      <c r="G27" s="466"/>
      <c r="H27" s="466"/>
      <c r="I27" s="466"/>
    </row>
    <row r="28" spans="1:9" x14ac:dyDescent="0.45">
      <c r="A28" s="466"/>
      <c r="B28" s="484" t="s">
        <v>46</v>
      </c>
      <c r="C28" s="481"/>
      <c r="D28" s="574"/>
      <c r="E28" s="575"/>
      <c r="F28" s="576"/>
      <c r="G28" s="466"/>
      <c r="H28" s="466"/>
      <c r="I28" s="466"/>
    </row>
    <row r="29" spans="1:9" x14ac:dyDescent="0.45">
      <c r="A29" s="466"/>
      <c r="B29" s="494" t="s">
        <v>47</v>
      </c>
      <c r="C29" s="481"/>
      <c r="D29" s="574"/>
      <c r="E29" s="575"/>
      <c r="F29" s="576"/>
      <c r="G29" s="466"/>
      <c r="H29" s="466"/>
      <c r="I29" s="466"/>
    </row>
    <row r="30" spans="1:9" x14ac:dyDescent="0.45">
      <c r="A30" s="466"/>
      <c r="B30" s="484" t="s">
        <v>48</v>
      </c>
      <c r="C30" s="495">
        <f>SUM(C19:C29)</f>
        <v>0</v>
      </c>
      <c r="D30" s="574"/>
      <c r="E30" s="575"/>
      <c r="F30" s="576"/>
      <c r="G30" s="466"/>
      <c r="H30" s="466"/>
      <c r="I30" s="466"/>
    </row>
    <row r="31" spans="1:9" ht="17.399999999999999" thickBot="1" x14ac:dyDescent="0.5">
      <c r="A31" s="466"/>
      <c r="B31" s="484" t="s">
        <v>7</v>
      </c>
      <c r="C31" s="496">
        <f>C16+C30</f>
        <v>0</v>
      </c>
      <c r="D31" s="602"/>
      <c r="E31" s="603"/>
      <c r="F31" s="604"/>
      <c r="G31" s="466"/>
      <c r="H31" s="466"/>
      <c r="I31" s="466"/>
    </row>
    <row r="32" spans="1:9" x14ac:dyDescent="0.45">
      <c r="A32" s="466"/>
      <c r="B32" s="497"/>
      <c r="C32" s="498"/>
      <c r="D32" s="499"/>
      <c r="E32" s="499"/>
      <c r="F32" s="500"/>
      <c r="G32" s="501"/>
      <c r="H32" s="466"/>
      <c r="I32" s="466"/>
    </row>
    <row r="33" spans="1:12" ht="17.399999999999999" thickBot="1" x14ac:dyDescent="0.5">
      <c r="A33" s="466"/>
      <c r="B33" s="474" t="s">
        <v>49</v>
      </c>
      <c r="C33" s="474" t="s">
        <v>122</v>
      </c>
      <c r="D33" s="474" t="s">
        <v>8</v>
      </c>
      <c r="E33" s="474" t="s">
        <v>12</v>
      </c>
      <c r="F33" s="474" t="s">
        <v>13</v>
      </c>
      <c r="G33" s="474" t="s">
        <v>50</v>
      </c>
      <c r="H33" s="474" t="s">
        <v>32</v>
      </c>
    </row>
    <row r="34" spans="1:12" ht="17.399999999999999" thickTop="1" x14ac:dyDescent="0.45">
      <c r="A34" s="466"/>
      <c r="B34" s="502" t="s">
        <v>51</v>
      </c>
      <c r="C34" s="533">
        <f>IF($C$31=0,0,D34/$C$31)</f>
        <v>0</v>
      </c>
      <c r="D34" s="492"/>
      <c r="E34" s="477"/>
      <c r="F34" s="503"/>
      <c r="G34" s="477"/>
      <c r="H34" s="504"/>
    </row>
    <row r="35" spans="1:12" x14ac:dyDescent="0.45">
      <c r="A35" s="466"/>
      <c r="B35" s="505" t="s">
        <v>52</v>
      </c>
      <c r="C35" s="534">
        <f>IF($C$31=0,0,D35/$C$31)</f>
        <v>0</v>
      </c>
      <c r="D35" s="481"/>
      <c r="E35" s="506"/>
      <c r="F35" s="506"/>
      <c r="G35" s="506"/>
      <c r="H35" s="507"/>
    </row>
    <row r="36" spans="1:12" x14ac:dyDescent="0.45">
      <c r="A36" s="466"/>
      <c r="B36" s="505" t="s">
        <v>53</v>
      </c>
      <c r="C36" s="534"/>
      <c r="D36" s="506"/>
      <c r="E36" s="506"/>
      <c r="F36" s="506"/>
      <c r="G36" s="506"/>
      <c r="H36" s="507"/>
    </row>
    <row r="37" spans="1:12" x14ac:dyDescent="0.45">
      <c r="A37" s="466"/>
      <c r="B37" s="508" t="s">
        <v>54</v>
      </c>
      <c r="C37" s="534">
        <f t="shared" ref="C37:C42" si="0">IF($C$31=0,0,D37/$C$31)</f>
        <v>0</v>
      </c>
      <c r="D37" s="481"/>
      <c r="E37" s="509">
        <v>0.09</v>
      </c>
      <c r="F37" s="510">
        <v>84</v>
      </c>
      <c r="G37" s="511">
        <f>PMT(E37/12,F37,-D37)</f>
        <v>0</v>
      </c>
      <c r="H37" s="507"/>
    </row>
    <row r="38" spans="1:12" x14ac:dyDescent="0.45">
      <c r="A38" s="466"/>
      <c r="B38" s="508" t="s">
        <v>55</v>
      </c>
      <c r="C38" s="534">
        <f t="shared" si="0"/>
        <v>0</v>
      </c>
      <c r="D38" s="481"/>
      <c r="E38" s="509">
        <v>0.09</v>
      </c>
      <c r="F38" s="510">
        <v>240</v>
      </c>
      <c r="G38" s="511">
        <f>PMT(E38/12,F38,-D38)</f>
        <v>0</v>
      </c>
      <c r="H38" s="507"/>
      <c r="J38" s="600" t="s">
        <v>250</v>
      </c>
      <c r="K38" s="600"/>
      <c r="L38" s="600"/>
    </row>
    <row r="39" spans="1:12" x14ac:dyDescent="0.45">
      <c r="A39" s="466"/>
      <c r="B39" s="508" t="s">
        <v>146</v>
      </c>
      <c r="C39" s="534">
        <f t="shared" si="0"/>
        <v>0</v>
      </c>
      <c r="D39" s="481"/>
      <c r="E39" s="509">
        <v>7.0000000000000007E-2</v>
      </c>
      <c r="F39" s="510">
        <v>60</v>
      </c>
      <c r="G39" s="511">
        <f>PMT(E39/12,F39,-D39)</f>
        <v>0</v>
      </c>
      <c r="H39" s="507"/>
      <c r="J39" s="600"/>
      <c r="K39" s="600"/>
      <c r="L39" s="600"/>
    </row>
    <row r="40" spans="1:12" x14ac:dyDescent="0.45">
      <c r="A40" s="466"/>
      <c r="B40" s="508" t="s">
        <v>147</v>
      </c>
      <c r="C40" s="534">
        <f t="shared" si="0"/>
        <v>0</v>
      </c>
      <c r="D40" s="481"/>
      <c r="E40" s="509">
        <v>0.06</v>
      </c>
      <c r="F40" s="510">
        <v>48</v>
      </c>
      <c r="G40" s="511">
        <f>PMT(E40/12,F40,-D40)</f>
        <v>0</v>
      </c>
      <c r="H40" s="507"/>
      <c r="J40" s="600"/>
      <c r="K40" s="600"/>
      <c r="L40" s="600"/>
    </row>
    <row r="41" spans="1:12" x14ac:dyDescent="0.45">
      <c r="A41" s="466"/>
      <c r="B41" s="508" t="s">
        <v>148</v>
      </c>
      <c r="C41" s="534">
        <f t="shared" si="0"/>
        <v>0</v>
      </c>
      <c r="D41" s="481"/>
      <c r="E41" s="509">
        <v>0.05</v>
      </c>
      <c r="F41" s="510">
        <v>36</v>
      </c>
      <c r="G41" s="511">
        <f>PMT(E41/12,F41,-D41)</f>
        <v>0</v>
      </c>
      <c r="H41" s="512"/>
      <c r="J41" s="600"/>
      <c r="K41" s="600"/>
      <c r="L41" s="600"/>
    </row>
    <row r="42" spans="1:12" x14ac:dyDescent="0.45">
      <c r="A42" s="466"/>
      <c r="B42" s="484" t="s">
        <v>56</v>
      </c>
      <c r="C42" s="535">
        <f t="shared" si="0"/>
        <v>0</v>
      </c>
      <c r="D42" s="513">
        <f>SUM(D34:D41)</f>
        <v>0</v>
      </c>
      <c r="E42" s="598" t="s">
        <v>261</v>
      </c>
      <c r="F42" s="599"/>
      <c r="G42" s="514">
        <f>SUM(G37:G41)</f>
        <v>0</v>
      </c>
      <c r="H42" s="515"/>
    </row>
    <row r="43" spans="1:12" x14ac:dyDescent="0.45">
      <c r="A43" s="466"/>
      <c r="B43" s="484" t="s">
        <v>145</v>
      </c>
      <c r="C43" s="484"/>
      <c r="D43" s="513">
        <f>C31-D42</f>
        <v>0</v>
      </c>
      <c r="E43" s="589" t="str">
        <f>IF(D43&gt;0,"You require more funding (Not Balanced)",IF(D43&lt;0,"Your funding exceeds your needs (Not Balanced)","You are fully funded (Balanced)"))</f>
        <v>You are fully funded (Balanced)</v>
      </c>
      <c r="F43" s="590"/>
      <c r="G43" s="591"/>
      <c r="H43" s="516"/>
    </row>
    <row r="44" spans="1:12" x14ac:dyDescent="0.45">
      <c r="A44" s="466"/>
      <c r="B44" s="517" t="s">
        <v>128</v>
      </c>
      <c r="C44" s="518"/>
      <c r="D44" s="518"/>
      <c r="E44" s="518"/>
      <c r="F44" s="518"/>
      <c r="G44" s="518"/>
      <c r="H44" s="466"/>
    </row>
    <row r="45" spans="1:12" x14ac:dyDescent="0.45">
      <c r="A45" s="466"/>
      <c r="B45" s="473"/>
      <c r="C45" s="518"/>
      <c r="D45" s="473"/>
      <c r="E45" s="473"/>
      <c r="F45" s="473"/>
      <c r="G45" s="466"/>
      <c r="H45" s="466"/>
    </row>
    <row r="46" spans="1:12" ht="17.399999999999999" thickBot="1" x14ac:dyDescent="0.5">
      <c r="B46" s="573" t="s">
        <v>232</v>
      </c>
      <c r="C46" s="573"/>
      <c r="D46" s="519"/>
      <c r="E46" s="519"/>
      <c r="F46" s="519"/>
      <c r="G46" s="519"/>
    </row>
    <row r="47" spans="1:12" ht="17.399999999999999" thickTop="1" x14ac:dyDescent="0.45">
      <c r="B47" s="520" t="s">
        <v>172</v>
      </c>
      <c r="C47" s="521">
        <v>0</v>
      </c>
      <c r="D47" s="519"/>
      <c r="E47" s="522"/>
      <c r="F47" s="519"/>
      <c r="G47" s="523"/>
    </row>
    <row r="48" spans="1:12" x14ac:dyDescent="0.45">
      <c r="B48" s="524" t="s">
        <v>255</v>
      </c>
      <c r="C48" s="525">
        <v>0</v>
      </c>
      <c r="D48" s="519"/>
      <c r="E48" s="522"/>
      <c r="F48" s="519"/>
      <c r="G48" s="523"/>
    </row>
    <row r="49" spans="2:7" x14ac:dyDescent="0.45">
      <c r="B49" s="524" t="s">
        <v>254</v>
      </c>
      <c r="C49" s="525">
        <v>0</v>
      </c>
      <c r="D49" s="519"/>
      <c r="E49" s="519"/>
      <c r="F49" s="519"/>
      <c r="G49" s="519"/>
    </row>
    <row r="50" spans="2:7" x14ac:dyDescent="0.45">
      <c r="B50" s="524" t="s">
        <v>256</v>
      </c>
      <c r="C50" s="525">
        <v>0</v>
      </c>
      <c r="D50" s="519"/>
      <c r="E50" s="519"/>
      <c r="F50" s="519"/>
      <c r="G50" s="519"/>
    </row>
    <row r="51" spans="2:7" x14ac:dyDescent="0.45">
      <c r="B51" s="524" t="s">
        <v>257</v>
      </c>
      <c r="C51" s="525">
        <v>0</v>
      </c>
    </row>
    <row r="52" spans="2:7" x14ac:dyDescent="0.45">
      <c r="B52" s="484" t="s">
        <v>233</v>
      </c>
      <c r="C52" s="513">
        <f>(C47+C48+C49-C50-C51)</f>
        <v>0</v>
      </c>
      <c r="D52" s="526"/>
    </row>
    <row r="53" spans="2:7" x14ac:dyDescent="0.45">
      <c r="D53" s="526"/>
    </row>
  </sheetData>
  <sheetProtection password="CC3D" sheet="1" objects="1" scenarios="1" formatColumns="0" formatRows="0"/>
  <mergeCells count="30">
    <mergeCell ref="E13:F13"/>
    <mergeCell ref="D19:F19"/>
    <mergeCell ref="E42:F42"/>
    <mergeCell ref="J38:L41"/>
    <mergeCell ref="B2:D2"/>
    <mergeCell ref="D31:F31"/>
    <mergeCell ref="D22:F22"/>
    <mergeCell ref="D20:F20"/>
    <mergeCell ref="D21:F21"/>
    <mergeCell ref="D26:F26"/>
    <mergeCell ref="D25:F25"/>
    <mergeCell ref="D24:F24"/>
    <mergeCell ref="D23:F23"/>
    <mergeCell ref="D29:F29"/>
    <mergeCell ref="B46:C46"/>
    <mergeCell ref="D27:F27"/>
    <mergeCell ref="D28:F28"/>
    <mergeCell ref="E7:F7"/>
    <mergeCell ref="E8:F8"/>
    <mergeCell ref="E9:F9"/>
    <mergeCell ref="E10:F10"/>
    <mergeCell ref="D18:F18"/>
    <mergeCell ref="E15:F15"/>
    <mergeCell ref="E16:F16"/>
    <mergeCell ref="E43:G43"/>
    <mergeCell ref="E11:F11"/>
    <mergeCell ref="E12:F12"/>
    <mergeCell ref="B17:F17"/>
    <mergeCell ref="E14:F14"/>
    <mergeCell ref="D30:F30"/>
  </mergeCells>
  <phoneticPr fontId="3" type="noConversion"/>
  <conditionalFormatting sqref="C9:C15 C19:C29 D34:D35 D37:D41">
    <cfRule type="containsBlanks" dxfId="91" priority="25" stopIfTrue="1">
      <formula>LEN(TRIM(C9))=0</formula>
    </cfRule>
  </conditionalFormatting>
  <conditionalFormatting sqref="D43">
    <cfRule type="cellIs" dxfId="90" priority="5" operator="greaterThan">
      <formula>0</formula>
    </cfRule>
  </conditionalFormatting>
  <conditionalFormatting sqref="E43:G43">
    <cfRule type="containsText" dxfId="89" priority="3" operator="containsText" text="fully">
      <formula>NOT(ISERROR(SEARCH("fully",E43)))</formula>
    </cfRule>
    <cfRule type="containsText" dxfId="88" priority="4" operator="containsText" text="require">
      <formula>NOT(ISERROR(SEARCH("require",E43)))</formula>
    </cfRule>
  </conditionalFormatting>
  <conditionalFormatting sqref="D10:D15">
    <cfRule type="cellIs" dxfId="87" priority="1" operator="lessThan">
      <formula>3</formula>
    </cfRule>
  </conditionalFormatting>
  <hyperlinks>
    <hyperlink ref="J38:L41" location="'Amortization&amp;Depreciation'!A1" display="See Loan Amortization &amp; Depreciation Schedule" xr:uid="{00000000-0004-0000-0100-000000000000}"/>
  </hyperlinks>
  <printOptions horizontalCentered="1" verticalCentered="1"/>
  <pageMargins left="0.7" right="0.7" top="0.75" bottom="0.75" header="0.3" footer="0.3"/>
  <pageSetup scale="59" orientation="landscape" r:id="rId1"/>
  <headerFooter scaleWithDoc="0">
    <oddHeader>&amp;C&amp;"Gill Sans MT,Regular"&amp;12Start-Up Expenses Year 1
(Starting Balance Sheet)</oddHeader>
    <oddFooter>&amp;L&amp;"Gill Sans MT,Regular"&amp;12&amp;F&amp;C&amp;"Gill Sans MT,Regular"&amp;12&amp;A&amp;R&amp;"Gill Sans MT,Regular"&amp;12&amp;D &amp;T</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topLeftCell="A10" workbookViewId="0">
      <selection activeCell="C12" sqref="C12"/>
    </sheetView>
  </sheetViews>
  <sheetFormatPr defaultRowHeight="14.4" x14ac:dyDescent="0.3"/>
  <cols>
    <col min="1" max="1" width="16.5546875" bestFit="1" customWidth="1"/>
    <col min="2" max="2" width="14.44140625" bestFit="1" customWidth="1"/>
    <col min="3" max="3" width="43.6640625" customWidth="1"/>
  </cols>
  <sheetData>
    <row r="1" spans="1:3" x14ac:dyDescent="0.3">
      <c r="A1" s="571" t="s">
        <v>358</v>
      </c>
      <c r="B1" s="571" t="s">
        <v>359</v>
      </c>
      <c r="C1" s="571" t="s">
        <v>32</v>
      </c>
    </row>
    <row r="2" spans="1:3" ht="57.6" x14ac:dyDescent="0.3">
      <c r="A2" s="563">
        <v>41446</v>
      </c>
      <c r="B2" t="s">
        <v>360</v>
      </c>
      <c r="C2" s="564" t="s">
        <v>361</v>
      </c>
    </row>
    <row r="3" spans="1:3" ht="72" x14ac:dyDescent="0.3">
      <c r="A3" s="569">
        <v>41469</v>
      </c>
      <c r="B3" s="568" t="s">
        <v>360</v>
      </c>
      <c r="C3" s="570" t="s">
        <v>362</v>
      </c>
    </row>
    <row r="4" spans="1:3" ht="109.5" customHeight="1" x14ac:dyDescent="0.3">
      <c r="A4" s="569">
        <v>41752</v>
      </c>
      <c r="B4" t="s">
        <v>360</v>
      </c>
      <c r="C4" s="570" t="s">
        <v>363</v>
      </c>
    </row>
    <row r="5" spans="1:3" ht="72" x14ac:dyDescent="0.3">
      <c r="A5" s="569">
        <v>42320</v>
      </c>
      <c r="B5" t="s">
        <v>364</v>
      </c>
      <c r="C5" s="570" t="s">
        <v>365</v>
      </c>
    </row>
    <row r="6" spans="1:3" x14ac:dyDescent="0.3">
      <c r="A6" s="569">
        <v>42410</v>
      </c>
      <c r="B6" t="s">
        <v>364</v>
      </c>
      <c r="C6" s="570" t="s">
        <v>366</v>
      </c>
    </row>
    <row r="7" spans="1:3" ht="43.2" x14ac:dyDescent="0.3">
      <c r="A7" s="569">
        <v>42463</v>
      </c>
      <c r="B7" t="s">
        <v>364</v>
      </c>
      <c r="C7" s="570" t="s">
        <v>367</v>
      </c>
    </row>
    <row r="8" spans="1:3" ht="43.2" x14ac:dyDescent="0.3">
      <c r="A8" s="569">
        <v>42508</v>
      </c>
      <c r="B8" t="s">
        <v>364</v>
      </c>
      <c r="C8" s="570" t="s">
        <v>368</v>
      </c>
    </row>
    <row r="9" spans="1:3" ht="115.2" x14ac:dyDescent="0.3">
      <c r="A9" s="569">
        <v>43258</v>
      </c>
      <c r="B9" t="s">
        <v>369</v>
      </c>
      <c r="C9" s="570" t="s">
        <v>370</v>
      </c>
    </row>
    <row r="10" spans="1:3" ht="72" x14ac:dyDescent="0.3">
      <c r="A10" s="569">
        <v>43494</v>
      </c>
      <c r="B10" t="s">
        <v>369</v>
      </c>
      <c r="C10" s="570" t="s">
        <v>371</v>
      </c>
    </row>
    <row r="11" spans="1:3" ht="28.8" x14ac:dyDescent="0.3">
      <c r="A11" s="569">
        <v>43515</v>
      </c>
      <c r="B11" s="568" t="s">
        <v>369</v>
      </c>
      <c r="C11" s="570" t="s">
        <v>372</v>
      </c>
    </row>
    <row r="12" spans="1:3" ht="115.2" x14ac:dyDescent="0.3">
      <c r="A12" s="569">
        <v>43878</v>
      </c>
      <c r="B12" s="570" t="s">
        <v>375</v>
      </c>
      <c r="C12" s="570" t="s">
        <v>374</v>
      </c>
    </row>
    <row r="13" spans="1:3" x14ac:dyDescent="0.3">
      <c r="C13" s="56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FFC95B"/>
    <pageSetUpPr fitToPage="1"/>
  </sheetPr>
  <dimension ref="A1:R32"/>
  <sheetViews>
    <sheetView zoomScaleNormal="100" zoomScalePageLayoutView="50" workbookViewId="0">
      <selection activeCell="D19" sqref="D19"/>
    </sheetView>
  </sheetViews>
  <sheetFormatPr defaultColWidth="9.109375" defaultRowHeight="13.8" x14ac:dyDescent="0.35"/>
  <cols>
    <col min="1" max="1" width="30.33203125" style="71" bestFit="1" customWidth="1"/>
    <col min="2" max="2" width="16.109375" style="71" bestFit="1" customWidth="1"/>
    <col min="3" max="3" width="14.33203125" style="71" customWidth="1"/>
    <col min="4" max="4" width="12.33203125" style="71" customWidth="1"/>
    <col min="5" max="5" width="16" style="71" customWidth="1"/>
    <col min="6" max="6" width="9.6640625" style="71" customWidth="1"/>
    <col min="7" max="7" width="8" style="71" bestFit="1" customWidth="1"/>
    <col min="8" max="14" width="9.6640625" style="71" customWidth="1"/>
    <col min="15" max="17" width="10.33203125" style="71" bestFit="1" customWidth="1"/>
    <col min="18" max="18" width="12.109375" style="71" bestFit="1" customWidth="1"/>
    <col min="19" max="16384" width="9.109375" style="71"/>
  </cols>
  <sheetData>
    <row r="1" spans="1:18" x14ac:dyDescent="0.35">
      <c r="A1" s="21"/>
      <c r="B1" s="21"/>
      <c r="C1" s="21"/>
      <c r="D1" s="21"/>
      <c r="E1" s="21"/>
      <c r="F1" s="21"/>
      <c r="G1" s="63"/>
      <c r="H1" s="63"/>
      <c r="I1" s="63"/>
      <c r="J1" s="65"/>
      <c r="K1" s="63"/>
      <c r="L1" s="63"/>
      <c r="M1" s="63"/>
      <c r="N1" s="63"/>
      <c r="O1" s="63"/>
      <c r="P1" s="63"/>
      <c r="Q1" s="63"/>
      <c r="R1" s="63"/>
    </row>
    <row r="2" spans="1:18" x14ac:dyDescent="0.35">
      <c r="B2" s="76" t="s">
        <v>341</v>
      </c>
      <c r="C2" s="77"/>
      <c r="D2" s="77"/>
      <c r="E2" s="77"/>
      <c r="F2" s="77"/>
      <c r="G2" s="63"/>
      <c r="H2" s="63"/>
      <c r="I2" s="63"/>
      <c r="J2" s="63"/>
      <c r="K2" s="63"/>
      <c r="L2" s="63"/>
      <c r="M2" s="63"/>
      <c r="N2" s="63"/>
      <c r="O2" s="63"/>
      <c r="P2" s="63"/>
      <c r="Q2" s="63"/>
      <c r="R2" s="63"/>
    </row>
    <row r="3" spans="1:18" x14ac:dyDescent="0.35">
      <c r="B3" s="78"/>
      <c r="C3" s="77"/>
      <c r="D3" s="77"/>
      <c r="E3" s="77"/>
      <c r="F3" s="77"/>
      <c r="G3" s="63"/>
      <c r="H3" s="63"/>
      <c r="I3" s="63"/>
      <c r="J3" s="63"/>
      <c r="K3" s="63"/>
      <c r="L3" s="63"/>
      <c r="M3" s="63"/>
      <c r="N3" s="63"/>
      <c r="O3" s="63"/>
      <c r="P3" s="63"/>
      <c r="Q3" s="63"/>
      <c r="R3" s="63"/>
    </row>
    <row r="4" spans="1:18" x14ac:dyDescent="0.35">
      <c r="B4" s="76" t="s">
        <v>130</v>
      </c>
      <c r="C4" s="79" t="s">
        <v>131</v>
      </c>
      <c r="D4" s="77"/>
      <c r="E4" s="77"/>
      <c r="F4" s="77"/>
      <c r="G4" s="63"/>
      <c r="H4" s="63"/>
      <c r="I4" s="63"/>
      <c r="J4" s="63"/>
      <c r="K4" s="63"/>
      <c r="L4" s="63"/>
      <c r="M4" s="63"/>
      <c r="N4" s="63"/>
      <c r="O4" s="63"/>
      <c r="P4" s="63"/>
      <c r="Q4" s="63"/>
      <c r="R4" s="63"/>
    </row>
    <row r="5" spans="1:18" x14ac:dyDescent="0.35">
      <c r="B5" s="64" t="str">
        <f>IF(ISBLANK(Directions!C6), "Owner", Directions!C6)</f>
        <v>Thomas Francis</v>
      </c>
      <c r="C5" s="65" t="str">
        <f>IF(ISBLANK(Directions!D6), "Company 1", Directions!D6)</f>
        <v>Project "Dogen"</v>
      </c>
      <c r="D5" s="77"/>
      <c r="E5" s="77"/>
      <c r="F5" s="77"/>
      <c r="G5" s="63"/>
      <c r="H5" s="63"/>
      <c r="I5" s="63"/>
      <c r="J5" s="63"/>
      <c r="K5" s="63"/>
      <c r="L5" s="63"/>
      <c r="M5" s="63"/>
      <c r="N5" s="63"/>
      <c r="O5" s="63"/>
      <c r="P5" s="63"/>
      <c r="Q5" s="63"/>
      <c r="R5" s="63"/>
    </row>
    <row r="6" spans="1:18" x14ac:dyDescent="0.35">
      <c r="B6" s="21"/>
      <c r="C6" s="21"/>
      <c r="D6" s="21"/>
      <c r="E6" s="21"/>
      <c r="F6" s="21"/>
      <c r="G6" s="22"/>
      <c r="H6" s="22"/>
      <c r="I6" s="22"/>
      <c r="J6" s="12"/>
      <c r="K6" s="22"/>
      <c r="L6" s="22"/>
      <c r="M6" s="22"/>
      <c r="N6" s="63"/>
      <c r="O6" s="63"/>
      <c r="P6" s="63"/>
      <c r="Q6" s="63"/>
      <c r="R6" s="63"/>
    </row>
    <row r="7" spans="1:18" ht="55.8" thickBot="1" x14ac:dyDescent="0.4">
      <c r="A7" s="413" t="s">
        <v>174</v>
      </c>
      <c r="B7" s="413" t="s">
        <v>211</v>
      </c>
      <c r="C7" s="413" t="s">
        <v>344</v>
      </c>
      <c r="D7" s="413" t="s">
        <v>342</v>
      </c>
      <c r="E7" s="413" t="s">
        <v>303</v>
      </c>
      <c r="F7" s="531" t="str">
        <f>Directions!B34</f>
        <v>June</v>
      </c>
      <c r="G7" s="531" t="str">
        <f>Directions!C34</f>
        <v>July</v>
      </c>
      <c r="H7" s="531" t="str">
        <f>Directions!D34</f>
        <v>August</v>
      </c>
      <c r="I7" s="531" t="str">
        <f>Directions!E34</f>
        <v>September</v>
      </c>
      <c r="J7" s="531" t="str">
        <f>Directions!F34</f>
        <v>October</v>
      </c>
      <c r="K7" s="531" t="str">
        <f>Directions!G34</f>
        <v>November</v>
      </c>
      <c r="L7" s="531" t="str">
        <f>Directions!H34</f>
        <v>December</v>
      </c>
      <c r="M7" s="531" t="str">
        <f>Directions!I34</f>
        <v>January</v>
      </c>
      <c r="N7" s="531" t="str">
        <f>Directions!J34</f>
        <v>February</v>
      </c>
      <c r="O7" s="531" t="str">
        <f>Directions!K34</f>
        <v>March</v>
      </c>
      <c r="P7" s="531" t="str">
        <f>Directions!L34</f>
        <v>April</v>
      </c>
      <c r="Q7" s="531" t="str">
        <f>Directions!M34</f>
        <v>May</v>
      </c>
      <c r="R7" s="413" t="s">
        <v>81</v>
      </c>
    </row>
    <row r="8" spans="1:18" ht="14.4" thickTop="1" x14ac:dyDescent="0.35">
      <c r="A8" s="390" t="s">
        <v>121</v>
      </c>
      <c r="B8" s="541"/>
      <c r="C8" s="542"/>
      <c r="D8" s="561"/>
      <c r="E8" s="391">
        <f>(C8*D8*B8)*52/12</f>
        <v>0</v>
      </c>
      <c r="F8" s="392">
        <f>E8</f>
        <v>0</v>
      </c>
      <c r="G8" s="392">
        <f t="shared" ref="G8:Q8" si="0">F8</f>
        <v>0</v>
      </c>
      <c r="H8" s="392">
        <f t="shared" si="0"/>
        <v>0</v>
      </c>
      <c r="I8" s="392">
        <f t="shared" si="0"/>
        <v>0</v>
      </c>
      <c r="J8" s="392">
        <f t="shared" si="0"/>
        <v>0</v>
      </c>
      <c r="K8" s="392">
        <f t="shared" si="0"/>
        <v>0</v>
      </c>
      <c r="L8" s="392">
        <f t="shared" si="0"/>
        <v>0</v>
      </c>
      <c r="M8" s="392">
        <f t="shared" si="0"/>
        <v>0</v>
      </c>
      <c r="N8" s="392">
        <f t="shared" si="0"/>
        <v>0</v>
      </c>
      <c r="O8" s="392">
        <f t="shared" si="0"/>
        <v>0</v>
      </c>
      <c r="P8" s="392">
        <f t="shared" si="0"/>
        <v>0</v>
      </c>
      <c r="Q8" s="392">
        <f t="shared" si="0"/>
        <v>0</v>
      </c>
      <c r="R8" s="393">
        <f>SUM(F8:Q8)</f>
        <v>0</v>
      </c>
    </row>
    <row r="9" spans="1:18" x14ac:dyDescent="0.35">
      <c r="A9" s="9" t="s">
        <v>87</v>
      </c>
      <c r="B9" s="543"/>
      <c r="C9" s="544"/>
      <c r="D9" s="562"/>
      <c r="E9" s="82">
        <f>(C9*D9*B9)*52/12</f>
        <v>0</v>
      </c>
      <c r="F9" s="169">
        <f t="shared" ref="F9:Q11" si="1">E9</f>
        <v>0</v>
      </c>
      <c r="G9" s="169">
        <f t="shared" si="1"/>
        <v>0</v>
      </c>
      <c r="H9" s="169">
        <f t="shared" si="1"/>
        <v>0</v>
      </c>
      <c r="I9" s="169">
        <f t="shared" si="1"/>
        <v>0</v>
      </c>
      <c r="J9" s="169">
        <f t="shared" si="1"/>
        <v>0</v>
      </c>
      <c r="K9" s="169">
        <f t="shared" si="1"/>
        <v>0</v>
      </c>
      <c r="L9" s="169">
        <f t="shared" si="1"/>
        <v>0</v>
      </c>
      <c r="M9" s="169">
        <f t="shared" si="1"/>
        <v>0</v>
      </c>
      <c r="N9" s="169">
        <f t="shared" si="1"/>
        <v>0</v>
      </c>
      <c r="O9" s="169">
        <f t="shared" si="1"/>
        <v>0</v>
      </c>
      <c r="P9" s="169">
        <f t="shared" si="1"/>
        <v>0</v>
      </c>
      <c r="Q9" s="169">
        <f t="shared" si="1"/>
        <v>0</v>
      </c>
      <c r="R9" s="83">
        <f>SUM(F9:Q9)</f>
        <v>0</v>
      </c>
    </row>
    <row r="10" spans="1:18" x14ac:dyDescent="0.35">
      <c r="A10" s="9" t="s">
        <v>88</v>
      </c>
      <c r="B10" s="543"/>
      <c r="C10" s="544"/>
      <c r="D10" s="562"/>
      <c r="E10" s="82">
        <f>(C10*D10*B10)*52/12</f>
        <v>0</v>
      </c>
      <c r="F10" s="169">
        <f t="shared" si="1"/>
        <v>0</v>
      </c>
      <c r="G10" s="169">
        <f t="shared" si="1"/>
        <v>0</v>
      </c>
      <c r="H10" s="169">
        <f t="shared" si="1"/>
        <v>0</v>
      </c>
      <c r="I10" s="169">
        <f t="shared" si="1"/>
        <v>0</v>
      </c>
      <c r="J10" s="169">
        <f t="shared" si="1"/>
        <v>0</v>
      </c>
      <c r="K10" s="169">
        <f t="shared" si="1"/>
        <v>0</v>
      </c>
      <c r="L10" s="169">
        <f t="shared" si="1"/>
        <v>0</v>
      </c>
      <c r="M10" s="169">
        <f t="shared" si="1"/>
        <v>0</v>
      </c>
      <c r="N10" s="169">
        <f t="shared" si="1"/>
        <v>0</v>
      </c>
      <c r="O10" s="169">
        <f t="shared" si="1"/>
        <v>0</v>
      </c>
      <c r="P10" s="169">
        <f t="shared" si="1"/>
        <v>0</v>
      </c>
      <c r="Q10" s="169">
        <f t="shared" si="1"/>
        <v>0</v>
      </c>
      <c r="R10" s="83">
        <f>SUM(F10:Q10)</f>
        <v>0</v>
      </c>
    </row>
    <row r="11" spans="1:18" x14ac:dyDescent="0.35">
      <c r="A11" s="9" t="s">
        <v>89</v>
      </c>
      <c r="B11" s="543"/>
      <c r="C11" s="544"/>
      <c r="D11" s="562"/>
      <c r="E11" s="82">
        <f>(C11*D11*B11)*52/12</f>
        <v>0</v>
      </c>
      <c r="F11" s="169">
        <f t="shared" si="1"/>
        <v>0</v>
      </c>
      <c r="G11" s="169">
        <f t="shared" si="1"/>
        <v>0</v>
      </c>
      <c r="H11" s="169">
        <f t="shared" si="1"/>
        <v>0</v>
      </c>
      <c r="I11" s="169">
        <f t="shared" si="1"/>
        <v>0</v>
      </c>
      <c r="J11" s="169">
        <f t="shared" si="1"/>
        <v>0</v>
      </c>
      <c r="K11" s="169">
        <f t="shared" si="1"/>
        <v>0</v>
      </c>
      <c r="L11" s="169">
        <f t="shared" si="1"/>
        <v>0</v>
      </c>
      <c r="M11" s="169">
        <f t="shared" si="1"/>
        <v>0</v>
      </c>
      <c r="N11" s="169">
        <f t="shared" si="1"/>
        <v>0</v>
      </c>
      <c r="O11" s="169">
        <f t="shared" si="1"/>
        <v>0</v>
      </c>
      <c r="P11" s="169">
        <f t="shared" si="1"/>
        <v>0</v>
      </c>
      <c r="Q11" s="169">
        <f t="shared" si="1"/>
        <v>0</v>
      </c>
      <c r="R11" s="83">
        <f>SUM(F11:Q11)</f>
        <v>0</v>
      </c>
    </row>
    <row r="12" spans="1:18" x14ac:dyDescent="0.35">
      <c r="A12" s="47" t="s">
        <v>90</v>
      </c>
      <c r="B12" s="84">
        <f>SUM(B8:B11)</f>
        <v>0</v>
      </c>
      <c r="C12" s="559">
        <f t="shared" ref="C12:R12" si="2">SUM(C8:C11)</f>
        <v>0</v>
      </c>
      <c r="D12" s="560">
        <f>SUM(D8:D11)</f>
        <v>0</v>
      </c>
      <c r="E12" s="82">
        <f t="shared" si="2"/>
        <v>0</v>
      </c>
      <c r="F12" s="83">
        <f t="shared" si="2"/>
        <v>0</v>
      </c>
      <c r="G12" s="83">
        <f t="shared" si="2"/>
        <v>0</v>
      </c>
      <c r="H12" s="83">
        <f t="shared" si="2"/>
        <v>0</v>
      </c>
      <c r="I12" s="83">
        <f t="shared" si="2"/>
        <v>0</v>
      </c>
      <c r="J12" s="83">
        <f t="shared" si="2"/>
        <v>0</v>
      </c>
      <c r="K12" s="83">
        <f t="shared" si="2"/>
        <v>0</v>
      </c>
      <c r="L12" s="83">
        <f t="shared" si="2"/>
        <v>0</v>
      </c>
      <c r="M12" s="83">
        <f t="shared" si="2"/>
        <v>0</v>
      </c>
      <c r="N12" s="83">
        <f t="shared" si="2"/>
        <v>0</v>
      </c>
      <c r="O12" s="83">
        <f t="shared" si="2"/>
        <v>0</v>
      </c>
      <c r="P12" s="83">
        <f t="shared" si="2"/>
        <v>0</v>
      </c>
      <c r="Q12" s="83">
        <f t="shared" si="2"/>
        <v>0</v>
      </c>
      <c r="R12" s="83">
        <f t="shared" si="2"/>
        <v>0</v>
      </c>
    </row>
    <row r="13" spans="1:18" x14ac:dyDescent="0.35">
      <c r="A13" s="85"/>
      <c r="B13" s="85"/>
      <c r="C13" s="86"/>
      <c r="D13" s="87"/>
      <c r="E13" s="87"/>
      <c r="F13" s="87"/>
      <c r="G13" s="87"/>
      <c r="H13" s="87"/>
      <c r="I13" s="88"/>
      <c r="J13" s="88"/>
      <c r="K13" s="88"/>
      <c r="L13" s="88"/>
      <c r="M13" s="88"/>
      <c r="N13" s="88"/>
      <c r="O13" s="88"/>
      <c r="P13" s="88"/>
      <c r="Q13" s="88"/>
      <c r="R13" s="89"/>
    </row>
    <row r="14" spans="1:18" ht="42" thickBot="1" x14ac:dyDescent="0.4">
      <c r="A14" s="413" t="s">
        <v>91</v>
      </c>
      <c r="B14" s="413" t="s">
        <v>263</v>
      </c>
      <c r="C14" s="413" t="s">
        <v>123</v>
      </c>
      <c r="D14" s="413"/>
      <c r="E14" s="413" t="s">
        <v>304</v>
      </c>
      <c r="F14" s="413" t="str">
        <f>'3a-SalesForecastYear1'!C16</f>
        <v>June</v>
      </c>
      <c r="G14" s="413" t="str">
        <f>'3a-SalesForecastYear1'!D16</f>
        <v>July</v>
      </c>
      <c r="H14" s="413" t="str">
        <f>'3a-SalesForecastYear1'!E16</f>
        <v>August</v>
      </c>
      <c r="I14" s="413" t="str">
        <f>'3a-SalesForecastYear1'!F16</f>
        <v>September</v>
      </c>
      <c r="J14" s="413" t="str">
        <f>'3a-SalesForecastYear1'!G16</f>
        <v>October</v>
      </c>
      <c r="K14" s="413" t="str">
        <f>'3a-SalesForecastYear1'!H16</f>
        <v>November</v>
      </c>
      <c r="L14" s="413" t="str">
        <f>'3a-SalesForecastYear1'!I16</f>
        <v>December</v>
      </c>
      <c r="M14" s="413" t="str">
        <f>'3a-SalesForecastYear1'!J16</f>
        <v>January</v>
      </c>
      <c r="N14" s="413" t="str">
        <f>'3a-SalesForecastYear1'!K16</f>
        <v>February</v>
      </c>
      <c r="O14" s="413" t="str">
        <f>'3a-SalesForecastYear1'!L16</f>
        <v>March</v>
      </c>
      <c r="P14" s="413" t="str">
        <f>'3a-SalesForecastYear1'!M16</f>
        <v>April</v>
      </c>
      <c r="Q14" s="413" t="str">
        <f>'3a-SalesForecastYear1'!N16</f>
        <v>May</v>
      </c>
      <c r="R14" s="413" t="str">
        <f>'3a-SalesForecastYear1'!O16</f>
        <v>Annual Totals</v>
      </c>
    </row>
    <row r="15" spans="1:18" ht="14.4" thickTop="1" x14ac:dyDescent="0.35">
      <c r="A15" s="390" t="s">
        <v>92</v>
      </c>
      <c r="B15" s="391">
        <v>137700</v>
      </c>
      <c r="C15" s="394">
        <v>6.2E-2</v>
      </c>
      <c r="D15" s="395"/>
      <c r="E15" s="396">
        <f>(E$8+E$9+E$10)*$C$15</f>
        <v>0</v>
      </c>
      <c r="F15" s="392">
        <f t="shared" ref="F15:Q15" si="3">(F$8+F$9+F$10)*$C$15</f>
        <v>0</v>
      </c>
      <c r="G15" s="392">
        <f t="shared" si="3"/>
        <v>0</v>
      </c>
      <c r="H15" s="392">
        <f t="shared" si="3"/>
        <v>0</v>
      </c>
      <c r="I15" s="392">
        <f t="shared" si="3"/>
        <v>0</v>
      </c>
      <c r="J15" s="392">
        <f t="shared" si="3"/>
        <v>0</v>
      </c>
      <c r="K15" s="392">
        <f t="shared" si="3"/>
        <v>0</v>
      </c>
      <c r="L15" s="392">
        <f t="shared" si="3"/>
        <v>0</v>
      </c>
      <c r="M15" s="392">
        <f t="shared" si="3"/>
        <v>0</v>
      </c>
      <c r="N15" s="392">
        <f t="shared" si="3"/>
        <v>0</v>
      </c>
      <c r="O15" s="392">
        <f t="shared" si="3"/>
        <v>0</v>
      </c>
      <c r="P15" s="392">
        <f t="shared" si="3"/>
        <v>0</v>
      </c>
      <c r="Q15" s="392">
        <f t="shared" si="3"/>
        <v>0</v>
      </c>
      <c r="R15" s="393">
        <f>SUM(F15:Q15)</f>
        <v>0</v>
      </c>
    </row>
    <row r="16" spans="1:18" x14ac:dyDescent="0.35">
      <c r="A16" s="9" t="s">
        <v>93</v>
      </c>
      <c r="B16" s="171" t="s">
        <v>264</v>
      </c>
      <c r="C16" s="170">
        <v>1.4500000000000001E-2</v>
      </c>
      <c r="D16" s="91"/>
      <c r="E16" s="92">
        <f>(E$8+E$9+E$10)*$C$16</f>
        <v>0</v>
      </c>
      <c r="F16" s="169">
        <f>(F$8+F$9+F$10)*$C$16</f>
        <v>0</v>
      </c>
      <c r="G16" s="169">
        <f t="shared" ref="G16:Q16" si="4">(G$8+G$9+G$10)*$C$16</f>
        <v>0</v>
      </c>
      <c r="H16" s="169">
        <f t="shared" si="4"/>
        <v>0</v>
      </c>
      <c r="I16" s="169">
        <f t="shared" si="4"/>
        <v>0</v>
      </c>
      <c r="J16" s="169">
        <f t="shared" si="4"/>
        <v>0</v>
      </c>
      <c r="K16" s="169">
        <f t="shared" si="4"/>
        <v>0</v>
      </c>
      <c r="L16" s="169">
        <f t="shared" si="4"/>
        <v>0</v>
      </c>
      <c r="M16" s="169">
        <f t="shared" si="4"/>
        <v>0</v>
      </c>
      <c r="N16" s="169">
        <f t="shared" si="4"/>
        <v>0</v>
      </c>
      <c r="O16" s="169">
        <f t="shared" si="4"/>
        <v>0</v>
      </c>
      <c r="P16" s="169">
        <f t="shared" si="4"/>
        <v>0</v>
      </c>
      <c r="Q16" s="169">
        <f t="shared" si="4"/>
        <v>0</v>
      </c>
      <c r="R16" s="83">
        <f t="shared" ref="R16:R22" si="5">SUM(F16:Q16)</f>
        <v>0</v>
      </c>
    </row>
    <row r="17" spans="1:18" x14ac:dyDescent="0.35">
      <c r="A17" s="9" t="s">
        <v>94</v>
      </c>
      <c r="B17" s="172">
        <v>7000</v>
      </c>
      <c r="C17" s="170">
        <v>6.0000000000000001E-3</v>
      </c>
      <c r="D17" s="91"/>
      <c r="E17" s="92">
        <f>+$B$12*B17*C17/12</f>
        <v>0</v>
      </c>
      <c r="F17" s="169">
        <f t="shared" ref="F17:F22" si="6">E17</f>
        <v>0</v>
      </c>
      <c r="G17" s="169">
        <f t="shared" ref="G17:Q17" si="7">F17</f>
        <v>0</v>
      </c>
      <c r="H17" s="169">
        <f t="shared" si="7"/>
        <v>0</v>
      </c>
      <c r="I17" s="169">
        <f t="shared" si="7"/>
        <v>0</v>
      </c>
      <c r="J17" s="169">
        <f t="shared" si="7"/>
        <v>0</v>
      </c>
      <c r="K17" s="169">
        <f t="shared" si="7"/>
        <v>0</v>
      </c>
      <c r="L17" s="169">
        <f t="shared" si="7"/>
        <v>0</v>
      </c>
      <c r="M17" s="169">
        <f t="shared" si="7"/>
        <v>0</v>
      </c>
      <c r="N17" s="169">
        <f t="shared" si="7"/>
        <v>0</v>
      </c>
      <c r="O17" s="169">
        <f t="shared" si="7"/>
        <v>0</v>
      </c>
      <c r="P17" s="169">
        <f t="shared" si="7"/>
        <v>0</v>
      </c>
      <c r="Q17" s="169">
        <f t="shared" si="7"/>
        <v>0</v>
      </c>
      <c r="R17" s="83">
        <f t="shared" si="5"/>
        <v>0</v>
      </c>
    </row>
    <row r="18" spans="1:18" x14ac:dyDescent="0.35">
      <c r="A18" s="9" t="s">
        <v>95</v>
      </c>
      <c r="B18" s="172">
        <v>7000</v>
      </c>
      <c r="C18" s="170">
        <v>3.4500000000000003E-2</v>
      </c>
      <c r="D18" s="91"/>
      <c r="E18" s="92">
        <f>+$B$12*B18*C18/12</f>
        <v>0</v>
      </c>
      <c r="F18" s="169">
        <f t="shared" si="6"/>
        <v>0</v>
      </c>
      <c r="G18" s="169">
        <f t="shared" ref="G18:Q18" si="8">F18</f>
        <v>0</v>
      </c>
      <c r="H18" s="169">
        <f t="shared" si="8"/>
        <v>0</v>
      </c>
      <c r="I18" s="169">
        <f t="shared" si="8"/>
        <v>0</v>
      </c>
      <c r="J18" s="169">
        <f t="shared" si="8"/>
        <v>0</v>
      </c>
      <c r="K18" s="169">
        <f t="shared" si="8"/>
        <v>0</v>
      </c>
      <c r="L18" s="169">
        <f t="shared" si="8"/>
        <v>0</v>
      </c>
      <c r="M18" s="169">
        <f t="shared" si="8"/>
        <v>0</v>
      </c>
      <c r="N18" s="169">
        <f t="shared" si="8"/>
        <v>0</v>
      </c>
      <c r="O18" s="169">
        <f t="shared" si="8"/>
        <v>0</v>
      </c>
      <c r="P18" s="169">
        <f t="shared" si="8"/>
        <v>0</v>
      </c>
      <c r="Q18" s="169">
        <f t="shared" si="8"/>
        <v>0</v>
      </c>
      <c r="R18" s="83">
        <f t="shared" si="5"/>
        <v>0</v>
      </c>
    </row>
    <row r="19" spans="1:18" x14ac:dyDescent="0.35">
      <c r="A19" s="9" t="s">
        <v>96</v>
      </c>
      <c r="B19" s="171" t="s">
        <v>264</v>
      </c>
      <c r="C19" s="170">
        <v>0</v>
      </c>
      <c r="D19" s="91"/>
      <c r="E19" s="92">
        <f>($E$8+$E$9+$E$10)*C19</f>
        <v>0</v>
      </c>
      <c r="F19" s="169">
        <f t="shared" si="6"/>
        <v>0</v>
      </c>
      <c r="G19" s="169">
        <f t="shared" ref="G19:Q19" si="9">F19</f>
        <v>0</v>
      </c>
      <c r="H19" s="169">
        <f t="shared" si="9"/>
        <v>0</v>
      </c>
      <c r="I19" s="169">
        <f t="shared" si="9"/>
        <v>0</v>
      </c>
      <c r="J19" s="169">
        <f t="shared" si="9"/>
        <v>0</v>
      </c>
      <c r="K19" s="169">
        <f t="shared" si="9"/>
        <v>0</v>
      </c>
      <c r="L19" s="169">
        <f t="shared" si="9"/>
        <v>0</v>
      </c>
      <c r="M19" s="169">
        <f t="shared" si="9"/>
        <v>0</v>
      </c>
      <c r="N19" s="169">
        <f t="shared" si="9"/>
        <v>0</v>
      </c>
      <c r="O19" s="169">
        <f t="shared" si="9"/>
        <v>0</v>
      </c>
      <c r="P19" s="169">
        <f t="shared" si="9"/>
        <v>0</v>
      </c>
      <c r="Q19" s="169">
        <f t="shared" si="9"/>
        <v>0</v>
      </c>
      <c r="R19" s="83">
        <f t="shared" si="5"/>
        <v>0</v>
      </c>
    </row>
    <row r="20" spans="1:18" x14ac:dyDescent="0.35">
      <c r="A20" s="9" t="s">
        <v>97</v>
      </c>
      <c r="B20" s="171" t="s">
        <v>264</v>
      </c>
      <c r="C20" s="170">
        <v>0</v>
      </c>
      <c r="D20" s="93"/>
      <c r="E20" s="92">
        <f>($E$8+$E$9+$E$10)*C20</f>
        <v>0</v>
      </c>
      <c r="F20" s="169">
        <f t="shared" si="6"/>
        <v>0</v>
      </c>
      <c r="G20" s="169">
        <f t="shared" ref="G20:Q20" si="10">F20</f>
        <v>0</v>
      </c>
      <c r="H20" s="169">
        <f t="shared" si="10"/>
        <v>0</v>
      </c>
      <c r="I20" s="169">
        <f t="shared" si="10"/>
        <v>0</v>
      </c>
      <c r="J20" s="169">
        <f t="shared" si="10"/>
        <v>0</v>
      </c>
      <c r="K20" s="169">
        <f t="shared" si="10"/>
        <v>0</v>
      </c>
      <c r="L20" s="169">
        <f t="shared" si="10"/>
        <v>0</v>
      </c>
      <c r="M20" s="169">
        <f t="shared" si="10"/>
        <v>0</v>
      </c>
      <c r="N20" s="169">
        <f t="shared" si="10"/>
        <v>0</v>
      </c>
      <c r="O20" s="169">
        <f t="shared" si="10"/>
        <v>0</v>
      </c>
      <c r="P20" s="169">
        <f t="shared" si="10"/>
        <v>0</v>
      </c>
      <c r="Q20" s="169">
        <f t="shared" si="10"/>
        <v>0</v>
      </c>
      <c r="R20" s="83">
        <f t="shared" si="5"/>
        <v>0</v>
      </c>
    </row>
    <row r="21" spans="1:18" x14ac:dyDescent="0.35">
      <c r="A21" s="9" t="s">
        <v>98</v>
      </c>
      <c r="B21" s="171" t="s">
        <v>264</v>
      </c>
      <c r="C21" s="170">
        <v>0</v>
      </c>
      <c r="D21" s="93"/>
      <c r="E21" s="92">
        <f>($E$8+$E$9+$E$10)*C21</f>
        <v>0</v>
      </c>
      <c r="F21" s="169">
        <f t="shared" si="6"/>
        <v>0</v>
      </c>
      <c r="G21" s="169">
        <f t="shared" ref="G21:Q21" si="11">F21</f>
        <v>0</v>
      </c>
      <c r="H21" s="169">
        <f t="shared" si="11"/>
        <v>0</v>
      </c>
      <c r="I21" s="169">
        <f t="shared" si="11"/>
        <v>0</v>
      </c>
      <c r="J21" s="169">
        <f t="shared" si="11"/>
        <v>0</v>
      </c>
      <c r="K21" s="169">
        <f t="shared" si="11"/>
        <v>0</v>
      </c>
      <c r="L21" s="169">
        <f t="shared" si="11"/>
        <v>0</v>
      </c>
      <c r="M21" s="169">
        <f t="shared" si="11"/>
        <v>0</v>
      </c>
      <c r="N21" s="169">
        <f t="shared" si="11"/>
        <v>0</v>
      </c>
      <c r="O21" s="169">
        <f t="shared" si="11"/>
        <v>0</v>
      </c>
      <c r="P21" s="169">
        <f t="shared" si="11"/>
        <v>0</v>
      </c>
      <c r="Q21" s="169">
        <f t="shared" si="11"/>
        <v>0</v>
      </c>
      <c r="R21" s="83">
        <f t="shared" si="5"/>
        <v>0</v>
      </c>
    </row>
    <row r="22" spans="1:18" x14ac:dyDescent="0.35">
      <c r="A22" s="9" t="s">
        <v>99</v>
      </c>
      <c r="B22" s="171" t="s">
        <v>264</v>
      </c>
      <c r="C22" s="170">
        <v>0</v>
      </c>
      <c r="D22" s="93"/>
      <c r="E22" s="92">
        <f>($E$8+$E$9+$E$10)*C22</f>
        <v>0</v>
      </c>
      <c r="F22" s="169">
        <f t="shared" si="6"/>
        <v>0</v>
      </c>
      <c r="G22" s="169">
        <f t="shared" ref="G22:Q22" si="12">F22</f>
        <v>0</v>
      </c>
      <c r="H22" s="169">
        <f t="shared" si="12"/>
        <v>0</v>
      </c>
      <c r="I22" s="169">
        <f t="shared" si="12"/>
        <v>0</v>
      </c>
      <c r="J22" s="169">
        <f t="shared" si="12"/>
        <v>0</v>
      </c>
      <c r="K22" s="169">
        <f t="shared" si="12"/>
        <v>0</v>
      </c>
      <c r="L22" s="169">
        <f t="shared" si="12"/>
        <v>0</v>
      </c>
      <c r="M22" s="169">
        <f t="shared" si="12"/>
        <v>0</v>
      </c>
      <c r="N22" s="169">
        <f t="shared" si="12"/>
        <v>0</v>
      </c>
      <c r="O22" s="169">
        <f t="shared" si="12"/>
        <v>0</v>
      </c>
      <c r="P22" s="169">
        <f t="shared" si="12"/>
        <v>0</v>
      </c>
      <c r="Q22" s="169">
        <f t="shared" si="12"/>
        <v>0</v>
      </c>
      <c r="R22" s="83">
        <f t="shared" si="5"/>
        <v>0</v>
      </c>
    </row>
    <row r="23" spans="1:18" x14ac:dyDescent="0.35">
      <c r="A23" s="47" t="s">
        <v>100</v>
      </c>
      <c r="B23" s="47"/>
      <c r="C23" s="94">
        <f>SUM(C15:C22)</f>
        <v>0.11700000000000001</v>
      </c>
      <c r="D23" s="9"/>
      <c r="E23" s="82">
        <f>SUM(E15:E22)</f>
        <v>0</v>
      </c>
      <c r="F23" s="82">
        <f>SUM(F15:F22)</f>
        <v>0</v>
      </c>
      <c r="G23" s="82">
        <f t="shared" ref="G23:R23" si="13">SUM(G15:G22)</f>
        <v>0</v>
      </c>
      <c r="H23" s="82">
        <f t="shared" si="13"/>
        <v>0</v>
      </c>
      <c r="I23" s="82">
        <f t="shared" si="13"/>
        <v>0</v>
      </c>
      <c r="J23" s="82">
        <f t="shared" si="13"/>
        <v>0</v>
      </c>
      <c r="K23" s="82">
        <f t="shared" si="13"/>
        <v>0</v>
      </c>
      <c r="L23" s="82">
        <f t="shared" si="13"/>
        <v>0</v>
      </c>
      <c r="M23" s="82">
        <f t="shared" si="13"/>
        <v>0</v>
      </c>
      <c r="N23" s="82">
        <f t="shared" si="13"/>
        <v>0</v>
      </c>
      <c r="O23" s="82">
        <f t="shared" si="13"/>
        <v>0</v>
      </c>
      <c r="P23" s="82">
        <f t="shared" si="13"/>
        <v>0</v>
      </c>
      <c r="Q23" s="82">
        <f t="shared" si="13"/>
        <v>0</v>
      </c>
      <c r="R23" s="82">
        <f t="shared" si="13"/>
        <v>0</v>
      </c>
    </row>
    <row r="24" spans="1:18" x14ac:dyDescent="0.35">
      <c r="A24" s="47"/>
      <c r="B24" s="47"/>
      <c r="C24" s="95"/>
      <c r="D24" s="9"/>
      <c r="E24" s="9"/>
      <c r="F24" s="9"/>
      <c r="G24" s="9"/>
      <c r="H24" s="9"/>
      <c r="I24" s="9"/>
      <c r="J24" s="9"/>
      <c r="K24" s="9"/>
      <c r="L24" s="9"/>
      <c r="M24" s="9"/>
      <c r="N24" s="9"/>
      <c r="O24" s="9"/>
      <c r="P24" s="9"/>
      <c r="Q24" s="9"/>
      <c r="R24" s="9"/>
    </row>
    <row r="25" spans="1:18" x14ac:dyDescent="0.35">
      <c r="A25" s="47" t="s">
        <v>101</v>
      </c>
      <c r="B25" s="47"/>
      <c r="C25" s="95"/>
      <c r="D25" s="9"/>
      <c r="E25" s="82">
        <f>E12+E23</f>
        <v>0</v>
      </c>
      <c r="F25" s="82">
        <f t="shared" ref="F25:Q25" si="14">F12+F23</f>
        <v>0</v>
      </c>
      <c r="G25" s="82">
        <f t="shared" si="14"/>
        <v>0</v>
      </c>
      <c r="H25" s="82">
        <f t="shared" si="14"/>
        <v>0</v>
      </c>
      <c r="I25" s="82">
        <f t="shared" si="14"/>
        <v>0</v>
      </c>
      <c r="J25" s="82">
        <f t="shared" si="14"/>
        <v>0</v>
      </c>
      <c r="K25" s="82">
        <f t="shared" si="14"/>
        <v>0</v>
      </c>
      <c r="L25" s="82">
        <f t="shared" si="14"/>
        <v>0</v>
      </c>
      <c r="M25" s="82">
        <f t="shared" si="14"/>
        <v>0</v>
      </c>
      <c r="N25" s="82">
        <f t="shared" si="14"/>
        <v>0</v>
      </c>
      <c r="O25" s="82">
        <f t="shared" si="14"/>
        <v>0</v>
      </c>
      <c r="P25" s="82">
        <f t="shared" si="14"/>
        <v>0</v>
      </c>
      <c r="Q25" s="82">
        <f t="shared" si="14"/>
        <v>0</v>
      </c>
      <c r="R25" s="48">
        <f>R12+R23</f>
        <v>0</v>
      </c>
    </row>
    <row r="26" spans="1:18" s="63" customFormat="1" x14ac:dyDescent="0.35"/>
    <row r="28" spans="1:18" x14ac:dyDescent="0.35">
      <c r="A28" s="65"/>
      <c r="B28" s="65"/>
      <c r="C28" s="65"/>
    </row>
    <row r="29" spans="1:18" x14ac:dyDescent="0.35">
      <c r="A29" s="96"/>
      <c r="B29" s="96"/>
      <c r="C29" s="96"/>
    </row>
    <row r="30" spans="1:18" x14ac:dyDescent="0.35">
      <c r="A30" s="97"/>
      <c r="B30" s="98"/>
      <c r="C30" s="98"/>
    </row>
    <row r="31" spans="1:18" x14ac:dyDescent="0.35">
      <c r="A31" s="97"/>
      <c r="B31" s="99"/>
      <c r="C31" s="99"/>
    </row>
    <row r="32" spans="1:18" x14ac:dyDescent="0.35">
      <c r="A32" s="65"/>
      <c r="B32" s="65"/>
      <c r="C32" s="65"/>
    </row>
  </sheetData>
  <sheetProtection formatColumns="0" formatRows="0"/>
  <phoneticPr fontId="3" type="noConversion"/>
  <conditionalFormatting sqref="B8:D11">
    <cfRule type="containsBlanks" dxfId="86" priority="15" stopIfTrue="1">
      <formula>LEN(TRIM(B8))=0</formula>
    </cfRule>
  </conditionalFormatting>
  <conditionalFormatting sqref="F8:Q11">
    <cfRule type="containsBlanks" dxfId="85" priority="12" stopIfTrue="1">
      <formula>LEN(TRIM(F8))=0</formula>
    </cfRule>
  </conditionalFormatting>
  <conditionalFormatting sqref="F15:Q22">
    <cfRule type="containsBlanks" dxfId="84" priority="5">
      <formula>LEN(TRIM(F15))=0</formula>
    </cfRule>
  </conditionalFormatting>
  <conditionalFormatting sqref="F16:Q16">
    <cfRule type="containsBlanks" dxfId="83" priority="4">
      <formula>LEN(TRIM(F16))=0</formula>
    </cfRule>
  </conditionalFormatting>
  <conditionalFormatting sqref="F15:Q15">
    <cfRule type="containsBlanks" dxfId="82" priority="3">
      <formula>LEN(TRIM(F15))=0</formula>
    </cfRule>
  </conditionalFormatting>
  <conditionalFormatting sqref="F16">
    <cfRule type="containsBlanks" dxfId="81" priority="2">
      <formula>LEN(TRIM(F16))=0</formula>
    </cfRule>
  </conditionalFormatting>
  <conditionalFormatting sqref="G16:Q16">
    <cfRule type="containsBlanks" dxfId="80" priority="1">
      <formula>LEN(TRIM(G16))=0</formula>
    </cfRule>
  </conditionalFormatting>
  <printOptions horizontalCentered="1"/>
  <pageMargins left="0.25" right="0.25" top="0.75" bottom="0.75" header="0.3" footer="0.3"/>
  <pageSetup scale="61" orientation="landscape" r:id="rId1"/>
  <headerFooter scaleWithDoc="0">
    <oddHeader>&amp;C&amp;"Gill Sans MT,Regular"&amp;12Payroll Year 1</oddHeader>
    <oddFooter>&amp;L&amp;"Gill Sans MT,Regular"&amp;12&amp;F&amp;C&amp;"Gill Sans MT,Regular"&amp;12&amp;A&amp;R&amp;"Gill Sans MT,Regular"&amp;12&amp;D &amp;T</oddFooter>
  </headerFooter>
  <ignoredErrors>
    <ignoredError sqref="F8:Q11 F17:Q22 F15:Q16"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FFC95B"/>
    <pageSetUpPr fitToPage="1"/>
  </sheetPr>
  <dimension ref="A2:AC47"/>
  <sheetViews>
    <sheetView zoomScaleNormal="100" workbookViewId="0">
      <selection activeCell="D9" sqref="D9"/>
    </sheetView>
  </sheetViews>
  <sheetFormatPr defaultColWidth="9.109375" defaultRowHeight="13.8" x14ac:dyDescent="0.35"/>
  <cols>
    <col min="1" max="1" width="7" style="100" customWidth="1"/>
    <col min="2" max="2" width="38" style="100" bestFit="1" customWidth="1"/>
    <col min="3" max="3" width="11.33203125" style="100" bestFit="1" customWidth="1"/>
    <col min="4" max="4" width="15.6640625" style="100" bestFit="1" customWidth="1"/>
    <col min="5" max="5" width="10.6640625" style="100" bestFit="1" customWidth="1"/>
    <col min="6" max="6" width="15.6640625" style="100" bestFit="1" customWidth="1"/>
    <col min="7" max="7" width="9.44140625" style="100" bestFit="1" customWidth="1"/>
    <col min="8" max="8" width="5.109375" style="100" customWidth="1"/>
    <col min="9" max="9" width="5.44140625" style="100" customWidth="1"/>
    <col min="10" max="10" width="4.6640625" style="100" customWidth="1"/>
    <col min="11" max="11" width="8.109375" style="100" customWidth="1"/>
    <col min="12" max="12" width="12.109375" style="100" customWidth="1"/>
    <col min="13" max="13" width="9.5546875" style="100" customWidth="1"/>
    <col min="14" max="14" width="11.88671875" style="100" customWidth="1"/>
    <col min="15" max="15" width="11.5546875" style="100" customWidth="1"/>
    <col min="16" max="16" width="14.44140625" style="100" customWidth="1"/>
    <col min="17" max="17" width="8.6640625" style="100" customWidth="1"/>
    <col min="18" max="18" width="10.33203125" style="100" customWidth="1"/>
    <col min="19" max="19" width="7.44140625" style="100" customWidth="1"/>
    <col min="20" max="20" width="6.109375" style="100" customWidth="1"/>
    <col min="21" max="21" width="5.109375" style="100" customWidth="1"/>
    <col min="22" max="22" width="5.44140625" style="100" customWidth="1"/>
    <col min="23" max="23" width="4.6640625" style="100" customWidth="1"/>
    <col min="24" max="24" width="8.109375" style="100" customWidth="1"/>
    <col min="25" max="25" width="12.109375" style="100" customWidth="1"/>
    <col min="26" max="26" width="9.5546875" style="100" customWidth="1"/>
    <col min="27" max="27" width="11.88671875" style="100" customWidth="1"/>
    <col min="28" max="28" width="11.5546875" style="100" customWidth="1"/>
    <col min="29" max="29" width="14.44140625" style="100" customWidth="1"/>
    <col min="30" max="16384" width="9.109375" style="100"/>
  </cols>
  <sheetData>
    <row r="2" spans="1:29" x14ac:dyDescent="0.35">
      <c r="B2" s="76" t="s">
        <v>234</v>
      </c>
      <c r="C2" s="77"/>
      <c r="D2" s="78"/>
      <c r="E2" s="77"/>
      <c r="F2" s="78"/>
      <c r="G2" s="77"/>
    </row>
    <row r="3" spans="1:29" x14ac:dyDescent="0.35">
      <c r="B3" s="78"/>
      <c r="C3" s="77"/>
      <c r="D3" s="78"/>
    </row>
    <row r="4" spans="1:29" x14ac:dyDescent="0.35">
      <c r="A4" s="101"/>
      <c r="B4" s="79" t="s">
        <v>130</v>
      </c>
      <c r="C4" s="605" t="s">
        <v>131</v>
      </c>
      <c r="D4" s="605"/>
      <c r="E4" s="101"/>
      <c r="F4" s="101"/>
      <c r="G4" s="101"/>
      <c r="H4" s="101"/>
      <c r="I4" s="101"/>
      <c r="J4" s="101"/>
      <c r="K4" s="101"/>
      <c r="L4" s="101"/>
      <c r="M4" s="101"/>
      <c r="N4" s="101"/>
      <c r="O4" s="101"/>
      <c r="P4" s="101"/>
      <c r="Q4" s="101"/>
      <c r="R4" s="101"/>
      <c r="S4" s="101"/>
      <c r="T4" s="101"/>
      <c r="U4" s="101"/>
      <c r="V4" s="101"/>
      <c r="W4" s="101"/>
      <c r="X4" s="101"/>
      <c r="Y4" s="101"/>
    </row>
    <row r="5" spans="1:29" x14ac:dyDescent="0.35">
      <c r="A5" s="12"/>
      <c r="B5" s="64" t="str">
        <f>IF(ISBLANK(Directions!C6), "Owner", Directions!C6)</f>
        <v>Thomas Francis</v>
      </c>
      <c r="C5" s="606" t="str">
        <f>IF(ISBLANK(Directions!D6), "Company 1", Directions!D6)</f>
        <v>Project "Dogen"</v>
      </c>
      <c r="D5" s="606"/>
      <c r="E5" s="81"/>
      <c r="F5" s="80"/>
      <c r="G5" s="81"/>
      <c r="H5" s="102"/>
      <c r="I5" s="102"/>
      <c r="J5" s="102"/>
      <c r="K5" s="102"/>
      <c r="L5" s="102"/>
      <c r="M5" s="102"/>
      <c r="N5" s="102"/>
      <c r="O5" s="102"/>
      <c r="P5" s="103"/>
      <c r="Q5" s="102"/>
      <c r="R5" s="102"/>
      <c r="S5" s="102"/>
      <c r="T5" s="102"/>
      <c r="U5" s="102"/>
      <c r="V5" s="102"/>
      <c r="W5" s="102"/>
      <c r="X5" s="102"/>
      <c r="Y5" s="102"/>
      <c r="Z5" s="102"/>
      <c r="AA5" s="102"/>
      <c r="AB5" s="102"/>
      <c r="AC5" s="103"/>
    </row>
    <row r="6" spans="1:29" x14ac:dyDescent="0.35">
      <c r="A6" s="12"/>
      <c r="H6" s="102"/>
      <c r="I6" s="102"/>
      <c r="J6" s="102"/>
      <c r="K6" s="102"/>
      <c r="L6" s="102"/>
      <c r="M6" s="102"/>
      <c r="N6" s="102"/>
      <c r="O6" s="102"/>
      <c r="P6" s="103"/>
      <c r="Q6" s="102"/>
      <c r="R6" s="102"/>
      <c r="S6" s="102"/>
      <c r="T6" s="102"/>
      <c r="U6" s="102"/>
      <c r="V6" s="102"/>
      <c r="W6" s="102"/>
      <c r="X6" s="102"/>
      <c r="Y6" s="102"/>
      <c r="Z6" s="102"/>
      <c r="AA6" s="102"/>
      <c r="AB6" s="102"/>
      <c r="AC6" s="103"/>
    </row>
    <row r="7" spans="1:29" x14ac:dyDescent="0.35">
      <c r="A7" s="12"/>
      <c r="H7" s="102"/>
      <c r="I7" s="102"/>
      <c r="J7" s="102"/>
      <c r="K7" s="102"/>
      <c r="L7" s="102"/>
      <c r="M7" s="102"/>
      <c r="N7" s="102"/>
      <c r="O7" s="102"/>
      <c r="P7" s="103"/>
      <c r="Q7" s="102"/>
      <c r="R7" s="102"/>
      <c r="S7" s="102"/>
      <c r="T7" s="102"/>
      <c r="U7" s="102"/>
      <c r="V7" s="102"/>
      <c r="W7" s="102"/>
      <c r="X7" s="102"/>
      <c r="Y7" s="102"/>
      <c r="Z7" s="102"/>
      <c r="AA7" s="102"/>
      <c r="AB7" s="102"/>
      <c r="AC7" s="103"/>
    </row>
    <row r="8" spans="1:29" ht="19.95" customHeight="1" thickBot="1" x14ac:dyDescent="0.4">
      <c r="A8" s="12"/>
      <c r="B8" s="413" t="s">
        <v>174</v>
      </c>
      <c r="C8" s="413" t="s">
        <v>208</v>
      </c>
      <c r="D8" s="413" t="s">
        <v>119</v>
      </c>
      <c r="E8" s="414" t="str">
        <f>IF(Directions!G3&gt;0,Directions!G3+1,"Second Year")</f>
        <v>Second Year</v>
      </c>
      <c r="F8" s="413" t="s">
        <v>120</v>
      </c>
      <c r="G8" s="414" t="str">
        <f>IF(Directions!G3&gt;0,Directions!G3+2,"Third Year")</f>
        <v>Third Year</v>
      </c>
      <c r="H8" s="102"/>
      <c r="I8" s="102"/>
      <c r="J8" s="102"/>
      <c r="K8" s="102"/>
      <c r="L8" s="102"/>
      <c r="M8" s="102"/>
      <c r="N8" s="102"/>
      <c r="O8" s="102"/>
      <c r="P8" s="103"/>
      <c r="Q8" s="102"/>
      <c r="R8" s="102"/>
      <c r="S8" s="102"/>
      <c r="T8" s="102"/>
      <c r="U8" s="102"/>
      <c r="V8" s="102"/>
      <c r="W8" s="102"/>
      <c r="X8" s="102"/>
      <c r="Y8" s="102"/>
      <c r="Z8" s="102"/>
      <c r="AA8" s="102"/>
      <c r="AB8" s="102"/>
      <c r="AC8" s="103"/>
    </row>
    <row r="9" spans="1:29" ht="14.4" thickTop="1" x14ac:dyDescent="0.35">
      <c r="A9" s="104"/>
      <c r="B9" s="390" t="s">
        <v>121</v>
      </c>
      <c r="C9" s="397">
        <f>'2a-PayrollYear1'!R8</f>
        <v>0</v>
      </c>
      <c r="D9" s="398">
        <v>0.2</v>
      </c>
      <c r="E9" s="199">
        <f>C9*D9+C9</f>
        <v>0</v>
      </c>
      <c r="F9" s="398">
        <v>0.3</v>
      </c>
      <c r="G9" s="199">
        <f>E9*F9+E9</f>
        <v>0</v>
      </c>
      <c r="H9" s="103"/>
      <c r="I9" s="103"/>
      <c r="J9" s="103"/>
      <c r="K9" s="103"/>
      <c r="L9" s="103"/>
      <c r="M9" s="103"/>
      <c r="N9" s="103"/>
      <c r="O9" s="103"/>
      <c r="P9" s="103"/>
      <c r="Q9" s="103"/>
      <c r="R9" s="103"/>
      <c r="S9" s="103"/>
      <c r="T9" s="103"/>
      <c r="U9" s="103"/>
      <c r="V9" s="103"/>
      <c r="W9" s="103"/>
      <c r="X9" s="103"/>
      <c r="Y9" s="103"/>
      <c r="Z9" s="103"/>
      <c r="AA9" s="103"/>
      <c r="AB9" s="103"/>
      <c r="AC9" s="103"/>
    </row>
    <row r="10" spans="1:29" x14ac:dyDescent="0.35">
      <c r="A10" s="13"/>
      <c r="B10" s="9" t="s">
        <v>87</v>
      </c>
      <c r="C10" s="353">
        <f>'2a-PayrollYear1'!R9</f>
        <v>0</v>
      </c>
      <c r="D10" s="168">
        <v>0.2</v>
      </c>
      <c r="E10" s="105">
        <f>C10*D10+C10</f>
        <v>0</v>
      </c>
      <c r="F10" s="168">
        <v>0.3</v>
      </c>
      <c r="G10" s="105">
        <f>E10*F10+E10</f>
        <v>0</v>
      </c>
      <c r="H10" s="65"/>
      <c r="I10" s="65"/>
      <c r="J10" s="65"/>
      <c r="K10" s="65"/>
      <c r="L10" s="65"/>
      <c r="M10" s="65"/>
      <c r="N10" s="65"/>
      <c r="O10" s="65"/>
      <c r="P10" s="106"/>
      <c r="Q10" s="12"/>
      <c r="R10" s="12"/>
      <c r="S10" s="12"/>
      <c r="T10" s="65"/>
      <c r="U10" s="65"/>
      <c r="V10" s="65"/>
      <c r="W10" s="65"/>
      <c r="X10" s="65"/>
      <c r="Y10" s="65"/>
      <c r="Z10" s="65"/>
      <c r="AA10" s="65"/>
      <c r="AB10" s="65"/>
      <c r="AC10" s="106"/>
    </row>
    <row r="11" spans="1:29" x14ac:dyDescent="0.35">
      <c r="A11" s="101"/>
      <c r="B11" s="9" t="s">
        <v>88</v>
      </c>
      <c r="C11" s="353">
        <f>'2a-PayrollYear1'!R10</f>
        <v>0</v>
      </c>
      <c r="D11" s="168">
        <v>0.1</v>
      </c>
      <c r="E11" s="105">
        <f>C11*D11+C11</f>
        <v>0</v>
      </c>
      <c r="F11" s="168">
        <v>0.3</v>
      </c>
      <c r="G11" s="105">
        <f>E11*F11+E11</f>
        <v>0</v>
      </c>
      <c r="H11" s="101"/>
      <c r="I11" s="101"/>
      <c r="J11" s="101"/>
      <c r="K11" s="101"/>
      <c r="L11" s="101"/>
      <c r="M11" s="101"/>
      <c r="N11" s="101"/>
      <c r="O11" s="101"/>
      <c r="P11" s="101"/>
      <c r="Q11" s="101"/>
      <c r="R11" s="101"/>
      <c r="S11" s="101"/>
      <c r="T11" s="101"/>
      <c r="U11" s="101"/>
      <c r="V11" s="101"/>
      <c r="W11" s="101"/>
      <c r="X11" s="101"/>
      <c r="Y11" s="101"/>
      <c r="Z11" s="101"/>
      <c r="AA11" s="101"/>
      <c r="AB11" s="101"/>
      <c r="AC11" s="101"/>
    </row>
    <row r="12" spans="1:29" x14ac:dyDescent="0.35">
      <c r="A12" s="12"/>
      <c r="B12" s="9" t="s">
        <v>89</v>
      </c>
      <c r="C12" s="353">
        <f>'2a-PayrollYear1'!R11</f>
        <v>0</v>
      </c>
      <c r="D12" s="168">
        <v>0.03</v>
      </c>
      <c r="E12" s="105">
        <f>C12*D12+C12</f>
        <v>0</v>
      </c>
      <c r="F12" s="168">
        <v>0.03</v>
      </c>
      <c r="G12" s="105">
        <f>E12*F12+E12</f>
        <v>0</v>
      </c>
      <c r="H12" s="102"/>
      <c r="I12" s="102"/>
      <c r="J12" s="102"/>
      <c r="K12" s="102"/>
      <c r="L12" s="102"/>
      <c r="M12" s="102"/>
      <c r="N12" s="102"/>
      <c r="O12" s="102"/>
      <c r="P12" s="103"/>
      <c r="Q12" s="102"/>
      <c r="R12" s="102"/>
      <c r="S12" s="102"/>
      <c r="T12" s="102"/>
      <c r="U12" s="102"/>
      <c r="V12" s="102"/>
      <c r="W12" s="102"/>
      <c r="X12" s="102"/>
      <c r="Y12" s="102"/>
      <c r="Z12" s="102"/>
      <c r="AA12" s="102"/>
      <c r="AB12" s="102"/>
      <c r="AC12" s="103"/>
    </row>
    <row r="13" spans="1:29" x14ac:dyDescent="0.35">
      <c r="A13" s="12"/>
      <c r="B13" s="47" t="s">
        <v>90</v>
      </c>
      <c r="C13" s="83">
        <f>SUM(C9:C12)</f>
        <v>0</v>
      </c>
      <c r="D13" s="107"/>
      <c r="E13" s="108">
        <f>SUM(E9:E12)</f>
        <v>0</v>
      </c>
      <c r="F13" s="107"/>
      <c r="G13" s="108">
        <f>SUM(G9:G12)</f>
        <v>0</v>
      </c>
      <c r="H13" s="102"/>
      <c r="I13" s="102"/>
      <c r="J13" s="102"/>
      <c r="K13" s="102"/>
      <c r="L13" s="102"/>
      <c r="M13" s="102"/>
      <c r="N13" s="102"/>
      <c r="O13" s="102"/>
      <c r="P13" s="103"/>
      <c r="Q13" s="102"/>
      <c r="R13" s="102"/>
      <c r="S13" s="102"/>
      <c r="T13" s="102"/>
      <c r="U13" s="102"/>
      <c r="V13" s="102"/>
      <c r="W13" s="102"/>
      <c r="X13" s="102"/>
      <c r="Y13" s="102"/>
      <c r="Z13" s="102"/>
      <c r="AA13" s="102"/>
      <c r="AB13" s="102"/>
      <c r="AC13" s="103"/>
    </row>
    <row r="14" spans="1:29" x14ac:dyDescent="0.35">
      <c r="A14" s="12"/>
      <c r="B14" s="47"/>
      <c r="C14" s="52"/>
      <c r="D14" s="107"/>
      <c r="E14" s="105"/>
      <c r="F14" s="107"/>
      <c r="G14" s="105"/>
      <c r="H14" s="102"/>
      <c r="I14" s="102"/>
      <c r="J14" s="102"/>
      <c r="K14" s="102"/>
      <c r="L14" s="102"/>
      <c r="M14" s="102"/>
      <c r="N14" s="102"/>
      <c r="O14" s="102"/>
      <c r="P14" s="103"/>
      <c r="Q14" s="102"/>
      <c r="R14" s="102"/>
      <c r="S14" s="102"/>
      <c r="T14" s="102"/>
      <c r="U14" s="102"/>
      <c r="V14" s="102"/>
      <c r="W14" s="102"/>
      <c r="X14" s="102"/>
      <c r="Y14" s="102"/>
      <c r="Z14" s="102"/>
      <c r="AA14" s="102"/>
      <c r="AB14" s="102"/>
      <c r="AC14" s="103"/>
    </row>
    <row r="15" spans="1:29" ht="14.4" thickBot="1" x14ac:dyDescent="0.4">
      <c r="A15" s="12"/>
      <c r="B15" s="413" t="s">
        <v>91</v>
      </c>
      <c r="C15" s="413"/>
      <c r="D15" s="415"/>
      <c r="E15" s="414"/>
      <c r="F15" s="415"/>
      <c r="G15" s="414"/>
      <c r="H15" s="102"/>
      <c r="I15" s="102"/>
      <c r="J15" s="102"/>
      <c r="K15" s="102"/>
      <c r="L15" s="102"/>
      <c r="M15" s="102"/>
      <c r="N15" s="102"/>
      <c r="O15" s="102"/>
      <c r="P15" s="103"/>
      <c r="Q15" s="102"/>
      <c r="R15" s="102"/>
      <c r="S15" s="102"/>
      <c r="T15" s="102"/>
      <c r="U15" s="102"/>
      <c r="V15" s="102"/>
      <c r="W15" s="102"/>
      <c r="X15" s="102"/>
      <c r="Y15" s="102"/>
      <c r="Z15" s="102"/>
      <c r="AA15" s="102"/>
      <c r="AB15" s="102"/>
      <c r="AC15" s="103"/>
    </row>
    <row r="16" spans="1:29" ht="14.4" thickTop="1" x14ac:dyDescent="0.35">
      <c r="A16" s="12"/>
      <c r="B16" s="390" t="s">
        <v>92</v>
      </c>
      <c r="C16" s="397">
        <f>'2a-PayrollYear1'!R15</f>
        <v>0</v>
      </c>
      <c r="D16" s="398">
        <v>0.2</v>
      </c>
      <c r="E16" s="199">
        <f t="shared" ref="E16:E23" si="0">C16*D16+C16</f>
        <v>0</v>
      </c>
      <c r="F16" s="398">
        <v>0.3</v>
      </c>
      <c r="G16" s="199">
        <f>E16*F16+E16</f>
        <v>0</v>
      </c>
      <c r="H16" s="102"/>
      <c r="I16" s="102"/>
      <c r="J16" s="102"/>
      <c r="K16" s="102"/>
      <c r="L16" s="102"/>
      <c r="M16" s="102"/>
      <c r="N16" s="102"/>
      <c r="O16" s="102"/>
      <c r="P16" s="103"/>
      <c r="Q16" s="102"/>
      <c r="R16" s="102"/>
      <c r="S16" s="102"/>
      <c r="T16" s="102"/>
      <c r="U16" s="102"/>
      <c r="V16" s="102"/>
      <c r="W16" s="102"/>
      <c r="X16" s="102"/>
      <c r="Y16" s="102"/>
      <c r="Z16" s="102"/>
      <c r="AA16" s="102"/>
      <c r="AB16" s="102"/>
      <c r="AC16" s="103"/>
    </row>
    <row r="17" spans="1:29" x14ac:dyDescent="0.35">
      <c r="A17" s="12"/>
      <c r="B17" s="9" t="s">
        <v>93</v>
      </c>
      <c r="C17" s="353">
        <f>'2a-PayrollYear1'!R16</f>
        <v>0</v>
      </c>
      <c r="D17" s="168">
        <v>0.2</v>
      </c>
      <c r="E17" s="105">
        <f t="shared" si="0"/>
        <v>0</v>
      </c>
      <c r="F17" s="168">
        <v>0.3</v>
      </c>
      <c r="G17" s="105">
        <f t="shared" ref="G17:G23" si="1">E17*F17+E17</f>
        <v>0</v>
      </c>
      <c r="H17" s="102"/>
      <c r="I17" s="102"/>
      <c r="J17" s="102"/>
      <c r="K17" s="102"/>
      <c r="L17" s="102"/>
      <c r="M17" s="102"/>
      <c r="N17" s="102"/>
      <c r="O17" s="102"/>
      <c r="P17" s="103"/>
      <c r="Q17" s="102"/>
      <c r="R17" s="102"/>
      <c r="S17" s="102"/>
      <c r="T17" s="102"/>
      <c r="U17" s="102"/>
      <c r="V17" s="102"/>
      <c r="W17" s="102"/>
      <c r="X17" s="102"/>
      <c r="Y17" s="102"/>
      <c r="Z17" s="102"/>
      <c r="AA17" s="102"/>
      <c r="AB17" s="102"/>
      <c r="AC17" s="103"/>
    </row>
    <row r="18" spans="1:29" x14ac:dyDescent="0.35">
      <c r="A18" s="12"/>
      <c r="B18" s="9" t="s">
        <v>94</v>
      </c>
      <c r="C18" s="353">
        <f>'2a-PayrollYear1'!R17</f>
        <v>0</v>
      </c>
      <c r="D18" s="168">
        <v>0.2</v>
      </c>
      <c r="E18" s="105">
        <f t="shared" si="0"/>
        <v>0</v>
      </c>
      <c r="F18" s="168">
        <v>0.3</v>
      </c>
      <c r="G18" s="105">
        <f t="shared" si="1"/>
        <v>0</v>
      </c>
      <c r="H18" s="102"/>
      <c r="I18" s="102"/>
      <c r="J18" s="102"/>
      <c r="K18" s="102"/>
      <c r="L18" s="102"/>
      <c r="M18" s="102"/>
      <c r="N18" s="102"/>
      <c r="O18" s="102"/>
      <c r="P18" s="103"/>
      <c r="Q18" s="102"/>
      <c r="R18" s="102"/>
      <c r="S18" s="102"/>
      <c r="T18" s="102"/>
      <c r="U18" s="102"/>
      <c r="V18" s="102"/>
      <c r="W18" s="102"/>
      <c r="X18" s="102"/>
      <c r="Y18" s="102"/>
      <c r="Z18" s="102"/>
      <c r="AA18" s="102"/>
      <c r="AB18" s="102"/>
      <c r="AC18" s="103"/>
    </row>
    <row r="19" spans="1:29" x14ac:dyDescent="0.35">
      <c r="A19" s="12"/>
      <c r="B19" s="9" t="s">
        <v>95</v>
      </c>
      <c r="C19" s="353">
        <f>'2a-PayrollYear1'!R18</f>
        <v>0</v>
      </c>
      <c r="D19" s="168">
        <v>0.2</v>
      </c>
      <c r="E19" s="105">
        <f t="shared" si="0"/>
        <v>0</v>
      </c>
      <c r="F19" s="168">
        <v>0.3</v>
      </c>
      <c r="G19" s="105">
        <f t="shared" si="1"/>
        <v>0</v>
      </c>
      <c r="H19" s="102"/>
      <c r="I19" s="102"/>
      <c r="J19" s="102"/>
      <c r="K19" s="102"/>
      <c r="L19" s="102"/>
      <c r="M19" s="102"/>
      <c r="N19" s="102"/>
      <c r="O19" s="102"/>
      <c r="P19" s="103"/>
      <c r="Q19" s="102"/>
      <c r="R19" s="102"/>
      <c r="S19" s="102"/>
      <c r="T19" s="102"/>
      <c r="U19" s="102"/>
      <c r="V19" s="102"/>
      <c r="W19" s="102"/>
      <c r="X19" s="102"/>
      <c r="Y19" s="102"/>
      <c r="Z19" s="102"/>
      <c r="AA19" s="102"/>
      <c r="AB19" s="102"/>
      <c r="AC19" s="103"/>
    </row>
    <row r="20" spans="1:29" x14ac:dyDescent="0.35">
      <c r="A20" s="104"/>
      <c r="B20" s="9" t="s">
        <v>96</v>
      </c>
      <c r="C20" s="353">
        <f>'2a-PayrollYear1'!R19</f>
        <v>0</v>
      </c>
      <c r="D20" s="168">
        <v>0</v>
      </c>
      <c r="E20" s="105">
        <f t="shared" si="0"/>
        <v>0</v>
      </c>
      <c r="F20" s="168">
        <v>0</v>
      </c>
      <c r="G20" s="105">
        <f t="shared" si="1"/>
        <v>0</v>
      </c>
      <c r="H20" s="110"/>
      <c r="I20" s="110"/>
      <c r="J20" s="110"/>
      <c r="K20" s="110"/>
      <c r="L20" s="110"/>
      <c r="M20" s="110"/>
      <c r="N20" s="110"/>
      <c r="O20" s="110"/>
      <c r="P20" s="111"/>
      <c r="Q20" s="110"/>
      <c r="R20" s="110"/>
      <c r="S20" s="110"/>
      <c r="T20" s="110"/>
      <c r="U20" s="110"/>
      <c r="V20" s="110"/>
      <c r="W20" s="110"/>
      <c r="X20" s="110"/>
      <c r="Y20" s="110"/>
      <c r="Z20" s="110"/>
      <c r="AA20" s="110"/>
      <c r="AB20" s="110"/>
      <c r="AC20" s="111"/>
    </row>
    <row r="21" spans="1:29" x14ac:dyDescent="0.35">
      <c r="A21" s="13"/>
      <c r="B21" s="9" t="s">
        <v>97</v>
      </c>
      <c r="C21" s="353">
        <f>'2a-PayrollYear1'!R20</f>
        <v>0</v>
      </c>
      <c r="D21" s="168">
        <v>0.03</v>
      </c>
      <c r="E21" s="105">
        <f t="shared" si="0"/>
        <v>0</v>
      </c>
      <c r="F21" s="168">
        <v>0.03</v>
      </c>
      <c r="G21" s="105">
        <f t="shared" si="1"/>
        <v>0</v>
      </c>
      <c r="H21" s="65"/>
      <c r="I21" s="65"/>
      <c r="J21" s="65"/>
      <c r="K21" s="65"/>
      <c r="L21" s="65"/>
      <c r="M21" s="65"/>
      <c r="N21" s="65"/>
      <c r="O21" s="65"/>
      <c r="P21" s="65"/>
      <c r="Q21" s="12"/>
      <c r="R21" s="12"/>
      <c r="S21" s="12"/>
      <c r="T21" s="65"/>
      <c r="U21" s="65"/>
      <c r="V21" s="65"/>
      <c r="W21" s="65"/>
      <c r="X21" s="65"/>
      <c r="Y21" s="65"/>
      <c r="Z21" s="65"/>
      <c r="AA21" s="65"/>
      <c r="AB21" s="65"/>
      <c r="AC21" s="65"/>
    </row>
    <row r="22" spans="1:29" x14ac:dyDescent="0.35">
      <c r="A22" s="104"/>
      <c r="B22" s="9" t="s">
        <v>98</v>
      </c>
      <c r="C22" s="353">
        <f>'2a-PayrollYear1'!R21</f>
        <v>0</v>
      </c>
      <c r="D22" s="168">
        <v>0.03</v>
      </c>
      <c r="E22" s="105">
        <f t="shared" si="0"/>
        <v>0</v>
      </c>
      <c r="F22" s="168">
        <v>0.03</v>
      </c>
      <c r="G22" s="105">
        <f t="shared" si="1"/>
        <v>0</v>
      </c>
      <c r="H22" s="112"/>
      <c r="I22" s="112"/>
      <c r="J22" s="112"/>
      <c r="K22" s="112"/>
      <c r="L22" s="112"/>
      <c r="M22" s="112"/>
      <c r="N22" s="112"/>
      <c r="O22" s="112"/>
      <c r="P22" s="113"/>
      <c r="Q22" s="112"/>
      <c r="R22" s="112"/>
      <c r="S22" s="112"/>
      <c r="T22" s="112"/>
      <c r="U22" s="112"/>
      <c r="V22" s="112"/>
      <c r="W22" s="112"/>
      <c r="X22" s="112"/>
      <c r="Y22" s="112"/>
      <c r="Z22" s="112"/>
      <c r="AA22" s="112"/>
      <c r="AB22" s="112"/>
      <c r="AC22" s="113"/>
    </row>
    <row r="23" spans="1:29" x14ac:dyDescent="0.35">
      <c r="B23" s="9" t="s">
        <v>99</v>
      </c>
      <c r="C23" s="353">
        <f>'2a-PayrollYear1'!R22</f>
        <v>0</v>
      </c>
      <c r="D23" s="168">
        <v>0.1</v>
      </c>
      <c r="E23" s="105">
        <f t="shared" si="0"/>
        <v>0</v>
      </c>
      <c r="F23" s="168">
        <v>0.1</v>
      </c>
      <c r="G23" s="105">
        <f t="shared" si="1"/>
        <v>0</v>
      </c>
    </row>
    <row r="24" spans="1:29" x14ac:dyDescent="0.35">
      <c r="B24" s="47" t="s">
        <v>100</v>
      </c>
      <c r="C24" s="82">
        <f>SUM(C16:C23)</f>
        <v>0</v>
      </c>
      <c r="D24" s="107"/>
      <c r="E24" s="108">
        <f>SUM(E16:E23)</f>
        <v>0</v>
      </c>
      <c r="F24" s="107"/>
      <c r="G24" s="108">
        <f>SUM(G16:G23)</f>
        <v>0</v>
      </c>
    </row>
    <row r="25" spans="1:29" x14ac:dyDescent="0.35">
      <c r="A25" s="101"/>
      <c r="B25" s="47"/>
      <c r="C25" s="9"/>
      <c r="D25" s="107"/>
      <c r="E25" s="105"/>
      <c r="F25" s="107"/>
      <c r="G25" s="105"/>
      <c r="H25" s="101"/>
      <c r="I25" s="101"/>
      <c r="J25" s="101"/>
      <c r="K25" s="101"/>
      <c r="L25" s="101"/>
      <c r="M25" s="101"/>
      <c r="N25" s="101"/>
      <c r="O25" s="101"/>
      <c r="P25" s="101"/>
    </row>
    <row r="26" spans="1:29" x14ac:dyDescent="0.35">
      <c r="A26" s="12"/>
      <c r="B26" s="47" t="s">
        <v>101</v>
      </c>
      <c r="C26" s="48">
        <f>SUM(C13+C24)</f>
        <v>0</v>
      </c>
      <c r="D26" s="107"/>
      <c r="E26" s="114">
        <f>SUM(E13+E24)</f>
        <v>0</v>
      </c>
      <c r="F26" s="107"/>
      <c r="G26" s="114">
        <f>SUM(G13+G24)</f>
        <v>0</v>
      </c>
      <c r="H26" s="102"/>
      <c r="I26" s="102"/>
      <c r="J26" s="102"/>
      <c r="K26" s="102"/>
      <c r="L26" s="102"/>
      <c r="M26" s="102"/>
      <c r="N26" s="102"/>
      <c r="O26" s="102"/>
      <c r="P26" s="103"/>
    </row>
    <row r="27" spans="1:29" x14ac:dyDescent="0.35">
      <c r="A27" s="12"/>
      <c r="D27" s="115"/>
      <c r="E27" s="116"/>
      <c r="F27" s="115"/>
      <c r="G27" s="116"/>
      <c r="H27" s="102"/>
      <c r="I27" s="102"/>
      <c r="J27" s="102"/>
      <c r="K27" s="102"/>
      <c r="L27" s="102"/>
      <c r="M27" s="102"/>
      <c r="N27" s="102"/>
      <c r="O27" s="102"/>
      <c r="P27" s="103"/>
    </row>
    <row r="28" spans="1:29" x14ac:dyDescent="0.35">
      <c r="A28" s="12"/>
      <c r="D28" s="115"/>
      <c r="E28" s="116"/>
      <c r="F28" s="115"/>
      <c r="G28" s="116"/>
      <c r="H28" s="102"/>
      <c r="I28" s="102"/>
      <c r="J28" s="102"/>
      <c r="K28" s="102"/>
      <c r="L28" s="102"/>
      <c r="M28" s="102"/>
      <c r="N28" s="102"/>
      <c r="O28" s="102"/>
      <c r="P28" s="103"/>
    </row>
    <row r="29" spans="1:29" x14ac:dyDescent="0.35">
      <c r="A29" s="12"/>
      <c r="B29" s="117"/>
      <c r="C29" s="117"/>
      <c r="D29" s="115"/>
      <c r="E29" s="116"/>
      <c r="F29" s="115"/>
      <c r="G29" s="116"/>
      <c r="H29" s="102"/>
      <c r="I29" s="102"/>
      <c r="J29" s="102"/>
      <c r="K29" s="102"/>
      <c r="L29" s="102"/>
      <c r="M29" s="102"/>
      <c r="N29" s="102"/>
      <c r="O29" s="102"/>
      <c r="P29" s="103"/>
    </row>
    <row r="30" spans="1:29" x14ac:dyDescent="0.35">
      <c r="A30" s="104"/>
      <c r="B30" s="118"/>
      <c r="C30" s="102"/>
      <c r="D30" s="115"/>
      <c r="E30" s="116"/>
      <c r="F30" s="115"/>
      <c r="G30" s="116"/>
      <c r="H30" s="103"/>
      <c r="I30" s="103"/>
      <c r="J30" s="103"/>
      <c r="K30" s="103"/>
      <c r="L30" s="103"/>
      <c r="M30" s="103"/>
      <c r="N30" s="103"/>
      <c r="O30" s="103"/>
      <c r="P30" s="103"/>
    </row>
    <row r="31" spans="1:29" x14ac:dyDescent="0.35">
      <c r="A31" s="13"/>
      <c r="B31" s="118"/>
      <c r="C31" s="102"/>
      <c r="D31" s="115"/>
      <c r="E31" s="116"/>
      <c r="F31" s="115"/>
      <c r="G31" s="116"/>
      <c r="H31" s="65"/>
      <c r="I31" s="65"/>
      <c r="J31" s="65"/>
      <c r="K31" s="65"/>
      <c r="L31" s="65"/>
      <c r="M31" s="65"/>
      <c r="N31" s="65"/>
      <c r="O31" s="65"/>
      <c r="P31" s="106"/>
    </row>
    <row r="32" spans="1:29" x14ac:dyDescent="0.35">
      <c r="A32" s="101"/>
      <c r="B32" s="118"/>
      <c r="C32" s="102"/>
      <c r="D32" s="115"/>
      <c r="E32" s="116"/>
      <c r="F32" s="115"/>
      <c r="G32" s="116"/>
      <c r="H32" s="101"/>
      <c r="I32" s="101"/>
      <c r="J32" s="101"/>
      <c r="K32" s="101"/>
      <c r="L32" s="101"/>
      <c r="M32" s="101"/>
      <c r="N32" s="101"/>
      <c r="O32" s="101"/>
      <c r="P32" s="101"/>
    </row>
    <row r="33" spans="1:16" x14ac:dyDescent="0.35">
      <c r="A33" s="12"/>
      <c r="B33" s="118"/>
      <c r="C33" s="102"/>
      <c r="D33" s="115"/>
      <c r="E33" s="116"/>
      <c r="F33" s="115"/>
      <c r="G33" s="116"/>
      <c r="H33" s="102"/>
      <c r="I33" s="102"/>
      <c r="J33" s="102"/>
      <c r="K33" s="102"/>
      <c r="L33" s="102"/>
      <c r="M33" s="102"/>
      <c r="N33" s="102"/>
      <c r="O33" s="102"/>
      <c r="P33" s="103"/>
    </row>
    <row r="34" spans="1:16" x14ac:dyDescent="0.35">
      <c r="A34" s="12"/>
      <c r="B34" s="104"/>
      <c r="C34" s="119"/>
      <c r="D34" s="96"/>
      <c r="E34" s="120"/>
      <c r="F34" s="96"/>
      <c r="G34" s="120"/>
      <c r="H34" s="102"/>
      <c r="I34" s="102"/>
      <c r="J34" s="102"/>
      <c r="K34" s="102"/>
      <c r="L34" s="102"/>
      <c r="M34" s="102"/>
      <c r="N34" s="102"/>
      <c r="O34" s="102"/>
      <c r="P34" s="103"/>
    </row>
    <row r="35" spans="1:16" x14ac:dyDescent="0.35">
      <c r="A35" s="12"/>
      <c r="B35" s="13"/>
      <c r="C35" s="121"/>
      <c r="D35" s="106"/>
      <c r="E35" s="12"/>
      <c r="F35" s="12"/>
      <c r="G35" s="65"/>
      <c r="H35" s="102"/>
      <c r="I35" s="102"/>
      <c r="J35" s="102"/>
      <c r="K35" s="102"/>
      <c r="L35" s="102"/>
      <c r="M35" s="102"/>
      <c r="N35" s="102"/>
      <c r="O35" s="102"/>
      <c r="P35" s="103"/>
    </row>
    <row r="36" spans="1:16" x14ac:dyDescent="0.35">
      <c r="A36" s="12"/>
      <c r="B36" s="104"/>
      <c r="C36" s="122"/>
      <c r="D36" s="101"/>
      <c r="E36" s="101"/>
      <c r="F36" s="101"/>
      <c r="G36" s="101"/>
      <c r="H36" s="102"/>
      <c r="I36" s="102"/>
      <c r="J36" s="102"/>
      <c r="K36" s="102"/>
      <c r="L36" s="102"/>
      <c r="M36" s="102"/>
      <c r="N36" s="102"/>
      <c r="O36" s="102"/>
      <c r="P36" s="103"/>
    </row>
    <row r="37" spans="1:16" x14ac:dyDescent="0.35">
      <c r="A37" s="12"/>
      <c r="B37" s="12"/>
      <c r="C37" s="123"/>
      <c r="D37" s="103"/>
      <c r="E37" s="102"/>
      <c r="F37" s="102"/>
      <c r="G37" s="102"/>
      <c r="H37" s="102"/>
      <c r="I37" s="102"/>
      <c r="J37" s="102"/>
      <c r="K37" s="102"/>
      <c r="L37" s="102"/>
      <c r="M37" s="102"/>
      <c r="N37" s="102"/>
      <c r="O37" s="102"/>
      <c r="P37" s="103"/>
    </row>
    <row r="38" spans="1:16" x14ac:dyDescent="0.35">
      <c r="A38" s="12"/>
      <c r="B38" s="12"/>
      <c r="C38" s="123"/>
      <c r="D38" s="103"/>
      <c r="E38" s="102"/>
      <c r="F38" s="102"/>
      <c r="G38" s="102"/>
      <c r="H38" s="102"/>
      <c r="I38" s="102"/>
      <c r="J38" s="102"/>
      <c r="K38" s="102"/>
      <c r="L38" s="102"/>
      <c r="M38" s="102"/>
      <c r="N38" s="102"/>
      <c r="O38" s="102"/>
      <c r="P38" s="103"/>
    </row>
    <row r="39" spans="1:16" x14ac:dyDescent="0.35">
      <c r="A39" s="12"/>
      <c r="B39" s="12"/>
      <c r="C39" s="123"/>
      <c r="D39" s="103"/>
      <c r="E39" s="102"/>
      <c r="F39" s="102"/>
      <c r="G39" s="102"/>
      <c r="H39" s="102"/>
      <c r="I39" s="102"/>
      <c r="J39" s="102"/>
      <c r="K39" s="102"/>
      <c r="L39" s="102"/>
      <c r="M39" s="102"/>
      <c r="N39" s="102"/>
      <c r="O39" s="102"/>
      <c r="P39" s="103"/>
    </row>
    <row r="40" spans="1:16" x14ac:dyDescent="0.35">
      <c r="A40" s="12"/>
      <c r="B40" s="12"/>
      <c r="C40" s="123"/>
      <c r="D40" s="103"/>
      <c r="E40" s="102"/>
      <c r="F40" s="102"/>
      <c r="G40" s="102"/>
      <c r="H40" s="102"/>
      <c r="I40" s="102"/>
      <c r="J40" s="102"/>
      <c r="K40" s="102"/>
      <c r="L40" s="102"/>
      <c r="M40" s="102"/>
      <c r="N40" s="102"/>
      <c r="O40" s="102"/>
      <c r="P40" s="103"/>
    </row>
    <row r="41" spans="1:16" x14ac:dyDescent="0.35">
      <c r="A41" s="104"/>
      <c r="B41" s="12"/>
      <c r="C41" s="123"/>
      <c r="D41" s="103"/>
      <c r="E41" s="102"/>
      <c r="F41" s="102"/>
      <c r="G41" s="102"/>
      <c r="H41" s="110"/>
      <c r="I41" s="110"/>
      <c r="J41" s="110"/>
      <c r="K41" s="110"/>
      <c r="L41" s="110"/>
      <c r="M41" s="110"/>
      <c r="N41" s="110"/>
      <c r="O41" s="110"/>
      <c r="P41" s="111"/>
    </row>
    <row r="42" spans="1:16" x14ac:dyDescent="0.35">
      <c r="A42" s="13"/>
      <c r="B42" s="12"/>
      <c r="C42" s="123"/>
      <c r="D42" s="103"/>
      <c r="E42" s="102"/>
      <c r="F42" s="102"/>
      <c r="G42" s="102"/>
      <c r="H42" s="65"/>
      <c r="I42" s="65"/>
      <c r="J42" s="65"/>
      <c r="K42" s="65"/>
      <c r="L42" s="65"/>
      <c r="M42" s="65"/>
      <c r="N42" s="65"/>
      <c r="O42" s="65"/>
      <c r="P42" s="65"/>
    </row>
    <row r="43" spans="1:16" x14ac:dyDescent="0.35">
      <c r="A43" s="104"/>
      <c r="B43" s="12"/>
      <c r="C43" s="123"/>
      <c r="D43" s="103"/>
      <c r="E43" s="102"/>
      <c r="F43" s="102"/>
      <c r="G43" s="102"/>
      <c r="H43" s="112"/>
      <c r="I43" s="112"/>
      <c r="J43" s="112"/>
      <c r="K43" s="112"/>
      <c r="L43" s="112"/>
      <c r="M43" s="112"/>
      <c r="N43" s="112"/>
      <c r="O43" s="112"/>
      <c r="P43" s="113"/>
    </row>
    <row r="44" spans="1:16" x14ac:dyDescent="0.35">
      <c r="B44" s="12"/>
      <c r="C44" s="123"/>
      <c r="D44" s="103"/>
      <c r="E44" s="102"/>
      <c r="F44" s="102"/>
      <c r="G44" s="102"/>
    </row>
    <row r="45" spans="1:16" x14ac:dyDescent="0.35">
      <c r="B45" s="104"/>
      <c r="C45" s="124"/>
      <c r="D45" s="111"/>
      <c r="E45" s="110"/>
      <c r="F45" s="110"/>
      <c r="G45" s="110"/>
    </row>
    <row r="46" spans="1:16" x14ac:dyDescent="0.35">
      <c r="B46" s="13"/>
      <c r="C46" s="121"/>
      <c r="D46" s="65"/>
      <c r="E46" s="12"/>
      <c r="F46" s="12"/>
      <c r="G46" s="65"/>
    </row>
    <row r="47" spans="1:16" x14ac:dyDescent="0.35">
      <c r="B47" s="104"/>
      <c r="C47" s="125"/>
      <c r="D47" s="113"/>
      <c r="E47" s="112"/>
      <c r="F47" s="112"/>
      <c r="G47" s="112"/>
    </row>
  </sheetData>
  <sheetProtection password="CC3D" sheet="1" objects="1" scenarios="1" formatColumns="0" formatRows="0"/>
  <mergeCells count="2">
    <mergeCell ref="C4:D4"/>
    <mergeCell ref="C5:D5"/>
  </mergeCells>
  <phoneticPr fontId="3" type="noConversion"/>
  <pageMargins left="0.7" right="0.7" top="0.75" bottom="0.75" header="0.3" footer="0.3"/>
  <pageSetup orientation="landscape" r:id="rId1"/>
  <headerFooter scaleWithDoc="0">
    <oddHeader>&amp;C&amp;"Gill Sans MT,Regular"&amp;12Payroll Years 1-3</oddHeader>
    <oddFooter>&amp;L&amp;F&amp;C&amp;A&amp;R&amp;D &amp;T</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C95B"/>
    <pageSetUpPr fitToPage="1"/>
  </sheetPr>
  <dimension ref="A1:S60"/>
  <sheetViews>
    <sheetView topLeftCell="A4" zoomScaleNormal="100" zoomScalePageLayoutView="50" workbookViewId="0">
      <selection activeCell="B9" sqref="B9"/>
    </sheetView>
  </sheetViews>
  <sheetFormatPr defaultColWidth="8.88671875" defaultRowHeight="13.8" x14ac:dyDescent="0.35"/>
  <cols>
    <col min="1" max="1" width="8.109375" style="63" customWidth="1"/>
    <col min="2" max="2" width="28.33203125" style="71" bestFit="1" customWidth="1"/>
    <col min="3" max="3" width="17.44140625" style="71" bestFit="1" customWidth="1"/>
    <col min="4" max="4" width="12.44140625" style="71" bestFit="1" customWidth="1"/>
    <col min="5" max="5" width="11.33203125" style="71" bestFit="1" customWidth="1"/>
    <col min="6" max="6" width="18.33203125" style="71" bestFit="1" customWidth="1"/>
    <col min="7" max="10" width="10.33203125" style="71" bestFit="1" customWidth="1"/>
    <col min="11" max="11" width="11.88671875" style="71" bestFit="1" customWidth="1"/>
    <col min="12" max="12" width="10.33203125" style="71" bestFit="1" customWidth="1"/>
    <col min="13" max="14" width="11.109375" style="71" bestFit="1" customWidth="1"/>
    <col min="15" max="15" width="16.33203125" style="71" bestFit="1" customWidth="1"/>
    <col min="16" max="16" width="12" style="71" bestFit="1" customWidth="1"/>
    <col min="17" max="17" width="13.6640625" style="63" bestFit="1" customWidth="1"/>
    <col min="18" max="16384" width="8.88671875" style="71"/>
  </cols>
  <sheetData>
    <row r="1" spans="2:19" x14ac:dyDescent="0.35">
      <c r="B1" s="63"/>
      <c r="C1" s="63"/>
      <c r="D1" s="63"/>
      <c r="E1" s="63"/>
      <c r="F1" s="63"/>
      <c r="G1" s="63"/>
      <c r="H1" s="63"/>
      <c r="I1" s="63"/>
      <c r="J1" s="63"/>
      <c r="K1" s="63"/>
      <c r="L1" s="63"/>
      <c r="M1" s="63"/>
      <c r="N1" s="63"/>
      <c r="O1" s="63"/>
      <c r="P1" s="63"/>
    </row>
    <row r="2" spans="2:19" x14ac:dyDescent="0.35">
      <c r="B2" s="608" t="s">
        <v>329</v>
      </c>
      <c r="C2" s="608"/>
      <c r="D2" s="77"/>
      <c r="E2" s="63"/>
      <c r="F2" s="63"/>
      <c r="G2" s="63"/>
      <c r="H2" s="63"/>
      <c r="I2" s="63"/>
      <c r="J2" s="63"/>
      <c r="K2" s="63"/>
      <c r="L2" s="63"/>
      <c r="M2" s="63"/>
      <c r="N2" s="63"/>
      <c r="O2" s="63"/>
      <c r="P2" s="63"/>
    </row>
    <row r="3" spans="2:19" x14ac:dyDescent="0.35">
      <c r="B3" s="77"/>
      <c r="C3" s="77"/>
      <c r="D3" s="77"/>
      <c r="E3" s="63"/>
      <c r="F3" s="63"/>
      <c r="G3" s="63"/>
      <c r="H3" s="63"/>
      <c r="I3" s="63"/>
      <c r="J3" s="63"/>
      <c r="K3" s="63"/>
      <c r="L3" s="63"/>
      <c r="M3" s="63"/>
      <c r="N3" s="63"/>
      <c r="O3" s="63"/>
      <c r="P3" s="63"/>
    </row>
    <row r="4" spans="2:19" x14ac:dyDescent="0.35">
      <c r="B4" s="79" t="s">
        <v>130</v>
      </c>
      <c r="C4" s="79" t="s">
        <v>131</v>
      </c>
      <c r="D4" s="77"/>
      <c r="E4" s="63"/>
      <c r="F4" s="63"/>
      <c r="G4" s="63"/>
      <c r="H4" s="63"/>
      <c r="I4" s="63"/>
      <c r="J4" s="63"/>
      <c r="K4" s="63"/>
      <c r="L4" s="63"/>
      <c r="M4" s="63"/>
      <c r="N4" s="63"/>
      <c r="O4" s="63"/>
      <c r="P4" s="63"/>
    </row>
    <row r="5" spans="2:19" ht="18" customHeight="1" x14ac:dyDescent="0.35">
      <c r="B5" s="64" t="str">
        <f>IF(ISBLANK(Directions!C6), "Owner", Directions!C6)</f>
        <v>Thomas Francis</v>
      </c>
      <c r="C5" s="606" t="str">
        <f>IF(ISBLANK(Directions!D6), "Company 1", Directions!D6)</f>
        <v>Project "Dogen"</v>
      </c>
      <c r="D5" s="606"/>
      <c r="E5" s="63"/>
      <c r="F5" s="63"/>
      <c r="G5" s="63"/>
      <c r="H5" s="63"/>
      <c r="I5" s="63"/>
      <c r="J5" s="63"/>
      <c r="K5" s="63"/>
      <c r="L5" s="63"/>
      <c r="M5" s="63"/>
      <c r="N5" s="63"/>
      <c r="O5" s="63"/>
      <c r="P5" s="63"/>
    </row>
    <row r="6" spans="2:19" x14ac:dyDescent="0.35">
      <c r="B6" s="126"/>
      <c r="C6" s="63"/>
      <c r="D6" s="127"/>
      <c r="E6" s="126"/>
      <c r="F6" s="63"/>
      <c r="G6" s="63"/>
      <c r="H6" s="63"/>
      <c r="I6" s="63"/>
      <c r="J6" s="63"/>
      <c r="K6" s="63"/>
      <c r="L6" s="63"/>
      <c r="M6" s="126"/>
      <c r="N6" s="63"/>
      <c r="O6" s="63"/>
      <c r="P6" s="63"/>
    </row>
    <row r="7" spans="2:19" ht="14.4" thickBot="1" x14ac:dyDescent="0.4">
      <c r="B7" s="609" t="s">
        <v>82</v>
      </c>
      <c r="C7" s="609"/>
      <c r="D7" s="609"/>
      <c r="E7" s="609"/>
      <c r="F7" s="9"/>
      <c r="G7" s="65"/>
      <c r="H7" s="65"/>
      <c r="I7" s="63"/>
      <c r="J7" s="63"/>
      <c r="K7" s="63"/>
      <c r="L7" s="63"/>
      <c r="M7" s="63"/>
      <c r="N7" s="63"/>
      <c r="O7" s="63"/>
      <c r="P7" s="63"/>
    </row>
    <row r="8" spans="2:19" ht="45" customHeight="1" thickTop="1" x14ac:dyDescent="0.35">
      <c r="B8" s="405" t="s">
        <v>214</v>
      </c>
      <c r="C8" s="405" t="s">
        <v>305</v>
      </c>
      <c r="D8" s="416" t="s">
        <v>215</v>
      </c>
      <c r="E8" s="417" t="s">
        <v>106</v>
      </c>
      <c r="F8" s="90" t="s">
        <v>217</v>
      </c>
      <c r="G8" s="385"/>
      <c r="H8" s="384"/>
      <c r="I8" s="384"/>
      <c r="J8" s="384"/>
      <c r="K8" s="63"/>
      <c r="L8" s="63"/>
      <c r="M8" s="63"/>
      <c r="N8" s="63"/>
      <c r="O8" s="63"/>
      <c r="P8" s="63"/>
      <c r="R8" s="63"/>
    </row>
    <row r="9" spans="2:19" x14ac:dyDescent="0.35">
      <c r="B9" s="159"/>
      <c r="C9" s="159"/>
      <c r="D9" s="160"/>
      <c r="E9" s="161"/>
      <c r="F9" s="528">
        <f>D9-E9</f>
        <v>0</v>
      </c>
      <c r="G9" s="128"/>
      <c r="H9" s="384"/>
      <c r="I9" s="384"/>
      <c r="J9" s="384"/>
      <c r="K9" s="63"/>
      <c r="L9" s="63"/>
      <c r="M9" s="63"/>
      <c r="N9" s="63"/>
      <c r="O9" s="63"/>
      <c r="P9" s="63"/>
      <c r="R9" s="63"/>
    </row>
    <row r="10" spans="2:19" x14ac:dyDescent="0.35">
      <c r="B10" s="159"/>
      <c r="C10" s="159"/>
      <c r="D10" s="160"/>
      <c r="E10" s="161"/>
      <c r="F10" s="528">
        <f t="shared" ref="F10:F14" si="0">D10-E10</f>
        <v>0</v>
      </c>
      <c r="G10" s="128"/>
      <c r="H10" s="128"/>
      <c r="I10" s="63"/>
      <c r="J10" s="63"/>
      <c r="K10" s="63"/>
      <c r="L10" s="63"/>
      <c r="M10" s="63"/>
      <c r="N10" s="63"/>
      <c r="O10" s="63"/>
      <c r="P10" s="63"/>
      <c r="R10" s="63"/>
    </row>
    <row r="11" spans="2:19" x14ac:dyDescent="0.35">
      <c r="B11" s="159"/>
      <c r="C11" s="159"/>
      <c r="D11" s="160"/>
      <c r="E11" s="161"/>
      <c r="F11" s="528">
        <f t="shared" si="0"/>
        <v>0</v>
      </c>
      <c r="G11" s="128"/>
      <c r="H11" s="128"/>
      <c r="I11" s="63"/>
      <c r="J11" s="63"/>
      <c r="K11" s="63"/>
      <c r="L11" s="63"/>
      <c r="M11" s="63"/>
      <c r="N11" s="63"/>
      <c r="O11" s="63"/>
      <c r="P11" s="63"/>
      <c r="R11" s="63"/>
    </row>
    <row r="12" spans="2:19" x14ac:dyDescent="0.35">
      <c r="B12" s="159"/>
      <c r="C12" s="159"/>
      <c r="D12" s="160"/>
      <c r="E12" s="161"/>
      <c r="F12" s="528">
        <f t="shared" si="0"/>
        <v>0</v>
      </c>
      <c r="G12" s="128"/>
      <c r="H12" s="128"/>
      <c r="I12" s="63"/>
      <c r="J12" s="63"/>
      <c r="K12" s="63"/>
      <c r="L12" s="63"/>
      <c r="M12" s="63"/>
      <c r="N12" s="63"/>
      <c r="O12" s="63"/>
      <c r="P12" s="63"/>
      <c r="R12" s="63"/>
    </row>
    <row r="13" spans="2:19" x14ac:dyDescent="0.35">
      <c r="B13" s="159"/>
      <c r="C13" s="159"/>
      <c r="D13" s="160"/>
      <c r="E13" s="161"/>
      <c r="F13" s="528">
        <f t="shared" si="0"/>
        <v>0</v>
      </c>
      <c r="G13" s="128"/>
      <c r="H13" s="128"/>
      <c r="I13" s="63"/>
      <c r="J13" s="63"/>
      <c r="K13" s="63"/>
      <c r="L13" s="63"/>
      <c r="M13" s="63"/>
      <c r="N13" s="63"/>
      <c r="O13" s="63"/>
      <c r="P13" s="63"/>
      <c r="R13" s="63"/>
    </row>
    <row r="14" spans="2:19" x14ac:dyDescent="0.35">
      <c r="B14" s="159"/>
      <c r="C14" s="159"/>
      <c r="D14" s="160"/>
      <c r="E14" s="161"/>
      <c r="F14" s="528">
        <f t="shared" si="0"/>
        <v>0</v>
      </c>
      <c r="G14" s="128"/>
      <c r="H14" s="128"/>
      <c r="I14" s="63"/>
      <c r="J14" s="63"/>
      <c r="K14" s="63"/>
      <c r="L14" s="63"/>
      <c r="M14" s="63"/>
      <c r="N14" s="63"/>
      <c r="O14" s="63"/>
      <c r="P14" s="63"/>
      <c r="R14" s="63"/>
    </row>
    <row r="15" spans="2:19" s="63" customFormat="1" x14ac:dyDescent="0.35">
      <c r="B15" s="126"/>
      <c r="C15" s="607"/>
      <c r="D15" s="607"/>
      <c r="E15" s="607"/>
      <c r="F15" s="607"/>
      <c r="G15" s="607"/>
      <c r="H15" s="607"/>
      <c r="I15" s="607"/>
      <c r="J15" s="607"/>
      <c r="K15" s="607"/>
      <c r="L15" s="607"/>
      <c r="M15" s="607"/>
      <c r="N15" s="607"/>
    </row>
    <row r="16" spans="2:19" ht="28.2" thickBot="1" x14ac:dyDescent="0.4">
      <c r="B16" s="414" t="s">
        <v>214</v>
      </c>
      <c r="C16" s="414" t="str">
        <f>'2a-PayrollYear1'!F7</f>
        <v>June</v>
      </c>
      <c r="D16" s="414" t="str">
        <f>'2a-PayrollYear1'!G7</f>
        <v>July</v>
      </c>
      <c r="E16" s="414" t="str">
        <f>'2a-PayrollYear1'!H7</f>
        <v>August</v>
      </c>
      <c r="F16" s="414" t="str">
        <f>'2a-PayrollYear1'!I7</f>
        <v>September</v>
      </c>
      <c r="G16" s="414" t="str">
        <f>'2a-PayrollYear1'!J7</f>
        <v>October</v>
      </c>
      <c r="H16" s="414" t="str">
        <f>'2a-PayrollYear1'!K7</f>
        <v>November</v>
      </c>
      <c r="I16" s="414" t="str">
        <f>'2a-PayrollYear1'!L7</f>
        <v>December</v>
      </c>
      <c r="J16" s="414" t="str">
        <f>'2a-PayrollYear1'!M7</f>
        <v>January</v>
      </c>
      <c r="K16" s="414" t="str">
        <f>'2a-PayrollYear1'!N7</f>
        <v>February</v>
      </c>
      <c r="L16" s="414" t="str">
        <f>'2a-PayrollYear1'!O7</f>
        <v>March</v>
      </c>
      <c r="M16" s="414" t="str">
        <f>'2a-PayrollYear1'!P7</f>
        <v>April</v>
      </c>
      <c r="N16" s="414" t="str">
        <f>'2a-PayrollYear1'!Q7</f>
        <v>May</v>
      </c>
      <c r="O16" s="413" t="s">
        <v>81</v>
      </c>
      <c r="P16" s="413" t="s">
        <v>218</v>
      </c>
      <c r="Q16" s="413" t="s">
        <v>111</v>
      </c>
      <c r="R16" s="63"/>
      <c r="S16" s="63"/>
    </row>
    <row r="17" spans="2:19" s="63" customFormat="1" ht="14.4" thickTop="1" x14ac:dyDescent="0.35">
      <c r="B17" s="141" t="str">
        <f>IF(ISBLANK(B9), "Product 1", B9)</f>
        <v>Product 1</v>
      </c>
      <c r="C17" s="399"/>
      <c r="D17" s="399"/>
      <c r="E17" s="399"/>
      <c r="F17" s="399"/>
      <c r="G17" s="399"/>
      <c r="H17" s="399"/>
      <c r="I17" s="399"/>
      <c r="J17" s="399"/>
      <c r="K17" s="399"/>
      <c r="L17" s="399"/>
      <c r="M17" s="399"/>
      <c r="N17" s="399"/>
      <c r="O17" s="143"/>
      <c r="P17" s="390"/>
      <c r="Q17" s="143"/>
    </row>
    <row r="18" spans="2:19" s="63" customFormat="1" x14ac:dyDescent="0.35">
      <c r="B18" s="131" t="str">
        <f>IF(ISBLANK(C9), "Units Sold", Unit1&amp; " Sold")</f>
        <v>Units Sold</v>
      </c>
      <c r="C18" s="166"/>
      <c r="D18" s="166"/>
      <c r="E18" s="166"/>
      <c r="F18" s="166"/>
      <c r="G18" s="166"/>
      <c r="H18" s="166"/>
      <c r="I18" s="166"/>
      <c r="J18" s="166"/>
      <c r="K18" s="166"/>
      <c r="L18" s="166"/>
      <c r="M18" s="166"/>
      <c r="N18" s="166"/>
      <c r="O18" s="362">
        <f>SUM(C18:N18)</f>
        <v>0</v>
      </c>
      <c r="P18" s="9"/>
      <c r="Q18" s="354">
        <f>IF($O$52=0,0,O18/$O$52)</f>
        <v>0</v>
      </c>
    </row>
    <row r="19" spans="2:19" x14ac:dyDescent="0.35">
      <c r="B19" s="134" t="s">
        <v>109</v>
      </c>
      <c r="C19" s="356">
        <f>$D$9*C18</f>
        <v>0</v>
      </c>
      <c r="D19" s="356">
        <f t="shared" ref="D19:N19" si="1">$D$9*D18</f>
        <v>0</v>
      </c>
      <c r="E19" s="356">
        <f t="shared" si="1"/>
        <v>0</v>
      </c>
      <c r="F19" s="356">
        <f t="shared" si="1"/>
        <v>0</v>
      </c>
      <c r="G19" s="356">
        <f t="shared" si="1"/>
        <v>0</v>
      </c>
      <c r="H19" s="356">
        <f t="shared" si="1"/>
        <v>0</v>
      </c>
      <c r="I19" s="356">
        <f t="shared" si="1"/>
        <v>0</v>
      </c>
      <c r="J19" s="356">
        <f t="shared" si="1"/>
        <v>0</v>
      </c>
      <c r="K19" s="356">
        <f t="shared" si="1"/>
        <v>0</v>
      </c>
      <c r="L19" s="356">
        <f t="shared" si="1"/>
        <v>0</v>
      </c>
      <c r="M19" s="356">
        <f t="shared" si="1"/>
        <v>0</v>
      </c>
      <c r="N19" s="356">
        <f t="shared" si="1"/>
        <v>0</v>
      </c>
      <c r="O19" s="135">
        <f>SUM(C19:N19)</f>
        <v>0</v>
      </c>
      <c r="P19" s="355">
        <f>(P20+P21)</f>
        <v>0</v>
      </c>
      <c r="Q19" s="354">
        <f>IF($O$53=0,0,O19/$O$53)</f>
        <v>0</v>
      </c>
      <c r="R19" s="63"/>
      <c r="S19" s="63"/>
    </row>
    <row r="20" spans="2:19" x14ac:dyDescent="0.35">
      <c r="B20" s="134" t="s">
        <v>216</v>
      </c>
      <c r="C20" s="356">
        <f>$E$9*C18</f>
        <v>0</v>
      </c>
      <c r="D20" s="356">
        <f t="shared" ref="D20:N20" si="2">$E$9*D18</f>
        <v>0</v>
      </c>
      <c r="E20" s="356">
        <f t="shared" si="2"/>
        <v>0</v>
      </c>
      <c r="F20" s="356">
        <f t="shared" si="2"/>
        <v>0</v>
      </c>
      <c r="G20" s="356">
        <f t="shared" si="2"/>
        <v>0</v>
      </c>
      <c r="H20" s="356">
        <f t="shared" si="2"/>
        <v>0</v>
      </c>
      <c r="I20" s="356">
        <f t="shared" si="2"/>
        <v>0</v>
      </c>
      <c r="J20" s="356">
        <f t="shared" si="2"/>
        <v>0</v>
      </c>
      <c r="K20" s="356">
        <f t="shared" si="2"/>
        <v>0</v>
      </c>
      <c r="L20" s="356">
        <f t="shared" si="2"/>
        <v>0</v>
      </c>
      <c r="M20" s="356">
        <f t="shared" si="2"/>
        <v>0</v>
      </c>
      <c r="N20" s="356">
        <f t="shared" si="2"/>
        <v>0</v>
      </c>
      <c r="O20" s="135">
        <f>SUM(C20:N20)</f>
        <v>0</v>
      </c>
      <c r="P20" s="355">
        <f>IF(O19=0,0,O20/O19)</f>
        <v>0</v>
      </c>
      <c r="Q20" s="354">
        <f>IF($O$54=0,0,O20/$O$54)</f>
        <v>0</v>
      </c>
      <c r="R20" s="63"/>
      <c r="S20" s="63"/>
    </row>
    <row r="21" spans="2:19" s="65" customFormat="1" x14ac:dyDescent="0.35">
      <c r="B21" s="136" t="s">
        <v>110</v>
      </c>
      <c r="C21" s="357">
        <f>C19-C20</f>
        <v>0</v>
      </c>
      <c r="D21" s="357">
        <f t="shared" ref="D21:N21" si="3">D19-D20</f>
        <v>0</v>
      </c>
      <c r="E21" s="357">
        <f t="shared" si="3"/>
        <v>0</v>
      </c>
      <c r="F21" s="357">
        <f t="shared" si="3"/>
        <v>0</v>
      </c>
      <c r="G21" s="357">
        <f t="shared" si="3"/>
        <v>0</v>
      </c>
      <c r="H21" s="357">
        <f t="shared" si="3"/>
        <v>0</v>
      </c>
      <c r="I21" s="357">
        <f t="shared" si="3"/>
        <v>0</v>
      </c>
      <c r="J21" s="357">
        <f t="shared" si="3"/>
        <v>0</v>
      </c>
      <c r="K21" s="357">
        <f t="shared" si="3"/>
        <v>0</v>
      </c>
      <c r="L21" s="357">
        <f t="shared" si="3"/>
        <v>0</v>
      </c>
      <c r="M21" s="357">
        <f t="shared" si="3"/>
        <v>0</v>
      </c>
      <c r="N21" s="357">
        <f t="shared" si="3"/>
        <v>0</v>
      </c>
      <c r="O21" s="135">
        <f>SUM(C21:N21)</f>
        <v>0</v>
      </c>
      <c r="P21" s="355">
        <f>IF(O19=0,0,O21/O19)</f>
        <v>0</v>
      </c>
      <c r="Q21" s="354">
        <f>IF($O$55=0,0,O21/$O$55)</f>
        <v>0</v>
      </c>
    </row>
    <row r="22" spans="2:19" s="65" customFormat="1" x14ac:dyDescent="0.35">
      <c r="B22" s="137"/>
      <c r="C22" s="138"/>
      <c r="D22" s="139"/>
      <c r="E22" s="139"/>
      <c r="F22" s="139"/>
      <c r="G22" s="139"/>
      <c r="H22" s="139"/>
      <c r="I22" s="139"/>
      <c r="J22" s="139"/>
      <c r="K22" s="139"/>
      <c r="L22" s="139"/>
      <c r="M22" s="139"/>
      <c r="N22" s="139"/>
      <c r="O22" s="140"/>
      <c r="P22" s="9"/>
      <c r="Q22" s="133"/>
    </row>
    <row r="23" spans="2:19" s="63" customFormat="1" x14ac:dyDescent="0.35">
      <c r="B23" s="129" t="str">
        <f>IF(ISBLANK(B10), "Product 2", B10)</f>
        <v>Product 2</v>
      </c>
      <c r="C23" s="142"/>
      <c r="D23" s="142"/>
      <c r="E23" s="142"/>
      <c r="F23" s="142"/>
      <c r="G23" s="142"/>
      <c r="H23" s="142"/>
      <c r="I23" s="142"/>
      <c r="J23" s="142"/>
      <c r="K23" s="142"/>
      <c r="L23" s="142"/>
      <c r="M23" s="142"/>
      <c r="N23" s="142"/>
      <c r="O23" s="143"/>
      <c r="P23" s="9"/>
      <c r="Q23" s="133"/>
    </row>
    <row r="24" spans="2:19" s="63" customFormat="1" x14ac:dyDescent="0.35">
      <c r="B24" s="131" t="str">
        <f>IF(ISBLANK(C10), "Units Sold", Unit2&amp; " Sold")</f>
        <v>Units Sold</v>
      </c>
      <c r="C24" s="166"/>
      <c r="D24" s="166"/>
      <c r="E24" s="166"/>
      <c r="F24" s="166"/>
      <c r="G24" s="166"/>
      <c r="H24" s="166"/>
      <c r="I24" s="166"/>
      <c r="J24" s="166"/>
      <c r="K24" s="166"/>
      <c r="L24" s="166"/>
      <c r="M24" s="166"/>
      <c r="N24" s="166"/>
      <c r="O24" s="363">
        <f>SUM(C24:N24)</f>
        <v>0</v>
      </c>
      <c r="P24" s="9"/>
      <c r="Q24" s="354">
        <f>IF($O$52=0,0,O24/$O$52)</f>
        <v>0</v>
      </c>
    </row>
    <row r="25" spans="2:19" x14ac:dyDescent="0.35">
      <c r="B25" s="144" t="s">
        <v>109</v>
      </c>
      <c r="C25" s="356">
        <f>$D$10*C24</f>
        <v>0</v>
      </c>
      <c r="D25" s="356">
        <f t="shared" ref="D25:N25" si="4">$D$10*D24</f>
        <v>0</v>
      </c>
      <c r="E25" s="356">
        <f t="shared" si="4"/>
        <v>0</v>
      </c>
      <c r="F25" s="356">
        <f t="shared" si="4"/>
        <v>0</v>
      </c>
      <c r="G25" s="356">
        <f t="shared" si="4"/>
        <v>0</v>
      </c>
      <c r="H25" s="356">
        <f t="shared" si="4"/>
        <v>0</v>
      </c>
      <c r="I25" s="356">
        <f t="shared" si="4"/>
        <v>0</v>
      </c>
      <c r="J25" s="356">
        <f t="shared" si="4"/>
        <v>0</v>
      </c>
      <c r="K25" s="356">
        <f t="shared" si="4"/>
        <v>0</v>
      </c>
      <c r="L25" s="356">
        <f t="shared" si="4"/>
        <v>0</v>
      </c>
      <c r="M25" s="356">
        <f t="shared" si="4"/>
        <v>0</v>
      </c>
      <c r="N25" s="356">
        <f t="shared" si="4"/>
        <v>0</v>
      </c>
      <c r="O25" s="145">
        <f>SUM(C25:N25)</f>
        <v>0</v>
      </c>
      <c r="P25" s="355">
        <f>(P26+P27)</f>
        <v>0</v>
      </c>
      <c r="Q25" s="354">
        <f>IF($O$53=0,0,O25/$O$53)</f>
        <v>0</v>
      </c>
      <c r="R25" s="63"/>
      <c r="S25" s="63"/>
    </row>
    <row r="26" spans="2:19" x14ac:dyDescent="0.35">
      <c r="B26" s="144" t="s">
        <v>216</v>
      </c>
      <c r="C26" s="356">
        <f>$E$10*C24</f>
        <v>0</v>
      </c>
      <c r="D26" s="356">
        <f t="shared" ref="D26:N26" si="5">$E$10*D24</f>
        <v>0</v>
      </c>
      <c r="E26" s="356">
        <f t="shared" si="5"/>
        <v>0</v>
      </c>
      <c r="F26" s="356">
        <f t="shared" si="5"/>
        <v>0</v>
      </c>
      <c r="G26" s="356">
        <f t="shared" si="5"/>
        <v>0</v>
      </c>
      <c r="H26" s="356">
        <f t="shared" si="5"/>
        <v>0</v>
      </c>
      <c r="I26" s="356">
        <f t="shared" si="5"/>
        <v>0</v>
      </c>
      <c r="J26" s="356">
        <f t="shared" si="5"/>
        <v>0</v>
      </c>
      <c r="K26" s="356">
        <f t="shared" si="5"/>
        <v>0</v>
      </c>
      <c r="L26" s="356">
        <f t="shared" si="5"/>
        <v>0</v>
      </c>
      <c r="M26" s="356">
        <f t="shared" si="5"/>
        <v>0</v>
      </c>
      <c r="N26" s="356">
        <f t="shared" si="5"/>
        <v>0</v>
      </c>
      <c r="O26" s="145">
        <f>SUM(C26:N26)</f>
        <v>0</v>
      </c>
      <c r="P26" s="355">
        <f>IF(O25=0,0,O26/O25)</f>
        <v>0</v>
      </c>
      <c r="Q26" s="354">
        <f>IF($O$54=0,0,O26/$O$54)</f>
        <v>0</v>
      </c>
      <c r="R26" s="63"/>
      <c r="S26" s="63"/>
    </row>
    <row r="27" spans="2:19" s="65" customFormat="1" x14ac:dyDescent="0.35">
      <c r="B27" s="136" t="s">
        <v>107</v>
      </c>
      <c r="C27" s="357">
        <f>C25-C26</f>
        <v>0</v>
      </c>
      <c r="D27" s="357">
        <f t="shared" ref="D27:N27" si="6">D25-D26</f>
        <v>0</v>
      </c>
      <c r="E27" s="357">
        <f t="shared" si="6"/>
        <v>0</v>
      </c>
      <c r="F27" s="357">
        <f t="shared" si="6"/>
        <v>0</v>
      </c>
      <c r="G27" s="357">
        <f t="shared" si="6"/>
        <v>0</v>
      </c>
      <c r="H27" s="357">
        <f t="shared" si="6"/>
        <v>0</v>
      </c>
      <c r="I27" s="357">
        <f t="shared" si="6"/>
        <v>0</v>
      </c>
      <c r="J27" s="357">
        <f t="shared" si="6"/>
        <v>0</v>
      </c>
      <c r="K27" s="357">
        <f t="shared" si="6"/>
        <v>0</v>
      </c>
      <c r="L27" s="357">
        <f t="shared" si="6"/>
        <v>0</v>
      </c>
      <c r="M27" s="357">
        <f t="shared" si="6"/>
        <v>0</v>
      </c>
      <c r="N27" s="357">
        <f t="shared" si="6"/>
        <v>0</v>
      </c>
      <c r="O27" s="145">
        <f>SUM(C27:N27)</f>
        <v>0</v>
      </c>
      <c r="P27" s="355">
        <f>IF(O25=0,0,O27/O25)</f>
        <v>0</v>
      </c>
      <c r="Q27" s="354">
        <f>IF($O$55=0,0,O27/$O$55)</f>
        <v>0</v>
      </c>
    </row>
    <row r="28" spans="2:19" s="65" customFormat="1" x14ac:dyDescent="0.35">
      <c r="B28" s="137"/>
      <c r="C28" s="139"/>
      <c r="D28" s="139"/>
      <c r="E28" s="139"/>
      <c r="F28" s="139"/>
      <c r="G28" s="139"/>
      <c r="H28" s="139"/>
      <c r="I28" s="139"/>
      <c r="J28" s="139"/>
      <c r="K28" s="139"/>
      <c r="L28" s="139"/>
      <c r="M28" s="139"/>
      <c r="N28" s="139"/>
      <c r="O28" s="140"/>
      <c r="P28" s="9"/>
      <c r="Q28" s="133"/>
    </row>
    <row r="29" spans="2:19" x14ac:dyDescent="0.35">
      <c r="B29" s="129" t="str">
        <f>IF(ISBLANK(B11), "Product 3", B11)</f>
        <v>Product 3</v>
      </c>
      <c r="C29" s="146"/>
      <c r="D29" s="146"/>
      <c r="E29" s="146"/>
      <c r="F29" s="147"/>
      <c r="G29" s="147"/>
      <c r="H29" s="147"/>
      <c r="I29" s="147"/>
      <c r="J29" s="147"/>
      <c r="K29" s="147"/>
      <c r="L29" s="147"/>
      <c r="M29" s="147"/>
      <c r="N29" s="147"/>
      <c r="O29" s="143"/>
      <c r="P29" s="9"/>
      <c r="Q29" s="133"/>
      <c r="R29" s="63"/>
      <c r="S29" s="63"/>
    </row>
    <row r="30" spans="2:19" s="63" customFormat="1" x14ac:dyDescent="0.35">
      <c r="B30" s="131" t="str">
        <f>IF(ISBLANK(C11), "Units Sold", Unit3&amp; " Sold")</f>
        <v>Units Sold</v>
      </c>
      <c r="C30" s="166"/>
      <c r="D30" s="166"/>
      <c r="E30" s="166"/>
      <c r="F30" s="166"/>
      <c r="G30" s="166"/>
      <c r="H30" s="166"/>
      <c r="I30" s="166"/>
      <c r="J30" s="166"/>
      <c r="K30" s="166"/>
      <c r="L30" s="166"/>
      <c r="M30" s="166"/>
      <c r="N30" s="166"/>
      <c r="O30" s="363">
        <f>SUM(C30:N30)</f>
        <v>0</v>
      </c>
      <c r="P30" s="9"/>
      <c r="Q30" s="354">
        <f>IF($O$52=0,0,O30/$O$52)</f>
        <v>0</v>
      </c>
    </row>
    <row r="31" spans="2:19" x14ac:dyDescent="0.35">
      <c r="B31" s="144" t="s">
        <v>109</v>
      </c>
      <c r="C31" s="358">
        <f>$D$11*C30</f>
        <v>0</v>
      </c>
      <c r="D31" s="358">
        <f t="shared" ref="D31:N31" si="7">$D$11*D30</f>
        <v>0</v>
      </c>
      <c r="E31" s="358">
        <f t="shared" si="7"/>
        <v>0</v>
      </c>
      <c r="F31" s="358">
        <f t="shared" si="7"/>
        <v>0</v>
      </c>
      <c r="G31" s="358">
        <f t="shared" si="7"/>
        <v>0</v>
      </c>
      <c r="H31" s="358">
        <f t="shared" si="7"/>
        <v>0</v>
      </c>
      <c r="I31" s="358">
        <f t="shared" si="7"/>
        <v>0</v>
      </c>
      <c r="J31" s="358">
        <f t="shared" si="7"/>
        <v>0</v>
      </c>
      <c r="K31" s="358">
        <f t="shared" si="7"/>
        <v>0</v>
      </c>
      <c r="L31" s="358">
        <f t="shared" si="7"/>
        <v>0</v>
      </c>
      <c r="M31" s="358">
        <f t="shared" si="7"/>
        <v>0</v>
      </c>
      <c r="N31" s="358">
        <f t="shared" si="7"/>
        <v>0</v>
      </c>
      <c r="O31" s="145">
        <f>SUM(C31:N31)</f>
        <v>0</v>
      </c>
      <c r="P31" s="355">
        <f>(P32+P33)</f>
        <v>0</v>
      </c>
      <c r="Q31" s="354">
        <f>IF($O$53=0,0,O31/$O$53)</f>
        <v>0</v>
      </c>
      <c r="R31" s="63"/>
      <c r="S31" s="63"/>
    </row>
    <row r="32" spans="2:19" x14ac:dyDescent="0.35">
      <c r="B32" s="144" t="s">
        <v>216</v>
      </c>
      <c r="C32" s="358">
        <f>$E$11*C30</f>
        <v>0</v>
      </c>
      <c r="D32" s="358">
        <f t="shared" ref="D32:N32" si="8">$E$11*D30</f>
        <v>0</v>
      </c>
      <c r="E32" s="358">
        <f t="shared" si="8"/>
        <v>0</v>
      </c>
      <c r="F32" s="358">
        <f t="shared" si="8"/>
        <v>0</v>
      </c>
      <c r="G32" s="358">
        <f t="shared" si="8"/>
        <v>0</v>
      </c>
      <c r="H32" s="358">
        <f t="shared" si="8"/>
        <v>0</v>
      </c>
      <c r="I32" s="358">
        <f t="shared" si="8"/>
        <v>0</v>
      </c>
      <c r="J32" s="358">
        <f t="shared" si="8"/>
        <v>0</v>
      </c>
      <c r="K32" s="358">
        <f t="shared" si="8"/>
        <v>0</v>
      </c>
      <c r="L32" s="358">
        <f t="shared" si="8"/>
        <v>0</v>
      </c>
      <c r="M32" s="358">
        <f t="shared" si="8"/>
        <v>0</v>
      </c>
      <c r="N32" s="358">
        <f t="shared" si="8"/>
        <v>0</v>
      </c>
      <c r="O32" s="145">
        <f>SUM(C32:N32)</f>
        <v>0</v>
      </c>
      <c r="P32" s="355">
        <f>IF(O31=0,0,O32/O31)</f>
        <v>0</v>
      </c>
      <c r="Q32" s="354">
        <f>IF($O$54=0,0,O32/$O$54)</f>
        <v>0</v>
      </c>
      <c r="R32" s="63"/>
      <c r="S32" s="63"/>
    </row>
    <row r="33" spans="2:19" x14ac:dyDescent="0.35">
      <c r="B33" s="136" t="s">
        <v>107</v>
      </c>
      <c r="C33" s="357">
        <f>C31-C32</f>
        <v>0</v>
      </c>
      <c r="D33" s="357">
        <f t="shared" ref="D33:N33" si="9">D31-D32</f>
        <v>0</v>
      </c>
      <c r="E33" s="357">
        <f t="shared" si="9"/>
        <v>0</v>
      </c>
      <c r="F33" s="357">
        <f t="shared" si="9"/>
        <v>0</v>
      </c>
      <c r="G33" s="357">
        <f t="shared" si="9"/>
        <v>0</v>
      </c>
      <c r="H33" s="357">
        <f t="shared" si="9"/>
        <v>0</v>
      </c>
      <c r="I33" s="357">
        <f t="shared" si="9"/>
        <v>0</v>
      </c>
      <c r="J33" s="357">
        <f t="shared" si="9"/>
        <v>0</v>
      </c>
      <c r="K33" s="357">
        <f t="shared" si="9"/>
        <v>0</v>
      </c>
      <c r="L33" s="357">
        <f t="shared" si="9"/>
        <v>0</v>
      </c>
      <c r="M33" s="357">
        <f t="shared" si="9"/>
        <v>0</v>
      </c>
      <c r="N33" s="357">
        <f t="shared" si="9"/>
        <v>0</v>
      </c>
      <c r="O33" s="145">
        <f>SUM(C33:N33)</f>
        <v>0</v>
      </c>
      <c r="P33" s="355">
        <f>IF(O31=0,0,O33/O31)</f>
        <v>0</v>
      </c>
      <c r="Q33" s="354">
        <f>IF($O$55=0,0,O33/$O$55)</f>
        <v>0</v>
      </c>
      <c r="R33" s="63"/>
      <c r="S33" s="63"/>
    </row>
    <row r="34" spans="2:19" s="65" customFormat="1" x14ac:dyDescent="0.35">
      <c r="B34" s="148"/>
      <c r="C34" s="139"/>
      <c r="D34" s="139"/>
      <c r="E34" s="139"/>
      <c r="F34" s="139"/>
      <c r="G34" s="139"/>
      <c r="H34" s="139"/>
      <c r="I34" s="139"/>
      <c r="J34" s="139"/>
      <c r="K34" s="139"/>
      <c r="L34" s="139"/>
      <c r="M34" s="139"/>
      <c r="N34" s="139"/>
      <c r="O34" s="140"/>
      <c r="P34" s="9"/>
      <c r="Q34" s="133"/>
    </row>
    <row r="35" spans="2:19" s="63" customFormat="1" x14ac:dyDescent="0.35">
      <c r="B35" s="129" t="str">
        <f>IF(ISBLANK(B12), "Product 4", B12)</f>
        <v>Product 4</v>
      </c>
      <c r="C35" s="142"/>
      <c r="D35" s="142"/>
      <c r="E35" s="142"/>
      <c r="F35" s="142"/>
      <c r="G35" s="142"/>
      <c r="H35" s="142"/>
      <c r="I35" s="142"/>
      <c r="J35" s="142"/>
      <c r="K35" s="142"/>
      <c r="L35" s="142"/>
      <c r="M35" s="142"/>
      <c r="N35" s="142"/>
      <c r="O35" s="143"/>
      <c r="P35" s="9"/>
      <c r="Q35" s="133"/>
    </row>
    <row r="36" spans="2:19" x14ac:dyDescent="0.35">
      <c r="B36" s="131" t="str">
        <f>IF(ISBLANK(C12), "Units Sold", Unit4&amp; " Sold")</f>
        <v>Units Sold</v>
      </c>
      <c r="C36" s="167"/>
      <c r="D36" s="167"/>
      <c r="E36" s="167"/>
      <c r="F36" s="167"/>
      <c r="G36" s="167"/>
      <c r="H36" s="167"/>
      <c r="I36" s="167"/>
      <c r="J36" s="167"/>
      <c r="K36" s="167"/>
      <c r="L36" s="167"/>
      <c r="M36" s="167"/>
      <c r="N36" s="167"/>
      <c r="O36" s="363">
        <f>SUM(C36:N36)</f>
        <v>0</v>
      </c>
      <c r="P36" s="9"/>
      <c r="Q36" s="354">
        <f>IF($O$52=0,0,O36/$O$52)</f>
        <v>0</v>
      </c>
      <c r="R36" s="63"/>
      <c r="S36" s="63"/>
    </row>
    <row r="37" spans="2:19" x14ac:dyDescent="0.35">
      <c r="B37" s="144" t="s">
        <v>109</v>
      </c>
      <c r="C37" s="358">
        <f>$D$12*C36</f>
        <v>0</v>
      </c>
      <c r="D37" s="358">
        <f t="shared" ref="D37:N37" si="10">$D$12*D36</f>
        <v>0</v>
      </c>
      <c r="E37" s="358">
        <f t="shared" si="10"/>
        <v>0</v>
      </c>
      <c r="F37" s="358">
        <f t="shared" si="10"/>
        <v>0</v>
      </c>
      <c r="G37" s="358">
        <f t="shared" si="10"/>
        <v>0</v>
      </c>
      <c r="H37" s="358">
        <f t="shared" si="10"/>
        <v>0</v>
      </c>
      <c r="I37" s="358">
        <f t="shared" si="10"/>
        <v>0</v>
      </c>
      <c r="J37" s="358">
        <f t="shared" si="10"/>
        <v>0</v>
      </c>
      <c r="K37" s="358">
        <f t="shared" si="10"/>
        <v>0</v>
      </c>
      <c r="L37" s="358">
        <f t="shared" si="10"/>
        <v>0</v>
      </c>
      <c r="M37" s="358">
        <f t="shared" si="10"/>
        <v>0</v>
      </c>
      <c r="N37" s="358">
        <f t="shared" si="10"/>
        <v>0</v>
      </c>
      <c r="O37" s="135">
        <f>SUM(C37:N37)</f>
        <v>0</v>
      </c>
      <c r="P37" s="355">
        <f>(P38+P39)</f>
        <v>0</v>
      </c>
      <c r="Q37" s="354">
        <f>IF($O$53=0,0,O37/$O$53)</f>
        <v>0</v>
      </c>
      <c r="R37" s="63"/>
      <c r="S37" s="63"/>
    </row>
    <row r="38" spans="2:19" x14ac:dyDescent="0.35">
      <c r="B38" s="144" t="s">
        <v>216</v>
      </c>
      <c r="C38" s="358">
        <f>$E$12*C36</f>
        <v>0</v>
      </c>
      <c r="D38" s="358">
        <f t="shared" ref="D38:N38" si="11">$E$12*D36</f>
        <v>0</v>
      </c>
      <c r="E38" s="358">
        <f t="shared" si="11"/>
        <v>0</v>
      </c>
      <c r="F38" s="358">
        <f t="shared" si="11"/>
        <v>0</v>
      </c>
      <c r="G38" s="358">
        <f t="shared" si="11"/>
        <v>0</v>
      </c>
      <c r="H38" s="358">
        <f t="shared" si="11"/>
        <v>0</v>
      </c>
      <c r="I38" s="358">
        <f t="shared" si="11"/>
        <v>0</v>
      </c>
      <c r="J38" s="358">
        <f t="shared" si="11"/>
        <v>0</v>
      </c>
      <c r="K38" s="358">
        <f t="shared" si="11"/>
        <v>0</v>
      </c>
      <c r="L38" s="358">
        <f t="shared" si="11"/>
        <v>0</v>
      </c>
      <c r="M38" s="358">
        <f t="shared" si="11"/>
        <v>0</v>
      </c>
      <c r="N38" s="358">
        <f t="shared" si="11"/>
        <v>0</v>
      </c>
      <c r="O38" s="135">
        <f>SUM(C38:N38)</f>
        <v>0</v>
      </c>
      <c r="P38" s="355">
        <f>IF(O37=0,0,O38/O37)</f>
        <v>0</v>
      </c>
      <c r="Q38" s="354">
        <f>IF($O$54=0,0,O38/$O$54)</f>
        <v>0</v>
      </c>
      <c r="R38" s="63"/>
      <c r="S38" s="63"/>
    </row>
    <row r="39" spans="2:19" s="65" customFormat="1" x14ac:dyDescent="0.35">
      <c r="B39" s="136" t="s">
        <v>107</v>
      </c>
      <c r="C39" s="357">
        <f>C37-C38</f>
        <v>0</v>
      </c>
      <c r="D39" s="357">
        <f t="shared" ref="D39:N39" si="12">D37-D38</f>
        <v>0</v>
      </c>
      <c r="E39" s="357">
        <f t="shared" si="12"/>
        <v>0</v>
      </c>
      <c r="F39" s="357">
        <f t="shared" si="12"/>
        <v>0</v>
      </c>
      <c r="G39" s="357">
        <f t="shared" si="12"/>
        <v>0</v>
      </c>
      <c r="H39" s="357">
        <f t="shared" si="12"/>
        <v>0</v>
      </c>
      <c r="I39" s="357">
        <f t="shared" si="12"/>
        <v>0</v>
      </c>
      <c r="J39" s="357">
        <f t="shared" si="12"/>
        <v>0</v>
      </c>
      <c r="K39" s="357">
        <f t="shared" si="12"/>
        <v>0</v>
      </c>
      <c r="L39" s="357">
        <f t="shared" si="12"/>
        <v>0</v>
      </c>
      <c r="M39" s="357">
        <f t="shared" si="12"/>
        <v>0</v>
      </c>
      <c r="N39" s="357">
        <f t="shared" si="12"/>
        <v>0</v>
      </c>
      <c r="O39" s="135">
        <f>SUM(C39:N39)</f>
        <v>0</v>
      </c>
      <c r="P39" s="355">
        <f>IF(O37=0,0,O39/O37)</f>
        <v>0</v>
      </c>
      <c r="Q39" s="354">
        <f>IF($O$55=0,0,O39/$O$55)</f>
        <v>0</v>
      </c>
    </row>
    <row r="40" spans="2:19" s="65" customFormat="1" x14ac:dyDescent="0.35">
      <c r="B40" s="148"/>
      <c r="C40" s="139"/>
      <c r="D40" s="139"/>
      <c r="E40" s="139"/>
      <c r="F40" s="149"/>
      <c r="G40" s="149"/>
      <c r="H40" s="149"/>
      <c r="I40" s="149"/>
      <c r="J40" s="149"/>
      <c r="K40" s="149"/>
      <c r="L40" s="149"/>
      <c r="M40" s="149"/>
      <c r="N40" s="149"/>
      <c r="O40" s="132"/>
      <c r="P40" s="9"/>
      <c r="Q40" s="133"/>
    </row>
    <row r="41" spans="2:19" x14ac:dyDescent="0.35">
      <c r="B41" s="129" t="str">
        <f>IF(ISBLANK(B13), "Product 5", B13)</f>
        <v>Product 5</v>
      </c>
      <c r="C41" s="146"/>
      <c r="D41" s="146"/>
      <c r="E41" s="146"/>
      <c r="F41" s="147"/>
      <c r="G41" s="147"/>
      <c r="H41" s="147"/>
      <c r="I41" s="147"/>
      <c r="J41" s="147"/>
      <c r="K41" s="147"/>
      <c r="L41" s="147"/>
      <c r="M41" s="147"/>
      <c r="N41" s="147"/>
      <c r="O41" s="143"/>
      <c r="P41" s="9"/>
      <c r="Q41" s="133"/>
      <c r="R41" s="63"/>
      <c r="S41" s="63"/>
    </row>
    <row r="42" spans="2:19" s="63" customFormat="1" x14ac:dyDescent="0.35">
      <c r="B42" s="131" t="str">
        <f>IF(ISBLANK(C13), "Units Sold", Unit5&amp; " Sold")</f>
        <v>Units Sold</v>
      </c>
      <c r="C42" s="166"/>
      <c r="D42" s="166"/>
      <c r="E42" s="166"/>
      <c r="F42" s="166"/>
      <c r="G42" s="166"/>
      <c r="H42" s="166"/>
      <c r="I42" s="166"/>
      <c r="J42" s="166"/>
      <c r="K42" s="166"/>
      <c r="L42" s="166"/>
      <c r="M42" s="166"/>
      <c r="N42" s="166"/>
      <c r="O42" s="362">
        <f>SUM(C42:N42)</f>
        <v>0</v>
      </c>
      <c r="P42" s="9"/>
      <c r="Q42" s="354">
        <f>IF($O$52=0,0,O42/$O$52)</f>
        <v>0</v>
      </c>
    </row>
    <row r="43" spans="2:19" x14ac:dyDescent="0.35">
      <c r="B43" s="144" t="s">
        <v>109</v>
      </c>
      <c r="C43" s="358">
        <f>$D$13*C42</f>
        <v>0</v>
      </c>
      <c r="D43" s="358">
        <f t="shared" ref="D43:N43" si="13">$D$13*D42</f>
        <v>0</v>
      </c>
      <c r="E43" s="358">
        <f t="shared" si="13"/>
        <v>0</v>
      </c>
      <c r="F43" s="358">
        <f t="shared" si="13"/>
        <v>0</v>
      </c>
      <c r="G43" s="358">
        <f t="shared" si="13"/>
        <v>0</v>
      </c>
      <c r="H43" s="358">
        <f t="shared" si="13"/>
        <v>0</v>
      </c>
      <c r="I43" s="358">
        <f t="shared" si="13"/>
        <v>0</v>
      </c>
      <c r="J43" s="358">
        <f t="shared" si="13"/>
        <v>0</v>
      </c>
      <c r="K43" s="358">
        <f t="shared" si="13"/>
        <v>0</v>
      </c>
      <c r="L43" s="358">
        <f t="shared" si="13"/>
        <v>0</v>
      </c>
      <c r="M43" s="358">
        <f t="shared" si="13"/>
        <v>0</v>
      </c>
      <c r="N43" s="358">
        <f t="shared" si="13"/>
        <v>0</v>
      </c>
      <c r="O43" s="135">
        <f>SUM(C43:N43)</f>
        <v>0</v>
      </c>
      <c r="P43" s="355">
        <f>(P44+P45)</f>
        <v>0</v>
      </c>
      <c r="Q43" s="354">
        <f>IF($O$53=0,0,O43/$O$53)</f>
        <v>0</v>
      </c>
      <c r="R43" s="63"/>
      <c r="S43" s="63"/>
    </row>
    <row r="44" spans="2:19" x14ac:dyDescent="0.35">
      <c r="B44" s="144" t="s">
        <v>216</v>
      </c>
      <c r="C44" s="358">
        <f>$E$13*C42</f>
        <v>0</v>
      </c>
      <c r="D44" s="358">
        <f t="shared" ref="D44:N44" si="14">$E$13*D42</f>
        <v>0</v>
      </c>
      <c r="E44" s="358">
        <f t="shared" si="14"/>
        <v>0</v>
      </c>
      <c r="F44" s="358">
        <f t="shared" si="14"/>
        <v>0</v>
      </c>
      <c r="G44" s="358">
        <f t="shared" si="14"/>
        <v>0</v>
      </c>
      <c r="H44" s="358">
        <f t="shared" si="14"/>
        <v>0</v>
      </c>
      <c r="I44" s="358">
        <f t="shared" si="14"/>
        <v>0</v>
      </c>
      <c r="J44" s="358">
        <f t="shared" si="14"/>
        <v>0</v>
      </c>
      <c r="K44" s="358">
        <f t="shared" si="14"/>
        <v>0</v>
      </c>
      <c r="L44" s="358">
        <f t="shared" si="14"/>
        <v>0</v>
      </c>
      <c r="M44" s="358">
        <f t="shared" si="14"/>
        <v>0</v>
      </c>
      <c r="N44" s="358">
        <f t="shared" si="14"/>
        <v>0</v>
      </c>
      <c r="O44" s="135">
        <f>SUM(C44:N44)</f>
        <v>0</v>
      </c>
      <c r="P44" s="355">
        <f>IF(O43=0,0,O44/O43)</f>
        <v>0</v>
      </c>
      <c r="Q44" s="354">
        <f>IF($O$54=0,0,O44/$O$54)</f>
        <v>0</v>
      </c>
      <c r="R44" s="63"/>
      <c r="S44" s="63"/>
    </row>
    <row r="45" spans="2:19" x14ac:dyDescent="0.35">
      <c r="B45" s="136" t="s">
        <v>107</v>
      </c>
      <c r="C45" s="359">
        <f>C43-C44</f>
        <v>0</v>
      </c>
      <c r="D45" s="359">
        <f t="shared" ref="D45:N45" si="15">D43-D44</f>
        <v>0</v>
      </c>
      <c r="E45" s="359">
        <f t="shared" si="15"/>
        <v>0</v>
      </c>
      <c r="F45" s="359">
        <f t="shared" si="15"/>
        <v>0</v>
      </c>
      <c r="G45" s="359">
        <f t="shared" si="15"/>
        <v>0</v>
      </c>
      <c r="H45" s="359">
        <f t="shared" si="15"/>
        <v>0</v>
      </c>
      <c r="I45" s="359">
        <f t="shared" si="15"/>
        <v>0</v>
      </c>
      <c r="J45" s="359">
        <f t="shared" si="15"/>
        <v>0</v>
      </c>
      <c r="K45" s="359">
        <f t="shared" si="15"/>
        <v>0</v>
      </c>
      <c r="L45" s="359">
        <f t="shared" si="15"/>
        <v>0</v>
      </c>
      <c r="M45" s="359">
        <f t="shared" si="15"/>
        <v>0</v>
      </c>
      <c r="N45" s="359">
        <f t="shared" si="15"/>
        <v>0</v>
      </c>
      <c r="O45" s="135">
        <f>SUM(C45:N45)</f>
        <v>0</v>
      </c>
      <c r="P45" s="355">
        <f>IF(O43=0,0,O45/O43)</f>
        <v>0</v>
      </c>
      <c r="Q45" s="354">
        <f>IF($O$55=0,0,O45/$O$55)</f>
        <v>0</v>
      </c>
      <c r="R45" s="63"/>
      <c r="S45" s="63"/>
    </row>
    <row r="46" spans="2:19" s="65" customFormat="1" x14ac:dyDescent="0.35">
      <c r="B46" s="148"/>
      <c r="C46" s="150"/>
      <c r="D46" s="150"/>
      <c r="E46" s="150"/>
      <c r="F46" s="150"/>
      <c r="G46" s="150"/>
      <c r="H46" s="150"/>
      <c r="I46" s="150"/>
      <c r="J46" s="150"/>
      <c r="K46" s="150"/>
      <c r="L46" s="150"/>
      <c r="M46" s="150"/>
      <c r="N46" s="150"/>
      <c r="O46" s="132"/>
      <c r="P46" s="9"/>
      <c r="Q46" s="133"/>
    </row>
    <row r="47" spans="2:19" s="63" customFormat="1" x14ac:dyDescent="0.35">
      <c r="B47" s="129" t="str">
        <f>IF(ISBLANK(B14), "Product 6", B14)</f>
        <v>Product 6</v>
      </c>
      <c r="C47" s="151"/>
      <c r="D47" s="151"/>
      <c r="E47" s="151"/>
      <c r="F47" s="151"/>
      <c r="G47" s="151"/>
      <c r="H47" s="151"/>
      <c r="I47" s="151"/>
      <c r="J47" s="151"/>
      <c r="K47" s="151"/>
      <c r="L47" s="151"/>
      <c r="M47" s="151"/>
      <c r="N47" s="151"/>
      <c r="O47" s="143"/>
      <c r="P47" s="9"/>
      <c r="Q47" s="133"/>
    </row>
    <row r="48" spans="2:19" x14ac:dyDescent="0.35">
      <c r="B48" s="131" t="str">
        <f>IF(ISBLANK(C14), "Units Sold", Unit6&amp; " Sold")</f>
        <v>Units Sold</v>
      </c>
      <c r="C48" s="167"/>
      <c r="D48" s="167"/>
      <c r="E48" s="167"/>
      <c r="F48" s="167"/>
      <c r="G48" s="167"/>
      <c r="H48" s="167"/>
      <c r="I48" s="167"/>
      <c r="J48" s="167"/>
      <c r="K48" s="167"/>
      <c r="L48" s="167"/>
      <c r="M48" s="167"/>
      <c r="N48" s="167"/>
      <c r="O48" s="362">
        <f t="shared" ref="O48:O54" si="16">SUM(C48:N48)</f>
        <v>0</v>
      </c>
      <c r="P48" s="9"/>
      <c r="Q48" s="354">
        <f>IF($O$52=0,0,O48/$O$52)</f>
        <v>0</v>
      </c>
      <c r="R48" s="63"/>
      <c r="S48" s="63"/>
    </row>
    <row r="49" spans="2:19" x14ac:dyDescent="0.35">
      <c r="B49" s="144" t="s">
        <v>109</v>
      </c>
      <c r="C49" s="360">
        <f>$D$14*C48</f>
        <v>0</v>
      </c>
      <c r="D49" s="360">
        <f t="shared" ref="D49:N49" si="17">$D$14*D48</f>
        <v>0</v>
      </c>
      <c r="E49" s="360">
        <f t="shared" si="17"/>
        <v>0</v>
      </c>
      <c r="F49" s="360">
        <f t="shared" si="17"/>
        <v>0</v>
      </c>
      <c r="G49" s="360">
        <f t="shared" si="17"/>
        <v>0</v>
      </c>
      <c r="H49" s="360">
        <f t="shared" si="17"/>
        <v>0</v>
      </c>
      <c r="I49" s="360">
        <f t="shared" si="17"/>
        <v>0</v>
      </c>
      <c r="J49" s="360">
        <f t="shared" si="17"/>
        <v>0</v>
      </c>
      <c r="K49" s="360">
        <f t="shared" si="17"/>
        <v>0</v>
      </c>
      <c r="L49" s="360">
        <f t="shared" si="17"/>
        <v>0</v>
      </c>
      <c r="M49" s="360">
        <f t="shared" si="17"/>
        <v>0</v>
      </c>
      <c r="N49" s="360">
        <f t="shared" si="17"/>
        <v>0</v>
      </c>
      <c r="O49" s="135">
        <f t="shared" si="16"/>
        <v>0</v>
      </c>
      <c r="P49" s="355">
        <f>(P50+P51)</f>
        <v>0</v>
      </c>
      <c r="Q49" s="354">
        <f>IF($O$53=0,0,O49/$O$53)</f>
        <v>0</v>
      </c>
      <c r="R49" s="63"/>
      <c r="S49" s="63"/>
    </row>
    <row r="50" spans="2:19" x14ac:dyDescent="0.35">
      <c r="B50" s="152" t="s">
        <v>216</v>
      </c>
      <c r="C50" s="360">
        <f>$E$14*C48</f>
        <v>0</v>
      </c>
      <c r="D50" s="360">
        <f t="shared" ref="D50:N50" si="18">$E$14*D48</f>
        <v>0</v>
      </c>
      <c r="E50" s="360">
        <f t="shared" si="18"/>
        <v>0</v>
      </c>
      <c r="F50" s="360">
        <f t="shared" si="18"/>
        <v>0</v>
      </c>
      <c r="G50" s="360">
        <f t="shared" si="18"/>
        <v>0</v>
      </c>
      <c r="H50" s="360">
        <f t="shared" si="18"/>
        <v>0</v>
      </c>
      <c r="I50" s="360">
        <f t="shared" si="18"/>
        <v>0</v>
      </c>
      <c r="J50" s="360">
        <f t="shared" si="18"/>
        <v>0</v>
      </c>
      <c r="K50" s="360">
        <f t="shared" si="18"/>
        <v>0</v>
      </c>
      <c r="L50" s="360">
        <f t="shared" si="18"/>
        <v>0</v>
      </c>
      <c r="M50" s="360">
        <f t="shared" si="18"/>
        <v>0</v>
      </c>
      <c r="N50" s="360">
        <f t="shared" si="18"/>
        <v>0</v>
      </c>
      <c r="O50" s="135">
        <f t="shared" si="16"/>
        <v>0</v>
      </c>
      <c r="P50" s="355">
        <f>IF(O49=0,0,O50/O49)</f>
        <v>0</v>
      </c>
      <c r="Q50" s="354">
        <f>IF($O$54=0,0,O50/$O$54)</f>
        <v>0</v>
      </c>
      <c r="R50" s="63"/>
      <c r="S50" s="63"/>
    </row>
    <row r="51" spans="2:19" x14ac:dyDescent="0.35">
      <c r="B51" s="134" t="s">
        <v>107</v>
      </c>
      <c r="C51" s="359">
        <f>C49-C50</f>
        <v>0</v>
      </c>
      <c r="D51" s="359">
        <f t="shared" ref="D51:N51" si="19">D49-D50</f>
        <v>0</v>
      </c>
      <c r="E51" s="359">
        <f t="shared" si="19"/>
        <v>0</v>
      </c>
      <c r="F51" s="359">
        <f t="shared" si="19"/>
        <v>0</v>
      </c>
      <c r="G51" s="359">
        <f t="shared" si="19"/>
        <v>0</v>
      </c>
      <c r="H51" s="359">
        <f t="shared" si="19"/>
        <v>0</v>
      </c>
      <c r="I51" s="359">
        <f t="shared" si="19"/>
        <v>0</v>
      </c>
      <c r="J51" s="359">
        <f t="shared" si="19"/>
        <v>0</v>
      </c>
      <c r="K51" s="359">
        <f t="shared" si="19"/>
        <v>0</v>
      </c>
      <c r="L51" s="359">
        <f t="shared" si="19"/>
        <v>0</v>
      </c>
      <c r="M51" s="359">
        <f t="shared" si="19"/>
        <v>0</v>
      </c>
      <c r="N51" s="359">
        <f t="shared" si="19"/>
        <v>0</v>
      </c>
      <c r="O51" s="135">
        <f t="shared" si="16"/>
        <v>0</v>
      </c>
      <c r="P51" s="355">
        <f>IF(O49=0,0,O51/O49)</f>
        <v>0</v>
      </c>
      <c r="Q51" s="354">
        <f>IF($O$55=0,0,O51/$O$55)</f>
        <v>0</v>
      </c>
      <c r="R51" s="63"/>
      <c r="S51" s="63"/>
    </row>
    <row r="52" spans="2:19" x14ac:dyDescent="0.35">
      <c r="B52" s="153" t="s">
        <v>108</v>
      </c>
      <c r="C52" s="361">
        <f t="shared" ref="C52:N52" si="20">C18+C24+C30+C36+C42+C48</f>
        <v>0</v>
      </c>
      <c r="D52" s="361">
        <f t="shared" si="20"/>
        <v>0</v>
      </c>
      <c r="E52" s="361">
        <f t="shared" si="20"/>
        <v>0</v>
      </c>
      <c r="F52" s="361">
        <f t="shared" si="20"/>
        <v>0</v>
      </c>
      <c r="G52" s="361">
        <f t="shared" si="20"/>
        <v>0</v>
      </c>
      <c r="H52" s="361">
        <f t="shared" si="20"/>
        <v>0</v>
      </c>
      <c r="I52" s="361">
        <f t="shared" si="20"/>
        <v>0</v>
      </c>
      <c r="J52" s="361">
        <f t="shared" si="20"/>
        <v>0</v>
      </c>
      <c r="K52" s="361">
        <f t="shared" si="20"/>
        <v>0</v>
      </c>
      <c r="L52" s="361">
        <f t="shared" si="20"/>
        <v>0</v>
      </c>
      <c r="M52" s="361">
        <f t="shared" si="20"/>
        <v>0</v>
      </c>
      <c r="N52" s="361">
        <f t="shared" si="20"/>
        <v>0</v>
      </c>
      <c r="O52" s="362">
        <f t="shared" si="16"/>
        <v>0</v>
      </c>
      <c r="P52" s="9"/>
      <c r="Q52" s="133"/>
      <c r="R52" s="63"/>
      <c r="S52" s="63"/>
    </row>
    <row r="53" spans="2:19" x14ac:dyDescent="0.35">
      <c r="B53" s="154" t="s">
        <v>109</v>
      </c>
      <c r="C53" s="155">
        <f t="shared" ref="C53:N53" si="21">C19+C25+C31+C37+C43+C49</f>
        <v>0</v>
      </c>
      <c r="D53" s="155">
        <f t="shared" si="21"/>
        <v>0</v>
      </c>
      <c r="E53" s="155">
        <f t="shared" si="21"/>
        <v>0</v>
      </c>
      <c r="F53" s="155">
        <f t="shared" si="21"/>
        <v>0</v>
      </c>
      <c r="G53" s="155">
        <f t="shared" si="21"/>
        <v>0</v>
      </c>
      <c r="H53" s="155">
        <f t="shared" si="21"/>
        <v>0</v>
      </c>
      <c r="I53" s="155">
        <f t="shared" si="21"/>
        <v>0</v>
      </c>
      <c r="J53" s="155">
        <f t="shared" si="21"/>
        <v>0</v>
      </c>
      <c r="K53" s="155">
        <f t="shared" si="21"/>
        <v>0</v>
      </c>
      <c r="L53" s="155">
        <f t="shared" si="21"/>
        <v>0</v>
      </c>
      <c r="M53" s="155">
        <f t="shared" si="21"/>
        <v>0</v>
      </c>
      <c r="N53" s="155">
        <f t="shared" si="21"/>
        <v>0</v>
      </c>
      <c r="O53" s="135">
        <f t="shared" si="16"/>
        <v>0</v>
      </c>
      <c r="P53" s="9"/>
      <c r="Q53" s="133"/>
      <c r="R53" s="63"/>
      <c r="S53" s="63"/>
    </row>
    <row r="54" spans="2:19" x14ac:dyDescent="0.35">
      <c r="B54" s="156" t="s">
        <v>105</v>
      </c>
      <c r="C54" s="157">
        <f>C20+C26+C32+C38+C44+C50</f>
        <v>0</v>
      </c>
      <c r="D54" s="157">
        <f t="shared" ref="D54:N54" si="22">D20+D26+D32+D38+D44+D50</f>
        <v>0</v>
      </c>
      <c r="E54" s="157">
        <f t="shared" si="22"/>
        <v>0</v>
      </c>
      <c r="F54" s="157">
        <f t="shared" si="22"/>
        <v>0</v>
      </c>
      <c r="G54" s="157">
        <f t="shared" si="22"/>
        <v>0</v>
      </c>
      <c r="H54" s="157">
        <f t="shared" si="22"/>
        <v>0</v>
      </c>
      <c r="I54" s="157">
        <f t="shared" si="22"/>
        <v>0</v>
      </c>
      <c r="J54" s="157">
        <f t="shared" si="22"/>
        <v>0</v>
      </c>
      <c r="K54" s="157">
        <f t="shared" si="22"/>
        <v>0</v>
      </c>
      <c r="L54" s="157">
        <f t="shared" si="22"/>
        <v>0</v>
      </c>
      <c r="M54" s="157">
        <f t="shared" si="22"/>
        <v>0</v>
      </c>
      <c r="N54" s="157">
        <f t="shared" si="22"/>
        <v>0</v>
      </c>
      <c r="O54" s="135">
        <f t="shared" si="16"/>
        <v>0</v>
      </c>
      <c r="P54" s="9"/>
      <c r="Q54" s="133"/>
      <c r="R54" s="63"/>
      <c r="S54" s="63"/>
    </row>
    <row r="55" spans="2:19" x14ac:dyDescent="0.35">
      <c r="B55" s="156" t="s">
        <v>110</v>
      </c>
      <c r="C55" s="158">
        <f>C53-C54</f>
        <v>0</v>
      </c>
      <c r="D55" s="158">
        <f t="shared" ref="D55:N55" si="23">D53-D54</f>
        <v>0</v>
      </c>
      <c r="E55" s="158">
        <f t="shared" si="23"/>
        <v>0</v>
      </c>
      <c r="F55" s="158">
        <f t="shared" si="23"/>
        <v>0</v>
      </c>
      <c r="G55" s="158">
        <f t="shared" si="23"/>
        <v>0</v>
      </c>
      <c r="H55" s="158">
        <f t="shared" si="23"/>
        <v>0</v>
      </c>
      <c r="I55" s="158">
        <f t="shared" si="23"/>
        <v>0</v>
      </c>
      <c r="J55" s="158">
        <f t="shared" si="23"/>
        <v>0</v>
      </c>
      <c r="K55" s="158">
        <f t="shared" si="23"/>
        <v>0</v>
      </c>
      <c r="L55" s="158">
        <f t="shared" si="23"/>
        <v>0</v>
      </c>
      <c r="M55" s="158">
        <f t="shared" si="23"/>
        <v>0</v>
      </c>
      <c r="N55" s="158">
        <f t="shared" si="23"/>
        <v>0</v>
      </c>
      <c r="O55" s="145">
        <f>O21+O27+O33+O39+O45+O51</f>
        <v>0</v>
      </c>
      <c r="P55" s="9"/>
      <c r="Q55" s="133"/>
    </row>
    <row r="56" spans="2:19" s="63" customFormat="1" x14ac:dyDescent="0.35"/>
    <row r="60" spans="2:19" x14ac:dyDescent="0.35">
      <c r="B60" s="8"/>
    </row>
  </sheetData>
  <sheetProtection password="CC3D" sheet="1" objects="1" scenarios="1" formatColumns="0" formatRows="0"/>
  <mergeCells count="4">
    <mergeCell ref="C15:N15"/>
    <mergeCell ref="B2:C2"/>
    <mergeCell ref="B7:E7"/>
    <mergeCell ref="C5:D5"/>
  </mergeCells>
  <phoneticPr fontId="3" type="noConversion"/>
  <conditionalFormatting sqref="C18:N18">
    <cfRule type="containsBlanks" dxfId="79" priority="35" stopIfTrue="1">
      <formula>LEN(TRIM(C18))=0</formula>
    </cfRule>
  </conditionalFormatting>
  <conditionalFormatting sqref="C24:N24">
    <cfRule type="containsBlanks" dxfId="78" priority="36" stopIfTrue="1">
      <formula>LEN(TRIM(C24))=0</formula>
    </cfRule>
  </conditionalFormatting>
  <conditionalFormatting sqref="C30:N30 C36:N36 C42:N42 C48:N48">
    <cfRule type="containsBlanks" dxfId="77" priority="37" stopIfTrue="1">
      <formula>LEN(TRIM(C30))=0</formula>
    </cfRule>
  </conditionalFormatting>
  <conditionalFormatting sqref="B9:E14">
    <cfRule type="containsBlanks" dxfId="76" priority="34">
      <formula>LEN(TRIM(B9))=0</formula>
    </cfRule>
  </conditionalFormatting>
  <hyperlinks>
    <hyperlink ref="E8" location="'COGS Calculator'!A1" display="COGS Per Unit" xr:uid="{00000000-0004-0000-0400-000000000000}"/>
  </hyperlinks>
  <printOptions horizontalCentered="1"/>
  <pageMargins left="0.25" right="0.25" top="0.75" bottom="0.75" header="0.3" footer="0.3"/>
  <pageSetup scale="62" orientation="landscape" r:id="rId1"/>
  <headerFooter scaleWithDoc="0">
    <oddHeader>&amp;C&amp;"Gill Sans MT,Regular"&amp;12Sales Forecst Year 1</oddHeader>
    <oddFooter>&amp;L&amp;"Gill Sans MT,Regular"&amp;12&amp;F&amp;C&amp;"Gill Sans MT,Regular"&amp;12&amp;A&amp;R&amp;"Gill Sans MT,Regular"&amp;12&amp;D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95B"/>
    <pageSetUpPr fitToPage="1"/>
  </sheetPr>
  <dimension ref="A1:AF49"/>
  <sheetViews>
    <sheetView topLeftCell="Q4" zoomScaleNormal="100" zoomScalePageLayoutView="50" workbookViewId="0">
      <selection activeCell="AC12" sqref="AC12"/>
    </sheetView>
  </sheetViews>
  <sheetFormatPr defaultColWidth="8.88671875" defaultRowHeight="13.8" x14ac:dyDescent="0.35"/>
  <cols>
    <col min="1" max="1" width="26.33203125" style="71" bestFit="1" customWidth="1"/>
    <col min="2" max="2" width="30.6640625" style="71" bestFit="1" customWidth="1"/>
    <col min="3" max="3" width="9.33203125" style="71" customWidth="1"/>
    <col min="4" max="4" width="10.33203125" style="71" bestFit="1" customWidth="1"/>
    <col min="5" max="5" width="9.33203125" style="71" customWidth="1"/>
    <col min="6" max="6" width="9" style="63" bestFit="1" customWidth="1"/>
    <col min="7" max="7" width="9.44140625" style="63" customWidth="1"/>
    <col min="8" max="8" width="9" style="71" bestFit="1" customWidth="1"/>
    <col min="9" max="9" width="9.33203125" style="71" customWidth="1"/>
    <col min="10" max="10" width="9" style="71" customWidth="1"/>
    <col min="11" max="11" width="11.88671875" style="71" bestFit="1" customWidth="1"/>
    <col min="12" max="12" width="9" style="71" bestFit="1" customWidth="1"/>
    <col min="13" max="14" width="11.33203125" style="71" bestFit="1" customWidth="1"/>
    <col min="15" max="15" width="14.33203125" style="71" bestFit="1" customWidth="1"/>
    <col min="16" max="16" width="13" style="71" customWidth="1"/>
    <col min="17" max="17" width="11.33203125" style="71" bestFit="1" customWidth="1"/>
    <col min="18" max="18" width="8.88671875" style="71"/>
    <col min="19" max="19" width="10.33203125" style="71" bestFit="1" customWidth="1"/>
    <col min="20" max="25" width="8.88671875" style="71"/>
    <col min="26" max="26" width="11.88671875" style="71" bestFit="1" customWidth="1"/>
    <col min="27" max="27" width="8.88671875" style="71"/>
    <col min="28" max="29" width="11.33203125" style="71" bestFit="1" customWidth="1"/>
    <col min="30" max="30" width="11" style="71" bestFit="1" customWidth="1"/>
    <col min="31" max="31" width="13" style="71" bestFit="1" customWidth="1"/>
    <col min="32" max="32" width="12.6640625" style="71" bestFit="1" customWidth="1"/>
    <col min="33" max="16384" width="8.88671875" style="71"/>
  </cols>
  <sheetData>
    <row r="1" spans="1:32" x14ac:dyDescent="0.35">
      <c r="A1" s="63"/>
      <c r="B1" s="63"/>
      <c r="C1" s="63"/>
      <c r="D1" s="63"/>
      <c r="E1" s="63"/>
      <c r="G1" s="162"/>
    </row>
    <row r="2" spans="1:32" x14ac:dyDescent="0.35">
      <c r="B2" s="79" t="s">
        <v>86</v>
      </c>
      <c r="D2" s="63"/>
      <c r="E2" s="63"/>
      <c r="G2" s="71"/>
    </row>
    <row r="3" spans="1:32" ht="21.75" customHeight="1" x14ac:dyDescent="0.35">
      <c r="B3" s="77"/>
      <c r="C3" s="77"/>
      <c r="D3" s="63"/>
      <c r="E3" s="63"/>
      <c r="G3" s="71"/>
    </row>
    <row r="4" spans="1:32" ht="21.75" customHeight="1" x14ac:dyDescent="0.35">
      <c r="B4" s="79" t="s">
        <v>135</v>
      </c>
      <c r="C4" s="79" t="s">
        <v>131</v>
      </c>
      <c r="D4" s="63"/>
      <c r="E4" s="63"/>
      <c r="G4" s="71"/>
    </row>
    <row r="5" spans="1:32" ht="21.75" customHeight="1" x14ac:dyDescent="0.35">
      <c r="B5" s="64" t="str">
        <f>IF(ISBLANK(Directions!C6), "Owner", Directions!C6)</f>
        <v>Thomas Francis</v>
      </c>
      <c r="C5" s="606" t="str">
        <f>IF(ISBLANK(Directions!D6), "Company 1", Directions!D6)</f>
        <v>Project "Dogen"</v>
      </c>
      <c r="D5" s="606"/>
      <c r="E5" s="63"/>
      <c r="G5" s="162"/>
    </row>
    <row r="6" spans="1:32" ht="21.75" customHeight="1" x14ac:dyDescent="0.35">
      <c r="B6" s="77"/>
      <c r="C6" s="77"/>
      <c r="D6" s="63"/>
      <c r="E6" s="63"/>
      <c r="G6" s="162"/>
    </row>
    <row r="7" spans="1:32" x14ac:dyDescent="0.35">
      <c r="B7" s="163" t="s">
        <v>133</v>
      </c>
      <c r="C7" s="165">
        <v>0.1</v>
      </c>
      <c r="D7" s="127"/>
      <c r="E7" s="126"/>
      <c r="G7" s="162"/>
      <c r="L7" s="164"/>
    </row>
    <row r="8" spans="1:32" x14ac:dyDescent="0.35">
      <c r="B8" s="163" t="s">
        <v>134</v>
      </c>
      <c r="C8" s="165">
        <v>0.1</v>
      </c>
      <c r="D8" s="127"/>
      <c r="E8" s="126"/>
      <c r="F8" s="162"/>
      <c r="G8" s="162"/>
      <c r="L8" s="164"/>
    </row>
    <row r="9" spans="1:32" s="63" customFormat="1" x14ac:dyDescent="0.35">
      <c r="A9" s="126"/>
      <c r="B9" s="126"/>
      <c r="C9" s="162"/>
      <c r="D9" s="162"/>
      <c r="E9" s="162"/>
      <c r="F9" s="162"/>
      <c r="G9" s="162"/>
      <c r="H9" s="162"/>
      <c r="I9" s="162"/>
      <c r="J9" s="162"/>
      <c r="K9" s="162"/>
      <c r="L9" s="162"/>
      <c r="M9" s="162"/>
    </row>
    <row r="10" spans="1:32" ht="28.2" thickBot="1" x14ac:dyDescent="0.4">
      <c r="A10" s="414" t="s">
        <v>214</v>
      </c>
      <c r="B10" s="414" t="s">
        <v>208</v>
      </c>
      <c r="C10" s="414" t="str">
        <f>'2a-PayrollYear1'!F7</f>
        <v>June</v>
      </c>
      <c r="D10" s="414" t="str">
        <f>'2a-PayrollYear1'!G7</f>
        <v>July</v>
      </c>
      <c r="E10" s="414" t="str">
        <f>'2a-PayrollYear1'!H7</f>
        <v>August</v>
      </c>
      <c r="F10" s="414" t="str">
        <f>'2a-PayrollYear1'!I7</f>
        <v>September</v>
      </c>
      <c r="G10" s="414" t="str">
        <f>'2a-PayrollYear1'!J7</f>
        <v>October</v>
      </c>
      <c r="H10" s="414" t="str">
        <f>'2a-PayrollYear1'!K7</f>
        <v>November</v>
      </c>
      <c r="I10" s="414" t="str">
        <f>'2a-PayrollYear1'!L7</f>
        <v>December</v>
      </c>
      <c r="J10" s="414" t="str">
        <f>'2a-PayrollYear1'!M7</f>
        <v>January</v>
      </c>
      <c r="K10" s="414" t="str">
        <f>'2a-PayrollYear1'!N7</f>
        <v>February</v>
      </c>
      <c r="L10" s="414" t="str">
        <f>'2a-PayrollYear1'!O7</f>
        <v>March</v>
      </c>
      <c r="M10" s="414" t="str">
        <f>'2a-PayrollYear1'!P7</f>
        <v>April</v>
      </c>
      <c r="N10" s="414" t="str">
        <f>'2a-PayrollYear1'!Q7</f>
        <v>May</v>
      </c>
      <c r="O10" s="413" t="s">
        <v>209</v>
      </c>
      <c r="P10" s="413" t="s">
        <v>218</v>
      </c>
      <c r="Q10" s="413" t="s">
        <v>111</v>
      </c>
      <c r="R10" s="414" t="str">
        <f>'2a-PayrollYear1'!F7</f>
        <v>June</v>
      </c>
      <c r="S10" s="414" t="str">
        <f>'2a-PayrollYear1'!G7</f>
        <v>July</v>
      </c>
      <c r="T10" s="414" t="str">
        <f>'2a-PayrollYear1'!H7</f>
        <v>August</v>
      </c>
      <c r="U10" s="414" t="str">
        <f>'2a-PayrollYear1'!I7</f>
        <v>September</v>
      </c>
      <c r="V10" s="414" t="str">
        <f>'2a-PayrollYear1'!J7</f>
        <v>October</v>
      </c>
      <c r="W10" s="414" t="str">
        <f>'2a-PayrollYear1'!K7</f>
        <v>November</v>
      </c>
      <c r="X10" s="414" t="str">
        <f>'2a-PayrollYear1'!L7</f>
        <v>December</v>
      </c>
      <c r="Y10" s="414" t="str">
        <f>'2a-PayrollYear1'!M7</f>
        <v>January</v>
      </c>
      <c r="Z10" s="414" t="str">
        <f>'2a-PayrollYear1'!N7</f>
        <v>February</v>
      </c>
      <c r="AA10" s="414" t="str">
        <f>'2a-PayrollYear1'!O7</f>
        <v>March</v>
      </c>
      <c r="AB10" s="414" t="str">
        <f>'2a-PayrollYear1'!P7</f>
        <v>April</v>
      </c>
      <c r="AC10" s="414" t="str">
        <f>'2a-PayrollYear1'!Q7</f>
        <v>May</v>
      </c>
      <c r="AD10" s="413" t="s">
        <v>210</v>
      </c>
      <c r="AE10" s="413" t="s">
        <v>218</v>
      </c>
      <c r="AF10" s="413" t="s">
        <v>111</v>
      </c>
    </row>
    <row r="11" spans="1:32" s="63" customFormat="1" ht="14.4" thickTop="1" x14ac:dyDescent="0.35">
      <c r="A11" s="141" t="str">
        <f>'3a-SalesForecastYear1'!B17</f>
        <v>Product 1</v>
      </c>
      <c r="B11" s="141"/>
      <c r="C11" s="399"/>
      <c r="D11" s="399"/>
      <c r="E11" s="399"/>
      <c r="F11" s="399"/>
      <c r="G11" s="399"/>
      <c r="H11" s="399"/>
      <c r="I11" s="399"/>
      <c r="J11" s="399"/>
      <c r="K11" s="399"/>
      <c r="L11" s="399"/>
      <c r="M11" s="399"/>
      <c r="N11" s="399"/>
      <c r="O11" s="143"/>
      <c r="P11" s="390"/>
      <c r="Q11" s="143"/>
      <c r="R11" s="399"/>
      <c r="S11" s="399"/>
      <c r="T11" s="399"/>
      <c r="U11" s="399"/>
      <c r="V11" s="399"/>
      <c r="W11" s="399"/>
      <c r="X11" s="399"/>
      <c r="Y11" s="399"/>
      <c r="Z11" s="399"/>
      <c r="AA11" s="399"/>
      <c r="AB11" s="399"/>
      <c r="AC11" s="399"/>
      <c r="AD11" s="143"/>
      <c r="AE11" s="390"/>
      <c r="AF11" s="143"/>
    </row>
    <row r="12" spans="1:32" s="63" customFormat="1" x14ac:dyDescent="0.35">
      <c r="A12" s="131" t="str">
        <f>Unit1&amp; " Sold"</f>
        <v xml:space="preserve"> Sold</v>
      </c>
      <c r="B12" s="131">
        <f>Unit1_Annual</f>
        <v>0</v>
      </c>
      <c r="C12" s="343">
        <f>'3a-SalesForecastYear1'!C18+('3a-SalesForecastYear1'!C18*$C$7)</f>
        <v>0</v>
      </c>
      <c r="D12" s="343">
        <f>'3a-SalesForecastYear1'!D18+('3a-SalesForecastYear1'!D18*$C$7)</f>
        <v>0</v>
      </c>
      <c r="E12" s="343">
        <f>'3a-SalesForecastYear1'!E18+('3a-SalesForecastYear1'!E18*$C$7)</f>
        <v>0</v>
      </c>
      <c r="F12" s="343">
        <f>'3a-SalesForecastYear1'!F18+('3a-SalesForecastYear1'!F18*$C$7)</f>
        <v>0</v>
      </c>
      <c r="G12" s="343">
        <f>'3a-SalesForecastYear1'!G18+('3a-SalesForecastYear1'!G18*$C$7)</f>
        <v>0</v>
      </c>
      <c r="H12" s="343">
        <f>'3a-SalesForecastYear1'!H18+('3a-SalesForecastYear1'!H18*$C$7)</f>
        <v>0</v>
      </c>
      <c r="I12" s="343">
        <f>'3a-SalesForecastYear1'!I18+('3a-SalesForecastYear1'!I18*$C$7)</f>
        <v>0</v>
      </c>
      <c r="J12" s="343">
        <f>'3a-SalesForecastYear1'!J18+('3a-SalesForecastYear1'!J18*$C$7)</f>
        <v>0</v>
      </c>
      <c r="K12" s="343">
        <f>'3a-SalesForecastYear1'!K18+('3a-SalesForecastYear1'!K18*$C$7)</f>
        <v>0</v>
      </c>
      <c r="L12" s="343">
        <f>'3a-SalesForecastYear1'!L18+('3a-SalesForecastYear1'!L18*$C$7)</f>
        <v>0</v>
      </c>
      <c r="M12" s="343">
        <f>'3a-SalesForecastYear1'!M18+('3a-SalesForecastYear1'!M18*$C$7)</f>
        <v>0</v>
      </c>
      <c r="N12" s="343">
        <f>'3a-SalesForecastYear1'!N18+('3a-SalesForecastYear1'!N18*$C$7)</f>
        <v>0</v>
      </c>
      <c r="O12" s="362">
        <f>SUM(C12:N12)</f>
        <v>0</v>
      </c>
      <c r="P12" s="9"/>
      <c r="Q12" s="354">
        <f>IF($O$46=0,0,O12/$O$46)</f>
        <v>0</v>
      </c>
      <c r="R12" s="343">
        <f t="shared" ref="R12:AB12" si="0">C12+(C12*$C$8)</f>
        <v>0</v>
      </c>
      <c r="S12" s="343">
        <f t="shared" si="0"/>
        <v>0</v>
      </c>
      <c r="T12" s="343">
        <f t="shared" si="0"/>
        <v>0</v>
      </c>
      <c r="U12" s="343">
        <f t="shared" si="0"/>
        <v>0</v>
      </c>
      <c r="V12" s="343">
        <f t="shared" si="0"/>
        <v>0</v>
      </c>
      <c r="W12" s="343">
        <f t="shared" si="0"/>
        <v>0</v>
      </c>
      <c r="X12" s="343">
        <f t="shared" si="0"/>
        <v>0</v>
      </c>
      <c r="Y12" s="343">
        <f t="shared" si="0"/>
        <v>0</v>
      </c>
      <c r="Z12" s="343">
        <f t="shared" si="0"/>
        <v>0</v>
      </c>
      <c r="AA12" s="343">
        <f t="shared" si="0"/>
        <v>0</v>
      </c>
      <c r="AB12" s="343">
        <f t="shared" si="0"/>
        <v>0</v>
      </c>
      <c r="AC12" s="345">
        <f>N12+(N12*$C$8)</f>
        <v>0</v>
      </c>
      <c r="AD12" s="362">
        <f>SUM(R12:AC12)</f>
        <v>0</v>
      </c>
      <c r="AE12" s="9"/>
      <c r="AF12" s="354">
        <f>IF($AD$46=0,0,AD12/$AD$46)</f>
        <v>0</v>
      </c>
    </row>
    <row r="13" spans="1:32" x14ac:dyDescent="0.35">
      <c r="A13" s="134" t="s">
        <v>109</v>
      </c>
      <c r="B13" s="336">
        <f>Category1_Annual_Sales</f>
        <v>0</v>
      </c>
      <c r="C13" s="345">
        <f>+C12*'3a-SalesForecastYear1'!$D$9</f>
        <v>0</v>
      </c>
      <c r="D13" s="345">
        <f>+D12*'3a-SalesForecastYear1'!$D$9</f>
        <v>0</v>
      </c>
      <c r="E13" s="345">
        <f>+E12*'3a-SalesForecastYear1'!$D$9</f>
        <v>0</v>
      </c>
      <c r="F13" s="345">
        <f>+F12*'3a-SalesForecastYear1'!$D$9</f>
        <v>0</v>
      </c>
      <c r="G13" s="345">
        <f>+G12*'3a-SalesForecastYear1'!$D$9</f>
        <v>0</v>
      </c>
      <c r="H13" s="345">
        <f>+H12*'3a-SalesForecastYear1'!$D$9</f>
        <v>0</v>
      </c>
      <c r="I13" s="345">
        <f>+I12*'3a-SalesForecastYear1'!$D$9</f>
        <v>0</v>
      </c>
      <c r="J13" s="345">
        <f>+J12*'3a-SalesForecastYear1'!$D$9</f>
        <v>0</v>
      </c>
      <c r="K13" s="345">
        <f>+K12*'3a-SalesForecastYear1'!$D$9</f>
        <v>0</v>
      </c>
      <c r="L13" s="345">
        <f>+L12*'3a-SalesForecastYear1'!$D$9</f>
        <v>0</v>
      </c>
      <c r="M13" s="345">
        <f>+M12*'3a-SalesForecastYear1'!$D$9</f>
        <v>0</v>
      </c>
      <c r="N13" s="345">
        <f>+N12*'3a-SalesForecastYear1'!$D$9</f>
        <v>0</v>
      </c>
      <c r="O13" s="135">
        <f>SUM(C13:N13)</f>
        <v>0</v>
      </c>
      <c r="P13" s="355">
        <f>(P14+P15)</f>
        <v>0</v>
      </c>
      <c r="Q13" s="354">
        <f>IF($O$47=0,0,O13/$O$47)</f>
        <v>0</v>
      </c>
      <c r="R13" s="345">
        <f>+R12*'3a-SalesForecastYear1'!$D$9</f>
        <v>0</v>
      </c>
      <c r="S13" s="345">
        <f>+S12*'3a-SalesForecastYear1'!$D$9</f>
        <v>0</v>
      </c>
      <c r="T13" s="345">
        <f>+T12*'3a-SalesForecastYear1'!$D$9</f>
        <v>0</v>
      </c>
      <c r="U13" s="345">
        <f>+U12*'3a-SalesForecastYear1'!$D$9</f>
        <v>0</v>
      </c>
      <c r="V13" s="345">
        <f>+V12*'3a-SalesForecastYear1'!$D$9</f>
        <v>0</v>
      </c>
      <c r="W13" s="345">
        <f>+W12*'3a-SalesForecastYear1'!$D$9</f>
        <v>0</v>
      </c>
      <c r="X13" s="345">
        <f>+X12*'3a-SalesForecastYear1'!$D$9</f>
        <v>0</v>
      </c>
      <c r="Y13" s="345">
        <f>+Y12*'3a-SalesForecastYear1'!$D$9</f>
        <v>0</v>
      </c>
      <c r="Z13" s="345">
        <f>+Z12*'3a-SalesForecastYear1'!$D$9</f>
        <v>0</v>
      </c>
      <c r="AA13" s="345">
        <f>+AA12*'3a-SalesForecastYear1'!$D$9</f>
        <v>0</v>
      </c>
      <c r="AB13" s="345">
        <f>+AB12*'3a-SalesForecastYear1'!$D$9</f>
        <v>0</v>
      </c>
      <c r="AC13" s="345">
        <f>+AC12*'3a-SalesForecastYear1'!$D$9</f>
        <v>0</v>
      </c>
      <c r="AD13" s="135">
        <f>SUM(R13:AC13)</f>
        <v>0</v>
      </c>
      <c r="AE13" s="355">
        <f>(AE14+AE15)</f>
        <v>0</v>
      </c>
      <c r="AF13" s="354">
        <f>IF($AD$47=0,0,AD13/$AD$47)</f>
        <v>0</v>
      </c>
    </row>
    <row r="14" spans="1:32" x14ac:dyDescent="0.35">
      <c r="A14" s="134" t="s">
        <v>216</v>
      </c>
      <c r="B14" s="336">
        <f>'3a-SalesForecastYear1'!O20</f>
        <v>0</v>
      </c>
      <c r="C14" s="345">
        <f>+C12*'3a-SalesForecastYear1'!$E$9</f>
        <v>0</v>
      </c>
      <c r="D14" s="345">
        <f>+D12*'3a-SalesForecastYear1'!$E$9</f>
        <v>0</v>
      </c>
      <c r="E14" s="345">
        <f>+E12*'3a-SalesForecastYear1'!$E$9</f>
        <v>0</v>
      </c>
      <c r="F14" s="345">
        <f>+F12*'3a-SalesForecastYear1'!$E$9</f>
        <v>0</v>
      </c>
      <c r="G14" s="345">
        <f>+G12*'3a-SalesForecastYear1'!$E$9</f>
        <v>0</v>
      </c>
      <c r="H14" s="345">
        <f>+H12*'3a-SalesForecastYear1'!$E$9</f>
        <v>0</v>
      </c>
      <c r="I14" s="345">
        <f>+I12*'3a-SalesForecastYear1'!$E$9</f>
        <v>0</v>
      </c>
      <c r="J14" s="345">
        <f>+J12*'3a-SalesForecastYear1'!$E$9</f>
        <v>0</v>
      </c>
      <c r="K14" s="345">
        <f>+K12*'3a-SalesForecastYear1'!$E$9</f>
        <v>0</v>
      </c>
      <c r="L14" s="345">
        <f>+L12*'3a-SalesForecastYear1'!$E$9</f>
        <v>0</v>
      </c>
      <c r="M14" s="345">
        <f>+M12*'3a-SalesForecastYear1'!$E$9</f>
        <v>0</v>
      </c>
      <c r="N14" s="345">
        <f>+N12*'3a-SalesForecastYear1'!$E$9</f>
        <v>0</v>
      </c>
      <c r="O14" s="135">
        <f>SUM(C14:N14)</f>
        <v>0</v>
      </c>
      <c r="P14" s="355">
        <f>IF(O13=0,0,O14/O13)</f>
        <v>0</v>
      </c>
      <c r="Q14" s="354">
        <f>IF($O$48=0,0,O14/$O$48)</f>
        <v>0</v>
      </c>
      <c r="R14" s="345">
        <f>+R12*'3a-SalesForecastYear1'!$E$9</f>
        <v>0</v>
      </c>
      <c r="S14" s="345">
        <f>+S12*'3a-SalesForecastYear1'!$E$9</f>
        <v>0</v>
      </c>
      <c r="T14" s="345">
        <f>+T12*'3a-SalesForecastYear1'!$E$9</f>
        <v>0</v>
      </c>
      <c r="U14" s="345">
        <f>+U12*'3a-SalesForecastYear1'!$E$9</f>
        <v>0</v>
      </c>
      <c r="V14" s="345">
        <f>+V12*'3a-SalesForecastYear1'!$E$9</f>
        <v>0</v>
      </c>
      <c r="W14" s="345">
        <f>+W12*'3a-SalesForecastYear1'!$E$9</f>
        <v>0</v>
      </c>
      <c r="X14" s="345">
        <f>+X12*'3a-SalesForecastYear1'!$E$9</f>
        <v>0</v>
      </c>
      <c r="Y14" s="345">
        <f>+Y12*'3a-SalesForecastYear1'!$E$9</f>
        <v>0</v>
      </c>
      <c r="Z14" s="345">
        <f>+Z12*'3a-SalesForecastYear1'!$E$9</f>
        <v>0</v>
      </c>
      <c r="AA14" s="345">
        <f>+AA12*'3a-SalesForecastYear1'!$E$9</f>
        <v>0</v>
      </c>
      <c r="AB14" s="345">
        <f>+AB12*'3a-SalesForecastYear1'!$E$9</f>
        <v>0</v>
      </c>
      <c r="AC14" s="345">
        <f>+AC12*'3a-SalesForecastYear1'!$E$9</f>
        <v>0</v>
      </c>
      <c r="AD14" s="135">
        <f>SUM(R14:AC14)</f>
        <v>0</v>
      </c>
      <c r="AE14" s="355">
        <f>IF(AD13=0,0,AD14/AD13)</f>
        <v>0</v>
      </c>
      <c r="AF14" s="354">
        <f>IF($AD$48=0,0,AD14/$AD$48)</f>
        <v>0</v>
      </c>
    </row>
    <row r="15" spans="1:32" s="65" customFormat="1" x14ac:dyDescent="0.35">
      <c r="A15" s="136" t="s">
        <v>110</v>
      </c>
      <c r="B15" s="336">
        <f>'3a-SalesForecastYear1'!O21</f>
        <v>0</v>
      </c>
      <c r="C15" s="345">
        <f>C13-C14</f>
        <v>0</v>
      </c>
      <c r="D15" s="345">
        <f t="shared" ref="D15:N15" si="1">D13-D14</f>
        <v>0</v>
      </c>
      <c r="E15" s="345">
        <f t="shared" si="1"/>
        <v>0</v>
      </c>
      <c r="F15" s="345">
        <f t="shared" si="1"/>
        <v>0</v>
      </c>
      <c r="G15" s="345">
        <f t="shared" si="1"/>
        <v>0</v>
      </c>
      <c r="H15" s="345">
        <f t="shared" si="1"/>
        <v>0</v>
      </c>
      <c r="I15" s="345">
        <f t="shared" si="1"/>
        <v>0</v>
      </c>
      <c r="J15" s="345">
        <f t="shared" si="1"/>
        <v>0</v>
      </c>
      <c r="K15" s="345">
        <f t="shared" si="1"/>
        <v>0</v>
      </c>
      <c r="L15" s="345">
        <f t="shared" si="1"/>
        <v>0</v>
      </c>
      <c r="M15" s="345">
        <f t="shared" si="1"/>
        <v>0</v>
      </c>
      <c r="N15" s="345">
        <f t="shared" si="1"/>
        <v>0</v>
      </c>
      <c r="O15" s="135">
        <f>SUM(C15:N15)</f>
        <v>0</v>
      </c>
      <c r="P15" s="355">
        <f>IF(O13=0,0,O15/O13)</f>
        <v>0</v>
      </c>
      <c r="Q15" s="354">
        <f>IF($O$49=0,0,O15/$O$49)</f>
        <v>0</v>
      </c>
      <c r="R15" s="345">
        <f>R13-R14</f>
        <v>0</v>
      </c>
      <c r="S15" s="345">
        <f t="shared" ref="S15:AC15" si="2">S13-S14</f>
        <v>0</v>
      </c>
      <c r="T15" s="345">
        <f t="shared" si="2"/>
        <v>0</v>
      </c>
      <c r="U15" s="345">
        <f t="shared" si="2"/>
        <v>0</v>
      </c>
      <c r="V15" s="345">
        <f t="shared" si="2"/>
        <v>0</v>
      </c>
      <c r="W15" s="345">
        <f t="shared" si="2"/>
        <v>0</v>
      </c>
      <c r="X15" s="345">
        <f t="shared" si="2"/>
        <v>0</v>
      </c>
      <c r="Y15" s="345">
        <f t="shared" si="2"/>
        <v>0</v>
      </c>
      <c r="Z15" s="345">
        <f t="shared" si="2"/>
        <v>0</v>
      </c>
      <c r="AA15" s="345">
        <f t="shared" si="2"/>
        <v>0</v>
      </c>
      <c r="AB15" s="345">
        <f t="shared" si="2"/>
        <v>0</v>
      </c>
      <c r="AC15" s="345">
        <f t="shared" si="2"/>
        <v>0</v>
      </c>
      <c r="AD15" s="135">
        <f>SUM(R15:AC15)</f>
        <v>0</v>
      </c>
      <c r="AE15" s="355">
        <f>IF(AD13=0,0,AD15/AD13)</f>
        <v>0</v>
      </c>
      <c r="AF15" s="354">
        <f>IF($AD$49=0,0,AD15/$AD$49)</f>
        <v>0</v>
      </c>
    </row>
    <row r="16" spans="1:32" s="65" customFormat="1" x14ac:dyDescent="0.35">
      <c r="A16" s="137"/>
      <c r="B16" s="334"/>
      <c r="C16" s="138"/>
      <c r="D16" s="139"/>
      <c r="E16" s="139"/>
      <c r="F16" s="139"/>
      <c r="G16" s="139"/>
      <c r="H16" s="139"/>
      <c r="I16" s="139"/>
      <c r="J16" s="139"/>
      <c r="K16" s="139"/>
      <c r="L16" s="139"/>
      <c r="M16" s="139"/>
      <c r="N16" s="139"/>
      <c r="O16" s="140"/>
      <c r="P16" s="9"/>
      <c r="Q16" s="133"/>
      <c r="R16" s="138"/>
      <c r="S16" s="139"/>
      <c r="T16" s="139"/>
      <c r="U16" s="139"/>
      <c r="V16" s="139"/>
      <c r="W16" s="139"/>
      <c r="X16" s="139"/>
      <c r="Y16" s="139"/>
      <c r="Z16" s="139"/>
      <c r="AA16" s="139"/>
      <c r="AB16" s="139"/>
      <c r="AC16" s="139"/>
      <c r="AD16" s="140"/>
      <c r="AE16" s="9"/>
      <c r="AF16" s="133"/>
    </row>
    <row r="17" spans="1:32" s="63" customFormat="1" x14ac:dyDescent="0.35">
      <c r="A17" s="141" t="str">
        <f>'3a-SalesForecastYear1'!B23</f>
        <v>Product 2</v>
      </c>
      <c r="B17" s="141"/>
      <c r="C17" s="142"/>
      <c r="D17" s="142"/>
      <c r="E17" s="142"/>
      <c r="F17" s="142"/>
      <c r="G17" s="142"/>
      <c r="H17" s="142"/>
      <c r="I17" s="142"/>
      <c r="J17" s="142"/>
      <c r="K17" s="142"/>
      <c r="L17" s="142"/>
      <c r="M17" s="142"/>
      <c r="N17" s="142"/>
      <c r="O17" s="143"/>
      <c r="P17" s="9"/>
      <c r="Q17" s="133"/>
      <c r="R17" s="142"/>
      <c r="S17" s="142"/>
      <c r="T17" s="142"/>
      <c r="U17" s="142"/>
      <c r="V17" s="142"/>
      <c r="W17" s="142"/>
      <c r="X17" s="142"/>
      <c r="Y17" s="142"/>
      <c r="Z17" s="142"/>
      <c r="AA17" s="142"/>
      <c r="AB17" s="142"/>
      <c r="AC17" s="142"/>
      <c r="AD17" s="143"/>
      <c r="AE17" s="9"/>
      <c r="AF17" s="133"/>
    </row>
    <row r="18" spans="1:32" s="63" customFormat="1" x14ac:dyDescent="0.35">
      <c r="A18" s="131" t="str">
        <f>Unit2&amp; " Sold"</f>
        <v xml:space="preserve"> Sold</v>
      </c>
      <c r="B18" s="131">
        <f>Unit2_Annual</f>
        <v>0</v>
      </c>
      <c r="C18" s="343">
        <f>'3a-SalesForecastYear1'!C24+('3a-SalesForecastYear1'!C24*$C$7)</f>
        <v>0</v>
      </c>
      <c r="D18" s="343">
        <f>'3a-SalesForecastYear1'!D24+('3a-SalesForecastYear1'!D24*$C$7)</f>
        <v>0</v>
      </c>
      <c r="E18" s="343">
        <f>'3a-SalesForecastYear1'!E24+('3a-SalesForecastYear1'!E24*$C$7)</f>
        <v>0</v>
      </c>
      <c r="F18" s="343">
        <f>'3a-SalesForecastYear1'!F24+('3a-SalesForecastYear1'!F24*$C$7)</f>
        <v>0</v>
      </c>
      <c r="G18" s="343">
        <f>'3a-SalesForecastYear1'!G24+('3a-SalesForecastYear1'!G24*$C$7)</f>
        <v>0</v>
      </c>
      <c r="H18" s="343">
        <f>'3a-SalesForecastYear1'!H24+('3a-SalesForecastYear1'!H24*$C$7)</f>
        <v>0</v>
      </c>
      <c r="I18" s="343">
        <f>'3a-SalesForecastYear1'!I24+('3a-SalesForecastYear1'!I24*$C$7)</f>
        <v>0</v>
      </c>
      <c r="J18" s="343">
        <f>'3a-SalesForecastYear1'!J24+('3a-SalesForecastYear1'!J24*$C$7)</f>
        <v>0</v>
      </c>
      <c r="K18" s="343">
        <f>'3a-SalesForecastYear1'!K24+('3a-SalesForecastYear1'!K24*$C$7)</f>
        <v>0</v>
      </c>
      <c r="L18" s="343">
        <f>'3a-SalesForecastYear1'!L24+('3a-SalesForecastYear1'!L24*$C$7)</f>
        <v>0</v>
      </c>
      <c r="M18" s="343">
        <f>'3a-SalesForecastYear1'!M24+('3a-SalesForecastYear1'!M24*$C$7)</f>
        <v>0</v>
      </c>
      <c r="N18" s="343">
        <f>'3a-SalesForecastYear1'!N24+('3a-SalesForecastYear1'!N24*$C$7)</f>
        <v>0</v>
      </c>
      <c r="O18" s="363">
        <f>SUM(C18:N18)</f>
        <v>0</v>
      </c>
      <c r="P18" s="9"/>
      <c r="Q18" s="354">
        <f>IF($O$46=0,0,O18/$O$46)</f>
        <v>0</v>
      </c>
      <c r="R18" s="343">
        <f>C18+(C18*$C$8)</f>
        <v>0</v>
      </c>
      <c r="S18" s="343">
        <f t="shared" ref="S18:AC18" si="3">D18+(D18*$C$8)</f>
        <v>0</v>
      </c>
      <c r="T18" s="343">
        <f t="shared" si="3"/>
        <v>0</v>
      </c>
      <c r="U18" s="343">
        <f t="shared" si="3"/>
        <v>0</v>
      </c>
      <c r="V18" s="343">
        <f t="shared" si="3"/>
        <v>0</v>
      </c>
      <c r="W18" s="343">
        <f t="shared" si="3"/>
        <v>0</v>
      </c>
      <c r="X18" s="343">
        <f t="shared" si="3"/>
        <v>0</v>
      </c>
      <c r="Y18" s="343">
        <f t="shared" si="3"/>
        <v>0</v>
      </c>
      <c r="Z18" s="343">
        <f t="shared" si="3"/>
        <v>0</v>
      </c>
      <c r="AA18" s="343">
        <f t="shared" si="3"/>
        <v>0</v>
      </c>
      <c r="AB18" s="343">
        <f t="shared" si="3"/>
        <v>0</v>
      </c>
      <c r="AC18" s="343">
        <f t="shared" si="3"/>
        <v>0</v>
      </c>
      <c r="AD18" s="363">
        <f>SUM(R18:AC18)</f>
        <v>0</v>
      </c>
      <c r="AE18" s="9"/>
      <c r="AF18" s="354">
        <f>IF($AD$46=0,0,AD18/$AD$46)</f>
        <v>0</v>
      </c>
    </row>
    <row r="19" spans="1:32" x14ac:dyDescent="0.35">
      <c r="A19" s="144" t="s">
        <v>109</v>
      </c>
      <c r="B19" s="337">
        <f>Category2_Annual_Sales</f>
        <v>0</v>
      </c>
      <c r="C19" s="345">
        <f>+C18*'3a-SalesForecastYear1'!$D$10</f>
        <v>0</v>
      </c>
      <c r="D19" s="345">
        <f>+D18*'3a-SalesForecastYear1'!$D$10</f>
        <v>0</v>
      </c>
      <c r="E19" s="345">
        <f>+E18*'3a-SalesForecastYear1'!$D$10</f>
        <v>0</v>
      </c>
      <c r="F19" s="345">
        <f>+F18*'3a-SalesForecastYear1'!$D$10</f>
        <v>0</v>
      </c>
      <c r="G19" s="345">
        <f>+G18*'3a-SalesForecastYear1'!$D$10</f>
        <v>0</v>
      </c>
      <c r="H19" s="345">
        <f>+H18*'3a-SalesForecastYear1'!$D$10</f>
        <v>0</v>
      </c>
      <c r="I19" s="345">
        <f>+I18*'3a-SalesForecastYear1'!$D$10</f>
        <v>0</v>
      </c>
      <c r="J19" s="345">
        <f>+J18*'3a-SalesForecastYear1'!$D$10</f>
        <v>0</v>
      </c>
      <c r="K19" s="345">
        <f>+K18*'3a-SalesForecastYear1'!$D$10</f>
        <v>0</v>
      </c>
      <c r="L19" s="345">
        <f>+L18*'3a-SalesForecastYear1'!$D$10</f>
        <v>0</v>
      </c>
      <c r="M19" s="345">
        <f>+M18*'3a-SalesForecastYear1'!$D$10</f>
        <v>0</v>
      </c>
      <c r="N19" s="345">
        <f>+N18*'3a-SalesForecastYear1'!$D$10</f>
        <v>0</v>
      </c>
      <c r="O19" s="145">
        <f>SUM(C19:N19)</f>
        <v>0</v>
      </c>
      <c r="P19" s="355">
        <f>(P20+P21)</f>
        <v>0</v>
      </c>
      <c r="Q19" s="354">
        <f>IF($O$47=0,0,O19/$O$47)</f>
        <v>0</v>
      </c>
      <c r="R19" s="345">
        <f>+R18*'3a-SalesForecastYear1'!$D$10</f>
        <v>0</v>
      </c>
      <c r="S19" s="345">
        <f>+S18*'3a-SalesForecastYear1'!$D$10</f>
        <v>0</v>
      </c>
      <c r="T19" s="345">
        <f>+T18*'3a-SalesForecastYear1'!$D$10</f>
        <v>0</v>
      </c>
      <c r="U19" s="345">
        <f>+U18*'3a-SalesForecastYear1'!$D$10</f>
        <v>0</v>
      </c>
      <c r="V19" s="345">
        <f>+V18*'3a-SalesForecastYear1'!$D$10</f>
        <v>0</v>
      </c>
      <c r="W19" s="345">
        <f>+W18*'3a-SalesForecastYear1'!$D$10</f>
        <v>0</v>
      </c>
      <c r="X19" s="345">
        <f>+X18*'3a-SalesForecastYear1'!$D$10</f>
        <v>0</v>
      </c>
      <c r="Y19" s="345">
        <f>+Y18*'3a-SalesForecastYear1'!$D$10</f>
        <v>0</v>
      </c>
      <c r="Z19" s="345">
        <f>+Z18*'3a-SalesForecastYear1'!$D$10</f>
        <v>0</v>
      </c>
      <c r="AA19" s="345">
        <f>+AA18*'3a-SalesForecastYear1'!$D$10</f>
        <v>0</v>
      </c>
      <c r="AB19" s="345">
        <f>+AB18*'3a-SalesForecastYear1'!$D$10</f>
        <v>0</v>
      </c>
      <c r="AC19" s="345">
        <f>+AC18*'3a-SalesForecastYear1'!$D$10</f>
        <v>0</v>
      </c>
      <c r="AD19" s="145">
        <f>SUM(R19:AC19)</f>
        <v>0</v>
      </c>
      <c r="AE19" s="355">
        <f>(AE20+AE21)</f>
        <v>0</v>
      </c>
      <c r="AF19" s="354">
        <f>IF($AD$47=0,0,AD19/$AD$47)</f>
        <v>0</v>
      </c>
    </row>
    <row r="20" spans="1:32" x14ac:dyDescent="0.35">
      <c r="A20" s="144" t="s">
        <v>216</v>
      </c>
      <c r="B20" s="337">
        <f>'3a-SalesForecastYear1'!O26</f>
        <v>0</v>
      </c>
      <c r="C20" s="345">
        <f>+C18*'3a-SalesForecastYear1'!$E$10</f>
        <v>0</v>
      </c>
      <c r="D20" s="345">
        <f>+D18*'3a-SalesForecastYear1'!$E$10</f>
        <v>0</v>
      </c>
      <c r="E20" s="345">
        <f>+E18*'3a-SalesForecastYear1'!$E$10</f>
        <v>0</v>
      </c>
      <c r="F20" s="345">
        <f>+F18*'3a-SalesForecastYear1'!$E$10</f>
        <v>0</v>
      </c>
      <c r="G20" s="345">
        <f>+G18*'3a-SalesForecastYear1'!$E$10</f>
        <v>0</v>
      </c>
      <c r="H20" s="345">
        <f>+H18*'3a-SalesForecastYear1'!$E$10</f>
        <v>0</v>
      </c>
      <c r="I20" s="345">
        <f>+I18*'3a-SalesForecastYear1'!$E$10</f>
        <v>0</v>
      </c>
      <c r="J20" s="345">
        <f>+J18*'3a-SalesForecastYear1'!$E$10</f>
        <v>0</v>
      </c>
      <c r="K20" s="345">
        <f>+K18*'3a-SalesForecastYear1'!$E$10</f>
        <v>0</v>
      </c>
      <c r="L20" s="345">
        <f>+L18*'3a-SalesForecastYear1'!$E$10</f>
        <v>0</v>
      </c>
      <c r="M20" s="345">
        <f>+M18*'3a-SalesForecastYear1'!$E$10</f>
        <v>0</v>
      </c>
      <c r="N20" s="345">
        <f>+N18*'3a-SalesForecastYear1'!$E$10</f>
        <v>0</v>
      </c>
      <c r="O20" s="145">
        <f>SUM(C20:N20)</f>
        <v>0</v>
      </c>
      <c r="P20" s="355">
        <f>IF(O19=0,0,O20/O19)</f>
        <v>0</v>
      </c>
      <c r="Q20" s="354">
        <f>IF($O$48=0,0,O20/$O$48)</f>
        <v>0</v>
      </c>
      <c r="R20" s="345">
        <f>+R18*'3a-SalesForecastYear1'!$E$10</f>
        <v>0</v>
      </c>
      <c r="S20" s="345">
        <f>+S18*'3a-SalesForecastYear1'!$E$10</f>
        <v>0</v>
      </c>
      <c r="T20" s="345">
        <f>+T18*'3a-SalesForecastYear1'!$E$10</f>
        <v>0</v>
      </c>
      <c r="U20" s="345">
        <f>+U18*'3a-SalesForecastYear1'!$E$10</f>
        <v>0</v>
      </c>
      <c r="V20" s="345">
        <f>+V18*'3a-SalesForecastYear1'!$E$10</f>
        <v>0</v>
      </c>
      <c r="W20" s="345">
        <f>+W18*'3a-SalesForecastYear1'!$E$10</f>
        <v>0</v>
      </c>
      <c r="X20" s="345">
        <f>+X18*'3a-SalesForecastYear1'!$E$10</f>
        <v>0</v>
      </c>
      <c r="Y20" s="345">
        <f>+Y18*'3a-SalesForecastYear1'!$E$10</f>
        <v>0</v>
      </c>
      <c r="Z20" s="345">
        <f>+Z18*'3a-SalesForecastYear1'!$E$10</f>
        <v>0</v>
      </c>
      <c r="AA20" s="345">
        <f>+AA18*'3a-SalesForecastYear1'!$E$10</f>
        <v>0</v>
      </c>
      <c r="AB20" s="345">
        <f>+AB18*'3a-SalesForecastYear1'!$E$10</f>
        <v>0</v>
      </c>
      <c r="AC20" s="345">
        <f>+AC18*'3a-SalesForecastYear1'!$E$10</f>
        <v>0</v>
      </c>
      <c r="AD20" s="145">
        <f>SUM(R20:AC20)</f>
        <v>0</v>
      </c>
      <c r="AE20" s="355">
        <f>IF(AD19=0,0,AD20/AD19)</f>
        <v>0</v>
      </c>
      <c r="AF20" s="354">
        <f>IF($AD$48=0,0,AD20/$AD$48)</f>
        <v>0</v>
      </c>
    </row>
    <row r="21" spans="1:32" s="65" customFormat="1" x14ac:dyDescent="0.35">
      <c r="A21" s="136" t="s">
        <v>107</v>
      </c>
      <c r="B21" s="338">
        <f>'3a-SalesForecastYear1'!O27</f>
        <v>0</v>
      </c>
      <c r="C21" s="345">
        <f>C19-C20</f>
        <v>0</v>
      </c>
      <c r="D21" s="345">
        <f t="shared" ref="D21:N21" si="4">D19-D20</f>
        <v>0</v>
      </c>
      <c r="E21" s="345">
        <f t="shared" si="4"/>
        <v>0</v>
      </c>
      <c r="F21" s="345">
        <f t="shared" si="4"/>
        <v>0</v>
      </c>
      <c r="G21" s="345">
        <f t="shared" si="4"/>
        <v>0</v>
      </c>
      <c r="H21" s="345">
        <f t="shared" si="4"/>
        <v>0</v>
      </c>
      <c r="I21" s="345">
        <f t="shared" si="4"/>
        <v>0</v>
      </c>
      <c r="J21" s="345">
        <f t="shared" si="4"/>
        <v>0</v>
      </c>
      <c r="K21" s="345">
        <f t="shared" si="4"/>
        <v>0</v>
      </c>
      <c r="L21" s="345">
        <f t="shared" si="4"/>
        <v>0</v>
      </c>
      <c r="M21" s="345">
        <f t="shared" si="4"/>
        <v>0</v>
      </c>
      <c r="N21" s="345">
        <f t="shared" si="4"/>
        <v>0</v>
      </c>
      <c r="O21" s="145">
        <f>SUM(C21:N21)</f>
        <v>0</v>
      </c>
      <c r="P21" s="355">
        <f>IF(O19=0,0,O21/O19)</f>
        <v>0</v>
      </c>
      <c r="Q21" s="354">
        <f>IF($O$49=0,0,O21/$O$49)</f>
        <v>0</v>
      </c>
      <c r="R21" s="345">
        <f>R19-R20</f>
        <v>0</v>
      </c>
      <c r="S21" s="345">
        <f t="shared" ref="S21:AC21" si="5">S19-S20</f>
        <v>0</v>
      </c>
      <c r="T21" s="345">
        <f t="shared" si="5"/>
        <v>0</v>
      </c>
      <c r="U21" s="345">
        <f t="shared" si="5"/>
        <v>0</v>
      </c>
      <c r="V21" s="345">
        <f t="shared" si="5"/>
        <v>0</v>
      </c>
      <c r="W21" s="345">
        <f t="shared" si="5"/>
        <v>0</v>
      </c>
      <c r="X21" s="345">
        <f t="shared" si="5"/>
        <v>0</v>
      </c>
      <c r="Y21" s="345">
        <f t="shared" si="5"/>
        <v>0</v>
      </c>
      <c r="Z21" s="345">
        <f t="shared" si="5"/>
        <v>0</v>
      </c>
      <c r="AA21" s="345">
        <f t="shared" si="5"/>
        <v>0</v>
      </c>
      <c r="AB21" s="345">
        <f t="shared" si="5"/>
        <v>0</v>
      </c>
      <c r="AC21" s="345">
        <f t="shared" si="5"/>
        <v>0</v>
      </c>
      <c r="AD21" s="145">
        <f>SUM(R21:AC21)</f>
        <v>0</v>
      </c>
      <c r="AE21" s="355">
        <f>IF(AD19=0,0,AD21/AD19)</f>
        <v>0</v>
      </c>
      <c r="AF21" s="354">
        <f>IF($AD$49=0,0,AD21/$AD$49)</f>
        <v>0</v>
      </c>
    </row>
    <row r="22" spans="1:32" s="65" customFormat="1" x14ac:dyDescent="0.35">
      <c r="A22" s="137"/>
      <c r="B22" s="334"/>
      <c r="C22" s="139"/>
      <c r="D22" s="139"/>
      <c r="E22" s="139"/>
      <c r="F22" s="139"/>
      <c r="G22" s="139"/>
      <c r="H22" s="139"/>
      <c r="I22" s="139"/>
      <c r="J22" s="139"/>
      <c r="K22" s="139"/>
      <c r="L22" s="139"/>
      <c r="M22" s="139"/>
      <c r="N22" s="139"/>
      <c r="O22" s="140"/>
      <c r="P22" s="9"/>
      <c r="Q22" s="133"/>
      <c r="R22" s="139"/>
      <c r="S22" s="139"/>
      <c r="T22" s="139"/>
      <c r="U22" s="139"/>
      <c r="V22" s="139"/>
      <c r="W22" s="139"/>
      <c r="X22" s="139"/>
      <c r="Y22" s="139"/>
      <c r="Z22" s="139"/>
      <c r="AA22" s="139"/>
      <c r="AB22" s="139"/>
      <c r="AC22" s="139"/>
      <c r="AD22" s="140"/>
      <c r="AE22" s="9"/>
      <c r="AF22" s="133"/>
    </row>
    <row r="23" spans="1:32" x14ac:dyDescent="0.35">
      <c r="A23" s="141" t="str">
        <f>'3a-SalesForecastYear1'!B29</f>
        <v>Product 3</v>
      </c>
      <c r="B23" s="141"/>
      <c r="C23" s="146"/>
      <c r="D23" s="146"/>
      <c r="E23" s="146"/>
      <c r="F23" s="147"/>
      <c r="G23" s="147"/>
      <c r="H23" s="147"/>
      <c r="I23" s="147"/>
      <c r="J23" s="147"/>
      <c r="K23" s="147"/>
      <c r="L23" s="147"/>
      <c r="M23" s="147"/>
      <c r="N23" s="147"/>
      <c r="O23" s="143"/>
      <c r="P23" s="9"/>
      <c r="Q23" s="133"/>
      <c r="R23" s="146"/>
      <c r="S23" s="146"/>
      <c r="T23" s="146"/>
      <c r="U23" s="147"/>
      <c r="V23" s="147"/>
      <c r="W23" s="147"/>
      <c r="X23" s="147"/>
      <c r="Y23" s="147"/>
      <c r="Z23" s="147"/>
      <c r="AA23" s="147"/>
      <c r="AB23" s="147"/>
      <c r="AC23" s="147"/>
      <c r="AD23" s="143"/>
      <c r="AE23" s="9"/>
      <c r="AF23" s="133"/>
    </row>
    <row r="24" spans="1:32" s="63" customFormat="1" x14ac:dyDescent="0.35">
      <c r="A24" s="131" t="str">
        <f>Unit3&amp; " Sold"</f>
        <v xml:space="preserve"> Sold</v>
      </c>
      <c r="B24" s="131">
        <f>Unit3_Annual</f>
        <v>0</v>
      </c>
      <c r="C24" s="343">
        <f>'3a-SalesForecastYear1'!C30+ ('3a-SalesForecastYear1'!C30*$C$7)</f>
        <v>0</v>
      </c>
      <c r="D24" s="343">
        <f>'3a-SalesForecastYear1'!D30+ ('3a-SalesForecastYear1'!D30*$C$7)</f>
        <v>0</v>
      </c>
      <c r="E24" s="343">
        <f>'3a-SalesForecastYear1'!E30+ ('3a-SalesForecastYear1'!E30*$C$7)</f>
        <v>0</v>
      </c>
      <c r="F24" s="343">
        <f>'3a-SalesForecastYear1'!F30+ ('3a-SalesForecastYear1'!F30*$C$7)</f>
        <v>0</v>
      </c>
      <c r="G24" s="343">
        <f>'3a-SalesForecastYear1'!G30+ ('3a-SalesForecastYear1'!G30*$C$7)</f>
        <v>0</v>
      </c>
      <c r="H24" s="343">
        <f>'3a-SalesForecastYear1'!H30+ ('3a-SalesForecastYear1'!H30*$C$7)</f>
        <v>0</v>
      </c>
      <c r="I24" s="343">
        <f>'3a-SalesForecastYear1'!I30+ ('3a-SalesForecastYear1'!I30*$C$7)</f>
        <v>0</v>
      </c>
      <c r="J24" s="343">
        <f>'3a-SalesForecastYear1'!J30+ ('3a-SalesForecastYear1'!J30*$C$7)</f>
        <v>0</v>
      </c>
      <c r="K24" s="343">
        <f>'3a-SalesForecastYear1'!K30+ ('3a-SalesForecastYear1'!K30*$C$7)</f>
        <v>0</v>
      </c>
      <c r="L24" s="343">
        <f>'3a-SalesForecastYear1'!L30+ ('3a-SalesForecastYear1'!L30*$C$7)</f>
        <v>0</v>
      </c>
      <c r="M24" s="343">
        <f>'3a-SalesForecastYear1'!M30+ ('3a-SalesForecastYear1'!M30*$C$7)</f>
        <v>0</v>
      </c>
      <c r="N24" s="343">
        <f>'3a-SalesForecastYear1'!N30+ ('3a-SalesForecastYear1'!N30*$C$7)</f>
        <v>0</v>
      </c>
      <c r="O24" s="363">
        <f>SUM(C24:N24)</f>
        <v>0</v>
      </c>
      <c r="P24" s="9"/>
      <c r="Q24" s="354">
        <f>IF($O$46=0,0,O24/$O$46)</f>
        <v>0</v>
      </c>
      <c r="R24" s="343">
        <f>C24+(C24*$C$8)</f>
        <v>0</v>
      </c>
      <c r="S24" s="343">
        <f t="shared" ref="S24:AC24" si="6">D24+(D24*$C$8)</f>
        <v>0</v>
      </c>
      <c r="T24" s="343">
        <f t="shared" si="6"/>
        <v>0</v>
      </c>
      <c r="U24" s="343">
        <f t="shared" si="6"/>
        <v>0</v>
      </c>
      <c r="V24" s="343">
        <f t="shared" si="6"/>
        <v>0</v>
      </c>
      <c r="W24" s="343">
        <f t="shared" si="6"/>
        <v>0</v>
      </c>
      <c r="X24" s="343">
        <f t="shared" si="6"/>
        <v>0</v>
      </c>
      <c r="Y24" s="343">
        <f t="shared" si="6"/>
        <v>0</v>
      </c>
      <c r="Z24" s="343">
        <f t="shared" si="6"/>
        <v>0</v>
      </c>
      <c r="AA24" s="343">
        <f t="shared" si="6"/>
        <v>0</v>
      </c>
      <c r="AB24" s="343">
        <f t="shared" si="6"/>
        <v>0</v>
      </c>
      <c r="AC24" s="343">
        <f t="shared" si="6"/>
        <v>0</v>
      </c>
      <c r="AD24" s="363">
        <f>SUM(R24:AC24)</f>
        <v>0</v>
      </c>
      <c r="AE24" s="9"/>
      <c r="AF24" s="354">
        <f>IF($AD$46=0,0,AD24/$AD$46)</f>
        <v>0</v>
      </c>
    </row>
    <row r="25" spans="1:32" x14ac:dyDescent="0.35">
      <c r="A25" s="144" t="s">
        <v>109</v>
      </c>
      <c r="B25" s="339">
        <f>Category3_Annual_Sales</f>
        <v>0</v>
      </c>
      <c r="C25" s="345">
        <f>+C24*'3a-SalesForecastYear1'!$D$11</f>
        <v>0</v>
      </c>
      <c r="D25" s="345">
        <f>+D24*'3a-SalesForecastYear1'!$D$11</f>
        <v>0</v>
      </c>
      <c r="E25" s="345">
        <f>+E24*'3a-SalesForecastYear1'!$D$11</f>
        <v>0</v>
      </c>
      <c r="F25" s="345">
        <f>+F24*'3a-SalesForecastYear1'!$D$11</f>
        <v>0</v>
      </c>
      <c r="G25" s="345">
        <f>+G24*'3a-SalesForecastYear1'!$D$11</f>
        <v>0</v>
      </c>
      <c r="H25" s="345">
        <f>+H24*'3a-SalesForecastYear1'!$D$11</f>
        <v>0</v>
      </c>
      <c r="I25" s="345">
        <f>+I24*'3a-SalesForecastYear1'!$D$11</f>
        <v>0</v>
      </c>
      <c r="J25" s="345">
        <f>+J24*'3a-SalesForecastYear1'!$D$11</f>
        <v>0</v>
      </c>
      <c r="K25" s="345">
        <f>+K24*'3a-SalesForecastYear1'!$D$11</f>
        <v>0</v>
      </c>
      <c r="L25" s="345">
        <f>+L24*'3a-SalesForecastYear1'!$D$11</f>
        <v>0</v>
      </c>
      <c r="M25" s="345">
        <f>+M24*'3a-SalesForecastYear1'!$D$11</f>
        <v>0</v>
      </c>
      <c r="N25" s="345">
        <f>+N24*'3a-SalesForecastYear1'!$D$11</f>
        <v>0</v>
      </c>
      <c r="O25" s="145">
        <f>SUM(C25:N25)</f>
        <v>0</v>
      </c>
      <c r="P25" s="355">
        <f>(P26+P27)</f>
        <v>0</v>
      </c>
      <c r="Q25" s="354">
        <f>IF($O$47=0,0,O25/$O$47)</f>
        <v>0</v>
      </c>
      <c r="R25" s="345">
        <f>+R24*'3a-SalesForecastYear1'!$D$11</f>
        <v>0</v>
      </c>
      <c r="S25" s="345">
        <f>+S24*'3a-SalesForecastYear1'!$D$11</f>
        <v>0</v>
      </c>
      <c r="T25" s="345">
        <f>+T24*'3a-SalesForecastYear1'!$D$11</f>
        <v>0</v>
      </c>
      <c r="U25" s="345">
        <f>+U24*'3a-SalesForecastYear1'!$D$11</f>
        <v>0</v>
      </c>
      <c r="V25" s="345">
        <f>+V24*'3a-SalesForecastYear1'!$D$11</f>
        <v>0</v>
      </c>
      <c r="W25" s="345">
        <f>+W24*'3a-SalesForecastYear1'!$D$11</f>
        <v>0</v>
      </c>
      <c r="X25" s="345">
        <f>+X24*'3a-SalesForecastYear1'!$D$11</f>
        <v>0</v>
      </c>
      <c r="Y25" s="345">
        <f>+Y24*'3a-SalesForecastYear1'!$D$11</f>
        <v>0</v>
      </c>
      <c r="Z25" s="345">
        <f>+Z24*'3a-SalesForecastYear1'!$D$11</f>
        <v>0</v>
      </c>
      <c r="AA25" s="345">
        <f>+AA24*'3a-SalesForecastYear1'!$D$11</f>
        <v>0</v>
      </c>
      <c r="AB25" s="345">
        <f>+AB24*'3a-SalesForecastYear1'!$D$11</f>
        <v>0</v>
      </c>
      <c r="AC25" s="345">
        <f>+AC24*'3a-SalesForecastYear1'!$D$11</f>
        <v>0</v>
      </c>
      <c r="AD25" s="145">
        <f>SUM(R25:AC25)</f>
        <v>0</v>
      </c>
      <c r="AE25" s="355">
        <f>(AE26+AE27)</f>
        <v>0</v>
      </c>
      <c r="AF25" s="354">
        <f>IF($AD$47=0,0,AD25/$AD$47)</f>
        <v>0</v>
      </c>
    </row>
    <row r="26" spans="1:32" x14ac:dyDescent="0.35">
      <c r="A26" s="144" t="s">
        <v>216</v>
      </c>
      <c r="B26" s="339">
        <f>'3a-SalesForecastYear1'!O32</f>
        <v>0</v>
      </c>
      <c r="C26" s="345">
        <f>+C24*'3a-SalesForecastYear1'!$E$11</f>
        <v>0</v>
      </c>
      <c r="D26" s="345">
        <f>+D24*'3a-SalesForecastYear1'!$E$11</f>
        <v>0</v>
      </c>
      <c r="E26" s="345">
        <f>+E24*'3a-SalesForecastYear1'!$E$11</f>
        <v>0</v>
      </c>
      <c r="F26" s="345">
        <f>+F24*'3a-SalesForecastYear1'!$E$11</f>
        <v>0</v>
      </c>
      <c r="G26" s="345">
        <f>+G24*'3a-SalesForecastYear1'!$E$11</f>
        <v>0</v>
      </c>
      <c r="H26" s="345">
        <f>+H24*'3a-SalesForecastYear1'!$E$11</f>
        <v>0</v>
      </c>
      <c r="I26" s="345">
        <f>+I24*'3a-SalesForecastYear1'!$E$11</f>
        <v>0</v>
      </c>
      <c r="J26" s="345">
        <f>+J24*'3a-SalesForecastYear1'!$E$11</f>
        <v>0</v>
      </c>
      <c r="K26" s="345">
        <f>+K24*'3a-SalesForecastYear1'!$E$11</f>
        <v>0</v>
      </c>
      <c r="L26" s="345">
        <f>+L24*'3a-SalesForecastYear1'!$E$11</f>
        <v>0</v>
      </c>
      <c r="M26" s="345">
        <f>+M24*'3a-SalesForecastYear1'!$E$11</f>
        <v>0</v>
      </c>
      <c r="N26" s="345">
        <f>+N24*'3a-SalesForecastYear1'!$E$11</f>
        <v>0</v>
      </c>
      <c r="O26" s="145">
        <f>SUM(C26:N26)</f>
        <v>0</v>
      </c>
      <c r="P26" s="355">
        <f>IF(O25=0,0,O26/O25)</f>
        <v>0</v>
      </c>
      <c r="Q26" s="354">
        <f>IF($O$48=0,0,O26/$O$48)</f>
        <v>0</v>
      </c>
      <c r="R26" s="345">
        <f>+R24*'3a-SalesForecastYear1'!$E$11</f>
        <v>0</v>
      </c>
      <c r="S26" s="345">
        <f>+S24*'3a-SalesForecastYear1'!$E$11</f>
        <v>0</v>
      </c>
      <c r="T26" s="345">
        <f>+T24*'3a-SalesForecastYear1'!$E$11</f>
        <v>0</v>
      </c>
      <c r="U26" s="345">
        <f>+U24*'3a-SalesForecastYear1'!$E$11</f>
        <v>0</v>
      </c>
      <c r="V26" s="345">
        <f>+V24*'3a-SalesForecastYear1'!$E$11</f>
        <v>0</v>
      </c>
      <c r="W26" s="345">
        <f>+W24*'3a-SalesForecastYear1'!$E$11</f>
        <v>0</v>
      </c>
      <c r="X26" s="345">
        <f>+X24*'3a-SalesForecastYear1'!$E$11</f>
        <v>0</v>
      </c>
      <c r="Y26" s="345">
        <f>+Y24*'3a-SalesForecastYear1'!$E$11</f>
        <v>0</v>
      </c>
      <c r="Z26" s="345">
        <f>+Z24*'3a-SalesForecastYear1'!$E$11</f>
        <v>0</v>
      </c>
      <c r="AA26" s="345">
        <f>+AA24*'3a-SalesForecastYear1'!$E$11</f>
        <v>0</v>
      </c>
      <c r="AB26" s="345">
        <f>+AB24*'3a-SalesForecastYear1'!$E$11</f>
        <v>0</v>
      </c>
      <c r="AC26" s="345">
        <f>+AC24*'3a-SalesForecastYear1'!$E$11</f>
        <v>0</v>
      </c>
      <c r="AD26" s="145">
        <f>SUM(R26:AC26)</f>
        <v>0</v>
      </c>
      <c r="AE26" s="355">
        <f>IF(AD25=0,0,AD26/AD25)</f>
        <v>0</v>
      </c>
      <c r="AF26" s="354">
        <f>IF($AD$48=0,0,AD26/$AD$48)</f>
        <v>0</v>
      </c>
    </row>
    <row r="27" spans="1:32" x14ac:dyDescent="0.35">
      <c r="A27" s="136" t="s">
        <v>107</v>
      </c>
      <c r="B27" s="338">
        <f>'3a-SalesForecastYear1'!O33</f>
        <v>0</v>
      </c>
      <c r="C27" s="345">
        <f>C25-C26</f>
        <v>0</v>
      </c>
      <c r="D27" s="345">
        <f t="shared" ref="D27:N27" si="7">D25-D26</f>
        <v>0</v>
      </c>
      <c r="E27" s="345">
        <f t="shared" si="7"/>
        <v>0</v>
      </c>
      <c r="F27" s="345">
        <f t="shared" si="7"/>
        <v>0</v>
      </c>
      <c r="G27" s="345">
        <f t="shared" si="7"/>
        <v>0</v>
      </c>
      <c r="H27" s="345">
        <f t="shared" si="7"/>
        <v>0</v>
      </c>
      <c r="I27" s="345">
        <f t="shared" si="7"/>
        <v>0</v>
      </c>
      <c r="J27" s="345">
        <f t="shared" si="7"/>
        <v>0</v>
      </c>
      <c r="K27" s="345">
        <f t="shared" si="7"/>
        <v>0</v>
      </c>
      <c r="L27" s="345">
        <f t="shared" si="7"/>
        <v>0</v>
      </c>
      <c r="M27" s="345">
        <f t="shared" si="7"/>
        <v>0</v>
      </c>
      <c r="N27" s="345">
        <f t="shared" si="7"/>
        <v>0</v>
      </c>
      <c r="O27" s="145">
        <f>SUM(C27:N27)</f>
        <v>0</v>
      </c>
      <c r="P27" s="355">
        <f>IF(O25=0,0,O27/O25)</f>
        <v>0</v>
      </c>
      <c r="Q27" s="354">
        <f>IF($O$49=0,0,O27/$O$49)</f>
        <v>0</v>
      </c>
      <c r="R27" s="345">
        <f>R25-R26</f>
        <v>0</v>
      </c>
      <c r="S27" s="345">
        <f t="shared" ref="S27:AC27" si="8">S25-S26</f>
        <v>0</v>
      </c>
      <c r="T27" s="345">
        <f t="shared" si="8"/>
        <v>0</v>
      </c>
      <c r="U27" s="345">
        <f t="shared" si="8"/>
        <v>0</v>
      </c>
      <c r="V27" s="345">
        <f t="shared" si="8"/>
        <v>0</v>
      </c>
      <c r="W27" s="345">
        <f t="shared" si="8"/>
        <v>0</v>
      </c>
      <c r="X27" s="345">
        <f t="shared" si="8"/>
        <v>0</v>
      </c>
      <c r="Y27" s="345">
        <f t="shared" si="8"/>
        <v>0</v>
      </c>
      <c r="Z27" s="345">
        <f t="shared" si="8"/>
        <v>0</v>
      </c>
      <c r="AA27" s="345">
        <f t="shared" si="8"/>
        <v>0</v>
      </c>
      <c r="AB27" s="345">
        <f t="shared" si="8"/>
        <v>0</v>
      </c>
      <c r="AC27" s="345">
        <f t="shared" si="8"/>
        <v>0</v>
      </c>
      <c r="AD27" s="145">
        <f>SUM(R27:AC27)</f>
        <v>0</v>
      </c>
      <c r="AE27" s="355">
        <f>IF(AD25=0,0,AD27/AD25)</f>
        <v>0</v>
      </c>
      <c r="AF27" s="354">
        <f>IF($AD$49=0,0,AD27/$AD$49)</f>
        <v>0</v>
      </c>
    </row>
    <row r="28" spans="1:32" s="65" customFormat="1" x14ac:dyDescent="0.35">
      <c r="A28" s="148"/>
      <c r="B28" s="335"/>
      <c r="C28" s="139"/>
      <c r="D28" s="139"/>
      <c r="E28" s="139"/>
      <c r="F28" s="139"/>
      <c r="G28" s="139"/>
      <c r="H28" s="139"/>
      <c r="I28" s="139"/>
      <c r="J28" s="139"/>
      <c r="K28" s="139"/>
      <c r="L28" s="139"/>
      <c r="M28" s="139"/>
      <c r="N28" s="139"/>
      <c r="O28" s="140"/>
      <c r="P28" s="9"/>
      <c r="Q28" s="133"/>
      <c r="R28" s="139"/>
      <c r="S28" s="139"/>
      <c r="T28" s="139"/>
      <c r="U28" s="139"/>
      <c r="V28" s="139"/>
      <c r="W28" s="139"/>
      <c r="X28" s="139"/>
      <c r="Y28" s="139"/>
      <c r="Z28" s="139"/>
      <c r="AA28" s="139"/>
      <c r="AB28" s="139"/>
      <c r="AC28" s="139"/>
      <c r="AD28" s="140"/>
      <c r="AE28" s="9"/>
      <c r="AF28" s="133"/>
    </row>
    <row r="29" spans="1:32" s="63" customFormat="1" x14ac:dyDescent="0.35">
      <c r="A29" s="141" t="str">
        <f>'3a-SalesForecastYear1'!B35</f>
        <v>Product 4</v>
      </c>
      <c r="B29" s="141"/>
      <c r="C29" s="142"/>
      <c r="D29" s="142"/>
      <c r="E29" s="142"/>
      <c r="F29" s="142"/>
      <c r="G29" s="142"/>
      <c r="H29" s="142"/>
      <c r="I29" s="142"/>
      <c r="J29" s="142"/>
      <c r="K29" s="142"/>
      <c r="L29" s="142"/>
      <c r="M29" s="142"/>
      <c r="N29" s="142"/>
      <c r="O29" s="143"/>
      <c r="P29" s="9"/>
      <c r="Q29" s="133"/>
      <c r="R29" s="142"/>
      <c r="S29" s="142"/>
      <c r="T29" s="142"/>
      <c r="U29" s="142"/>
      <c r="V29" s="142"/>
      <c r="W29" s="142"/>
      <c r="X29" s="142"/>
      <c r="Y29" s="142"/>
      <c r="Z29" s="142"/>
      <c r="AA29" s="142"/>
      <c r="AB29" s="142"/>
      <c r="AC29" s="142"/>
      <c r="AD29" s="143"/>
      <c r="AE29" s="9"/>
      <c r="AF29" s="133"/>
    </row>
    <row r="30" spans="1:32" x14ac:dyDescent="0.35">
      <c r="A30" s="131" t="str">
        <f>Unit4&amp; " Sold"</f>
        <v xml:space="preserve"> Sold</v>
      </c>
      <c r="B30" s="131">
        <f>Unit4_Annual</f>
        <v>0</v>
      </c>
      <c r="C30" s="344">
        <f>'3a-SalesForecastYear1'!C36+('3a-SalesForecastYear1'!C36*$C$7)</f>
        <v>0</v>
      </c>
      <c r="D30" s="344">
        <f>'3a-SalesForecastYear1'!D36+('3a-SalesForecastYear1'!D36*$C$7)</f>
        <v>0</v>
      </c>
      <c r="E30" s="344">
        <f>'3a-SalesForecastYear1'!E36+('3a-SalesForecastYear1'!E36*$C$7)</f>
        <v>0</v>
      </c>
      <c r="F30" s="344">
        <f>'3a-SalesForecastYear1'!F36+('3a-SalesForecastYear1'!F36*$C$7)</f>
        <v>0</v>
      </c>
      <c r="G30" s="344">
        <f>'3a-SalesForecastYear1'!G36+('3a-SalesForecastYear1'!G36*$C$7)</f>
        <v>0</v>
      </c>
      <c r="H30" s="344">
        <f>'3a-SalesForecastYear1'!H36+('3a-SalesForecastYear1'!H36*$C$7)</f>
        <v>0</v>
      </c>
      <c r="I30" s="344">
        <f>'3a-SalesForecastYear1'!I36+('3a-SalesForecastYear1'!I36*$C$7)</f>
        <v>0</v>
      </c>
      <c r="J30" s="344">
        <f>'3a-SalesForecastYear1'!J36+('3a-SalesForecastYear1'!J36*$C$7)</f>
        <v>0</v>
      </c>
      <c r="K30" s="344">
        <f>'3a-SalesForecastYear1'!K36+('3a-SalesForecastYear1'!K36*$C$7)</f>
        <v>0</v>
      </c>
      <c r="L30" s="344">
        <f>'3a-SalesForecastYear1'!L36+('3a-SalesForecastYear1'!L36*$C$7)</f>
        <v>0</v>
      </c>
      <c r="M30" s="344">
        <f>'3a-SalesForecastYear1'!M36+('3a-SalesForecastYear1'!M36*$C$7)</f>
        <v>0</v>
      </c>
      <c r="N30" s="344">
        <f>'3a-SalesForecastYear1'!N36+('3a-SalesForecastYear1'!N36*$C$7)</f>
        <v>0</v>
      </c>
      <c r="O30" s="363">
        <f>SUM(C30:N30)</f>
        <v>0</v>
      </c>
      <c r="P30" s="9"/>
      <c r="Q30" s="354">
        <f>IF($O$46=0,0,O30/$O$46)</f>
        <v>0</v>
      </c>
      <c r="R30" s="344">
        <f>C30+(C30*$C$8)</f>
        <v>0</v>
      </c>
      <c r="S30" s="344">
        <f t="shared" ref="S30:AC30" si="9">D30+(D30*$C$8)</f>
        <v>0</v>
      </c>
      <c r="T30" s="344">
        <f t="shared" si="9"/>
        <v>0</v>
      </c>
      <c r="U30" s="344">
        <f t="shared" si="9"/>
        <v>0</v>
      </c>
      <c r="V30" s="344">
        <f t="shared" si="9"/>
        <v>0</v>
      </c>
      <c r="W30" s="344">
        <f t="shared" si="9"/>
        <v>0</v>
      </c>
      <c r="X30" s="344">
        <f t="shared" si="9"/>
        <v>0</v>
      </c>
      <c r="Y30" s="344">
        <f t="shared" si="9"/>
        <v>0</v>
      </c>
      <c r="Z30" s="344">
        <f t="shared" si="9"/>
        <v>0</v>
      </c>
      <c r="AA30" s="344">
        <f t="shared" si="9"/>
        <v>0</v>
      </c>
      <c r="AB30" s="344">
        <f t="shared" si="9"/>
        <v>0</v>
      </c>
      <c r="AC30" s="344">
        <f t="shared" si="9"/>
        <v>0</v>
      </c>
      <c r="AD30" s="363">
        <f>SUM(R30:AC30)</f>
        <v>0</v>
      </c>
      <c r="AE30" s="9"/>
      <c r="AF30" s="354">
        <f>IF($AD$46=0,0,AD30/$AD$46)</f>
        <v>0</v>
      </c>
    </row>
    <row r="31" spans="1:32" x14ac:dyDescent="0.35">
      <c r="A31" s="144" t="s">
        <v>109</v>
      </c>
      <c r="B31" s="144">
        <f>Category4_Annual_Sales</f>
        <v>0</v>
      </c>
      <c r="C31" s="345">
        <f>+C30*'3a-SalesForecastYear1'!$D$12</f>
        <v>0</v>
      </c>
      <c r="D31" s="345">
        <f>+D30*'3a-SalesForecastYear1'!$D$12</f>
        <v>0</v>
      </c>
      <c r="E31" s="345">
        <f>+E30*'3a-SalesForecastYear1'!$D$12</f>
        <v>0</v>
      </c>
      <c r="F31" s="345">
        <f>+F30*'3a-SalesForecastYear1'!$D$12</f>
        <v>0</v>
      </c>
      <c r="G31" s="345">
        <f>+G30*'3a-SalesForecastYear1'!$D$12</f>
        <v>0</v>
      </c>
      <c r="H31" s="345">
        <f>+H30*'3a-SalesForecastYear1'!$D$12</f>
        <v>0</v>
      </c>
      <c r="I31" s="345">
        <f>+I30*'3a-SalesForecastYear1'!$D$12</f>
        <v>0</v>
      </c>
      <c r="J31" s="345">
        <f>+J30*'3a-SalesForecastYear1'!$D$12</f>
        <v>0</v>
      </c>
      <c r="K31" s="345">
        <f>+K30*'3a-SalesForecastYear1'!$D$12</f>
        <v>0</v>
      </c>
      <c r="L31" s="345">
        <f>+L30*'3a-SalesForecastYear1'!$D$12</f>
        <v>0</v>
      </c>
      <c r="M31" s="345">
        <f>+M30*'3a-SalesForecastYear1'!$D$12</f>
        <v>0</v>
      </c>
      <c r="N31" s="345">
        <f>+N30*'3a-SalesForecastYear1'!$D$12</f>
        <v>0</v>
      </c>
      <c r="O31" s="135">
        <f>SUM(C31:N31)</f>
        <v>0</v>
      </c>
      <c r="P31" s="355">
        <f>(P32+P33)</f>
        <v>0</v>
      </c>
      <c r="Q31" s="354">
        <f>IF($O$47=0,0,O31/$O$47)</f>
        <v>0</v>
      </c>
      <c r="R31" s="345">
        <f>+R30*'3a-SalesForecastYear1'!$D$12</f>
        <v>0</v>
      </c>
      <c r="S31" s="345">
        <f>+S30*'3a-SalesForecastYear1'!$D$12</f>
        <v>0</v>
      </c>
      <c r="T31" s="345">
        <f>+T30*'3a-SalesForecastYear1'!$D$12</f>
        <v>0</v>
      </c>
      <c r="U31" s="345">
        <f>+U30*'3a-SalesForecastYear1'!$D$12</f>
        <v>0</v>
      </c>
      <c r="V31" s="345">
        <f>+V30*'3a-SalesForecastYear1'!$D$12</f>
        <v>0</v>
      </c>
      <c r="W31" s="345">
        <f>+W30*'3a-SalesForecastYear1'!$D$12</f>
        <v>0</v>
      </c>
      <c r="X31" s="345">
        <f>+X30*'3a-SalesForecastYear1'!$D$12</f>
        <v>0</v>
      </c>
      <c r="Y31" s="345">
        <f>+Y30*'3a-SalesForecastYear1'!$D$12</f>
        <v>0</v>
      </c>
      <c r="Z31" s="345">
        <f>+Z30*'3a-SalesForecastYear1'!$D$12</f>
        <v>0</v>
      </c>
      <c r="AA31" s="345">
        <f>+AA30*'3a-SalesForecastYear1'!$D$12</f>
        <v>0</v>
      </c>
      <c r="AB31" s="345">
        <f>+AB30*'3a-SalesForecastYear1'!$D$12</f>
        <v>0</v>
      </c>
      <c r="AC31" s="345">
        <f>+AC30*'3a-SalesForecastYear1'!$D$12</f>
        <v>0</v>
      </c>
      <c r="AD31" s="135">
        <f>SUM(R31:AC31)</f>
        <v>0</v>
      </c>
      <c r="AE31" s="355">
        <f>(AE32+AE33)</f>
        <v>0</v>
      </c>
      <c r="AF31" s="354">
        <f>IF($AD$47=0,0,AD31/$AD$47)</f>
        <v>0</v>
      </c>
    </row>
    <row r="32" spans="1:32" x14ac:dyDescent="0.35">
      <c r="A32" s="144" t="s">
        <v>216</v>
      </c>
      <c r="B32" s="339">
        <f>'3a-SalesForecastYear1'!O38</f>
        <v>0</v>
      </c>
      <c r="C32" s="345">
        <f>+C30*'3a-SalesForecastYear1'!$E$12</f>
        <v>0</v>
      </c>
      <c r="D32" s="345">
        <f>+D30*'3a-SalesForecastYear1'!$E$12</f>
        <v>0</v>
      </c>
      <c r="E32" s="345">
        <f>+E30*'3a-SalesForecastYear1'!$E$12</f>
        <v>0</v>
      </c>
      <c r="F32" s="345">
        <f>+F30*'3a-SalesForecastYear1'!$E$12</f>
        <v>0</v>
      </c>
      <c r="G32" s="345">
        <f>+G30*'3a-SalesForecastYear1'!$E$12</f>
        <v>0</v>
      </c>
      <c r="H32" s="345">
        <f>+H30*'3a-SalesForecastYear1'!$E$12</f>
        <v>0</v>
      </c>
      <c r="I32" s="345">
        <f>+I30*'3a-SalesForecastYear1'!$E$12</f>
        <v>0</v>
      </c>
      <c r="J32" s="345">
        <f>+J30*'3a-SalesForecastYear1'!$E$12</f>
        <v>0</v>
      </c>
      <c r="K32" s="345">
        <f>+K30*'3a-SalesForecastYear1'!$E$12</f>
        <v>0</v>
      </c>
      <c r="L32" s="345">
        <f>+L30*'3a-SalesForecastYear1'!$E$12</f>
        <v>0</v>
      </c>
      <c r="M32" s="345">
        <f>+M30*'3a-SalesForecastYear1'!$E$12</f>
        <v>0</v>
      </c>
      <c r="N32" s="345">
        <f>+N30*'3a-SalesForecastYear1'!$E$12</f>
        <v>0</v>
      </c>
      <c r="O32" s="135">
        <f>SUM(C32:N32)</f>
        <v>0</v>
      </c>
      <c r="P32" s="355">
        <f>IF(O31=0,0,O32/O31)</f>
        <v>0</v>
      </c>
      <c r="Q32" s="354">
        <f>IF($O$48=0,0,O32/$O$48)</f>
        <v>0</v>
      </c>
      <c r="R32" s="345">
        <f>+R30*'3a-SalesForecastYear1'!$E$12</f>
        <v>0</v>
      </c>
      <c r="S32" s="345">
        <f>+S30*'3a-SalesForecastYear1'!$E$12</f>
        <v>0</v>
      </c>
      <c r="T32" s="345">
        <f>+T30*'3a-SalesForecastYear1'!$E$12</f>
        <v>0</v>
      </c>
      <c r="U32" s="345">
        <f>+U30*'3a-SalesForecastYear1'!$E$12</f>
        <v>0</v>
      </c>
      <c r="V32" s="345">
        <f>+V30*'3a-SalesForecastYear1'!$E$12</f>
        <v>0</v>
      </c>
      <c r="W32" s="345">
        <f>+W30*'3a-SalesForecastYear1'!$E$12</f>
        <v>0</v>
      </c>
      <c r="X32" s="345">
        <f>+X30*'3a-SalesForecastYear1'!$E$12</f>
        <v>0</v>
      </c>
      <c r="Y32" s="345">
        <f>+Y30*'3a-SalesForecastYear1'!$E$12</f>
        <v>0</v>
      </c>
      <c r="Z32" s="345">
        <f>+Z30*'3a-SalesForecastYear1'!$E$12</f>
        <v>0</v>
      </c>
      <c r="AA32" s="345">
        <f>+AA30*'3a-SalesForecastYear1'!$E$12</f>
        <v>0</v>
      </c>
      <c r="AB32" s="345">
        <f>+AB30*'3a-SalesForecastYear1'!$E$12</f>
        <v>0</v>
      </c>
      <c r="AC32" s="345">
        <f>+AC30*'3a-SalesForecastYear1'!$E$12</f>
        <v>0</v>
      </c>
      <c r="AD32" s="135">
        <f>SUM(R32:AC32)</f>
        <v>0</v>
      </c>
      <c r="AE32" s="355">
        <f>IF(AD31=0,0,AD32/AD31)</f>
        <v>0</v>
      </c>
      <c r="AF32" s="354">
        <f>IF($AD$48=0,0,AD32/$AD$48)</f>
        <v>0</v>
      </c>
    </row>
    <row r="33" spans="1:32" s="65" customFormat="1" x14ac:dyDescent="0.35">
      <c r="A33" s="136" t="s">
        <v>107</v>
      </c>
      <c r="B33" s="338">
        <f>'3a-SalesForecastYear1'!O39</f>
        <v>0</v>
      </c>
      <c r="C33" s="346">
        <f>C31-C32</f>
        <v>0</v>
      </c>
      <c r="D33" s="346">
        <f t="shared" ref="D33:N33" si="10">D31-D32</f>
        <v>0</v>
      </c>
      <c r="E33" s="346">
        <f t="shared" si="10"/>
        <v>0</v>
      </c>
      <c r="F33" s="346">
        <f t="shared" si="10"/>
        <v>0</v>
      </c>
      <c r="G33" s="346">
        <f t="shared" si="10"/>
        <v>0</v>
      </c>
      <c r="H33" s="346">
        <f t="shared" si="10"/>
        <v>0</v>
      </c>
      <c r="I33" s="346">
        <f t="shared" si="10"/>
        <v>0</v>
      </c>
      <c r="J33" s="346">
        <f t="shared" si="10"/>
        <v>0</v>
      </c>
      <c r="K33" s="346">
        <f t="shared" si="10"/>
        <v>0</v>
      </c>
      <c r="L33" s="346">
        <f t="shared" si="10"/>
        <v>0</v>
      </c>
      <c r="M33" s="346">
        <f t="shared" si="10"/>
        <v>0</v>
      </c>
      <c r="N33" s="346">
        <f t="shared" si="10"/>
        <v>0</v>
      </c>
      <c r="O33" s="135">
        <f>SUM(C33:N33)</f>
        <v>0</v>
      </c>
      <c r="P33" s="355">
        <f>IF(O31=0,0,O33/O31)</f>
        <v>0</v>
      </c>
      <c r="Q33" s="354">
        <f>IF($O$49=0,0,O33/$O$49)</f>
        <v>0</v>
      </c>
      <c r="R33" s="345">
        <f>R31-R32</f>
        <v>0</v>
      </c>
      <c r="S33" s="345">
        <f t="shared" ref="S33:AC33" si="11">S31-S32</f>
        <v>0</v>
      </c>
      <c r="T33" s="345">
        <f t="shared" si="11"/>
        <v>0</v>
      </c>
      <c r="U33" s="345">
        <f t="shared" si="11"/>
        <v>0</v>
      </c>
      <c r="V33" s="345">
        <f t="shared" si="11"/>
        <v>0</v>
      </c>
      <c r="W33" s="345">
        <f t="shared" si="11"/>
        <v>0</v>
      </c>
      <c r="X33" s="345">
        <f t="shared" si="11"/>
        <v>0</v>
      </c>
      <c r="Y33" s="345">
        <f t="shared" si="11"/>
        <v>0</v>
      </c>
      <c r="Z33" s="345">
        <f t="shared" si="11"/>
        <v>0</v>
      </c>
      <c r="AA33" s="345">
        <f t="shared" si="11"/>
        <v>0</v>
      </c>
      <c r="AB33" s="345">
        <f t="shared" si="11"/>
        <v>0</v>
      </c>
      <c r="AC33" s="345">
        <f t="shared" si="11"/>
        <v>0</v>
      </c>
      <c r="AD33" s="135">
        <f>SUM(R33:AC33)</f>
        <v>0</v>
      </c>
      <c r="AE33" s="355">
        <f>IF(AD31=0,0,AD33/AD31)</f>
        <v>0</v>
      </c>
      <c r="AF33" s="354">
        <f>IF($AD$49=0,0,AD33/$AD$49)</f>
        <v>0</v>
      </c>
    </row>
    <row r="34" spans="1:32" s="65" customFormat="1" x14ac:dyDescent="0.35">
      <c r="A34" s="148"/>
      <c r="B34" s="335"/>
      <c r="C34" s="139"/>
      <c r="D34" s="139"/>
      <c r="E34" s="139"/>
      <c r="F34" s="149"/>
      <c r="G34" s="149"/>
      <c r="H34" s="149"/>
      <c r="I34" s="149"/>
      <c r="J34" s="149"/>
      <c r="K34" s="149"/>
      <c r="L34" s="149"/>
      <c r="M34" s="149"/>
      <c r="N34" s="149"/>
      <c r="O34" s="132"/>
      <c r="P34" s="9"/>
      <c r="Q34" s="133"/>
      <c r="R34" s="139"/>
      <c r="S34" s="139"/>
      <c r="T34" s="139"/>
      <c r="U34" s="149"/>
      <c r="V34" s="149"/>
      <c r="W34" s="149"/>
      <c r="X34" s="149"/>
      <c r="Y34" s="149"/>
      <c r="Z34" s="149"/>
      <c r="AA34" s="149"/>
      <c r="AB34" s="149"/>
      <c r="AC34" s="149"/>
      <c r="AD34" s="132"/>
      <c r="AE34" s="9"/>
      <c r="AF34" s="133"/>
    </row>
    <row r="35" spans="1:32" x14ac:dyDescent="0.35">
      <c r="A35" s="141" t="str">
        <f>'3a-SalesForecastYear1'!B41</f>
        <v>Product 5</v>
      </c>
      <c r="B35" s="141"/>
      <c r="C35" s="146"/>
      <c r="D35" s="146"/>
      <c r="E35" s="146"/>
      <c r="F35" s="147"/>
      <c r="G35" s="147"/>
      <c r="H35" s="147"/>
      <c r="I35" s="147"/>
      <c r="J35" s="147"/>
      <c r="K35" s="147"/>
      <c r="L35" s="147"/>
      <c r="M35" s="147"/>
      <c r="N35" s="147"/>
      <c r="O35" s="143"/>
      <c r="P35" s="9"/>
      <c r="Q35" s="133"/>
      <c r="R35" s="146"/>
      <c r="S35" s="146"/>
      <c r="T35" s="146"/>
      <c r="U35" s="147"/>
      <c r="V35" s="147"/>
      <c r="W35" s="147"/>
      <c r="X35" s="147"/>
      <c r="Y35" s="147"/>
      <c r="Z35" s="147"/>
      <c r="AA35" s="147"/>
      <c r="AB35" s="147"/>
      <c r="AC35" s="147"/>
      <c r="AD35" s="143"/>
      <c r="AE35" s="9"/>
      <c r="AF35" s="133"/>
    </row>
    <row r="36" spans="1:32" s="63" customFormat="1" x14ac:dyDescent="0.35">
      <c r="A36" s="131" t="str">
        <f>Unit5&amp; " Sold"</f>
        <v xml:space="preserve"> Sold</v>
      </c>
      <c r="B36" s="131">
        <f>Unit5_Annual</f>
        <v>0</v>
      </c>
      <c r="C36" s="343">
        <f>'3a-SalesForecastYear1'!C42+ ('3a-SalesForecastYear1'!C42*$C$7)</f>
        <v>0</v>
      </c>
      <c r="D36" s="343">
        <f>'3a-SalesForecastYear1'!D42+ ('3a-SalesForecastYear1'!D42*$C$7)</f>
        <v>0</v>
      </c>
      <c r="E36" s="343">
        <f>'3a-SalesForecastYear1'!E42+ ('3a-SalesForecastYear1'!E42*$C$7)</f>
        <v>0</v>
      </c>
      <c r="F36" s="343">
        <f>'3a-SalesForecastYear1'!F42+ ('3a-SalesForecastYear1'!F42*$C$7)</f>
        <v>0</v>
      </c>
      <c r="G36" s="343">
        <f>'3a-SalesForecastYear1'!G42+ ('3a-SalesForecastYear1'!G42*$C$7)</f>
        <v>0</v>
      </c>
      <c r="H36" s="343">
        <f>'3a-SalesForecastYear1'!H42+ ('3a-SalesForecastYear1'!H42*$C$7)</f>
        <v>0</v>
      </c>
      <c r="I36" s="343">
        <f>'3a-SalesForecastYear1'!I42+ ('3a-SalesForecastYear1'!I42*$C$7)</f>
        <v>0</v>
      </c>
      <c r="J36" s="343">
        <f>'3a-SalesForecastYear1'!J42+ ('3a-SalesForecastYear1'!J42*$C$7)</f>
        <v>0</v>
      </c>
      <c r="K36" s="343">
        <f>'3a-SalesForecastYear1'!K42+ ('3a-SalesForecastYear1'!K42*$C$7)</f>
        <v>0</v>
      </c>
      <c r="L36" s="343">
        <f>'3a-SalesForecastYear1'!L42+ ('3a-SalesForecastYear1'!L42*$C$7)</f>
        <v>0</v>
      </c>
      <c r="M36" s="343">
        <f>'3a-SalesForecastYear1'!M42+ ('3a-SalesForecastYear1'!M42*$C$7)</f>
        <v>0</v>
      </c>
      <c r="N36" s="343">
        <f>'3a-SalesForecastYear1'!N42+ ('3a-SalesForecastYear1'!N42*$C$7)</f>
        <v>0</v>
      </c>
      <c r="O36" s="362">
        <f>SUM(C36:N36)</f>
        <v>0</v>
      </c>
      <c r="P36" s="9"/>
      <c r="Q36" s="354">
        <f>IF($O$46=0,0,O36/$O$46)</f>
        <v>0</v>
      </c>
      <c r="R36" s="343">
        <f>C36+(C36*$C$8)</f>
        <v>0</v>
      </c>
      <c r="S36" s="343">
        <f t="shared" ref="S36:AC36" si="12">D36+(D36*$C$8)</f>
        <v>0</v>
      </c>
      <c r="T36" s="343">
        <f t="shared" si="12"/>
        <v>0</v>
      </c>
      <c r="U36" s="343">
        <f t="shared" si="12"/>
        <v>0</v>
      </c>
      <c r="V36" s="343">
        <f t="shared" si="12"/>
        <v>0</v>
      </c>
      <c r="W36" s="343">
        <f t="shared" si="12"/>
        <v>0</v>
      </c>
      <c r="X36" s="343">
        <f t="shared" si="12"/>
        <v>0</v>
      </c>
      <c r="Y36" s="343">
        <f t="shared" si="12"/>
        <v>0</v>
      </c>
      <c r="Z36" s="343">
        <f t="shared" si="12"/>
        <v>0</v>
      </c>
      <c r="AA36" s="343">
        <f t="shared" si="12"/>
        <v>0</v>
      </c>
      <c r="AB36" s="343">
        <f t="shared" si="12"/>
        <v>0</v>
      </c>
      <c r="AC36" s="343">
        <f t="shared" si="12"/>
        <v>0</v>
      </c>
      <c r="AD36" s="362">
        <f>SUM(R36:AC36)</f>
        <v>0</v>
      </c>
      <c r="AE36" s="9"/>
      <c r="AF36" s="354">
        <f>IF($AD$46=0,0,AD36/$AD$46)</f>
        <v>0</v>
      </c>
    </row>
    <row r="37" spans="1:32" x14ac:dyDescent="0.35">
      <c r="A37" s="144" t="s">
        <v>109</v>
      </c>
      <c r="B37" s="339">
        <f>Category5_Annual_Sales</f>
        <v>0</v>
      </c>
      <c r="C37" s="345">
        <f>+C36*'3a-SalesForecastYear1'!$D$13</f>
        <v>0</v>
      </c>
      <c r="D37" s="345">
        <f>+D36*'3a-SalesForecastYear1'!$D$13</f>
        <v>0</v>
      </c>
      <c r="E37" s="345">
        <f>+E36*'3a-SalesForecastYear1'!$D$13</f>
        <v>0</v>
      </c>
      <c r="F37" s="345">
        <f>+F36*'3a-SalesForecastYear1'!$D$13</f>
        <v>0</v>
      </c>
      <c r="G37" s="345">
        <f>+G36*'3a-SalesForecastYear1'!$D$13</f>
        <v>0</v>
      </c>
      <c r="H37" s="345">
        <f>+H36*'3a-SalesForecastYear1'!$D$13</f>
        <v>0</v>
      </c>
      <c r="I37" s="345">
        <f>+I36*'3a-SalesForecastYear1'!$D$13</f>
        <v>0</v>
      </c>
      <c r="J37" s="345">
        <f>+J36*'3a-SalesForecastYear1'!$D$13</f>
        <v>0</v>
      </c>
      <c r="K37" s="345">
        <f>+K36*'3a-SalesForecastYear1'!$D$13</f>
        <v>0</v>
      </c>
      <c r="L37" s="345">
        <f>+L36*'3a-SalesForecastYear1'!$D$13</f>
        <v>0</v>
      </c>
      <c r="M37" s="345">
        <f>+M36*'3a-SalesForecastYear1'!$D$13</f>
        <v>0</v>
      </c>
      <c r="N37" s="345">
        <f>+N36*'3a-SalesForecastYear1'!$D$13</f>
        <v>0</v>
      </c>
      <c r="O37" s="135">
        <f>SUM(C37:N37)</f>
        <v>0</v>
      </c>
      <c r="P37" s="355">
        <f>(P38+P39)</f>
        <v>0</v>
      </c>
      <c r="Q37" s="354">
        <f>IF($O$47=0,0,O37/$O$47)</f>
        <v>0</v>
      </c>
      <c r="R37" s="345">
        <f>+R36*'3a-SalesForecastYear1'!$D$13</f>
        <v>0</v>
      </c>
      <c r="S37" s="345">
        <f>+S36*'3a-SalesForecastYear1'!$D$13</f>
        <v>0</v>
      </c>
      <c r="T37" s="345">
        <f>+T36*'3a-SalesForecastYear1'!$D$13</f>
        <v>0</v>
      </c>
      <c r="U37" s="345">
        <f>+U36*'3a-SalesForecastYear1'!$D$13</f>
        <v>0</v>
      </c>
      <c r="V37" s="345">
        <f>+V36*'3a-SalesForecastYear1'!$D$13</f>
        <v>0</v>
      </c>
      <c r="W37" s="345">
        <f>+W36*'3a-SalesForecastYear1'!$D$13</f>
        <v>0</v>
      </c>
      <c r="X37" s="345">
        <f>+X36*'3a-SalesForecastYear1'!$D$13</f>
        <v>0</v>
      </c>
      <c r="Y37" s="345">
        <f>+Y36*'3a-SalesForecastYear1'!$D$13</f>
        <v>0</v>
      </c>
      <c r="Z37" s="345">
        <f>+Z36*'3a-SalesForecastYear1'!$D$13</f>
        <v>0</v>
      </c>
      <c r="AA37" s="345">
        <f>+AA36*'3a-SalesForecastYear1'!$D$13</f>
        <v>0</v>
      </c>
      <c r="AB37" s="345">
        <f>+AB36*'3a-SalesForecastYear1'!$D$13</f>
        <v>0</v>
      </c>
      <c r="AC37" s="345">
        <f>+AC36*'3a-SalesForecastYear1'!$D$13</f>
        <v>0</v>
      </c>
      <c r="AD37" s="135">
        <f>SUM(R37:AC37)</f>
        <v>0</v>
      </c>
      <c r="AE37" s="355">
        <f>(AE38+AE39)</f>
        <v>0</v>
      </c>
      <c r="AF37" s="354">
        <f>IF($AD$47=0,0,AD37/$AD$47)</f>
        <v>0</v>
      </c>
    </row>
    <row r="38" spans="1:32" x14ac:dyDescent="0.35">
      <c r="A38" s="144" t="s">
        <v>216</v>
      </c>
      <c r="B38" s="339">
        <f>'3a-SalesForecastYear1'!O44</f>
        <v>0</v>
      </c>
      <c r="C38" s="345">
        <f>+C36*'3a-SalesForecastYear1'!$E$13</f>
        <v>0</v>
      </c>
      <c r="D38" s="345">
        <f>+D36*'3a-SalesForecastYear1'!$E$13</f>
        <v>0</v>
      </c>
      <c r="E38" s="345">
        <f>+E36*'3a-SalesForecastYear1'!$E$13</f>
        <v>0</v>
      </c>
      <c r="F38" s="345">
        <f>+F36*'3a-SalesForecastYear1'!$E$13</f>
        <v>0</v>
      </c>
      <c r="G38" s="345">
        <f>+G36*'3a-SalesForecastYear1'!$E$13</f>
        <v>0</v>
      </c>
      <c r="H38" s="345">
        <f>+H36*'3a-SalesForecastYear1'!$E$13</f>
        <v>0</v>
      </c>
      <c r="I38" s="345">
        <f>+I36*'3a-SalesForecastYear1'!$E$13</f>
        <v>0</v>
      </c>
      <c r="J38" s="345">
        <f>+J36*'3a-SalesForecastYear1'!$E$13</f>
        <v>0</v>
      </c>
      <c r="K38" s="345">
        <f>+K36*'3a-SalesForecastYear1'!$E$13</f>
        <v>0</v>
      </c>
      <c r="L38" s="345">
        <f>+L36*'3a-SalesForecastYear1'!$E$13</f>
        <v>0</v>
      </c>
      <c r="M38" s="345">
        <f>+M36*'3a-SalesForecastYear1'!$E$13</f>
        <v>0</v>
      </c>
      <c r="N38" s="345">
        <f>+N36*'3a-SalesForecastYear1'!$E$13</f>
        <v>0</v>
      </c>
      <c r="O38" s="135">
        <f>SUM(C38:N38)</f>
        <v>0</v>
      </c>
      <c r="P38" s="355">
        <f>IF(O37=0,0,O38/O37)</f>
        <v>0</v>
      </c>
      <c r="Q38" s="354">
        <f>IF($O$48=0,0,O38/$O$48)</f>
        <v>0</v>
      </c>
      <c r="R38" s="345">
        <f>+R36*'3a-SalesForecastYear1'!$E$13</f>
        <v>0</v>
      </c>
      <c r="S38" s="345">
        <f>+S36*'3a-SalesForecastYear1'!$E$13</f>
        <v>0</v>
      </c>
      <c r="T38" s="345">
        <f>+T36*'3a-SalesForecastYear1'!$E$13</f>
        <v>0</v>
      </c>
      <c r="U38" s="345">
        <f>+U36*'3a-SalesForecastYear1'!$E$13</f>
        <v>0</v>
      </c>
      <c r="V38" s="345">
        <f>+V36*'3a-SalesForecastYear1'!$E$13</f>
        <v>0</v>
      </c>
      <c r="W38" s="345">
        <f>+W36*'3a-SalesForecastYear1'!$E$13</f>
        <v>0</v>
      </c>
      <c r="X38" s="345">
        <f>+X36*'3a-SalesForecastYear1'!$E$13</f>
        <v>0</v>
      </c>
      <c r="Y38" s="345">
        <f>+Y36*'3a-SalesForecastYear1'!$E$13</f>
        <v>0</v>
      </c>
      <c r="Z38" s="345">
        <f>+Z36*'3a-SalesForecastYear1'!$E$13</f>
        <v>0</v>
      </c>
      <c r="AA38" s="345">
        <f>+AA36*'3a-SalesForecastYear1'!$E$13</f>
        <v>0</v>
      </c>
      <c r="AB38" s="345">
        <f>+AB36*'3a-SalesForecastYear1'!$E$13</f>
        <v>0</v>
      </c>
      <c r="AC38" s="345">
        <f>+AC36*'3a-SalesForecastYear1'!$E$13</f>
        <v>0</v>
      </c>
      <c r="AD38" s="135">
        <f>SUM(R38:AC38)</f>
        <v>0</v>
      </c>
      <c r="AE38" s="355">
        <f>IF(AD37=0,0,AD38/AD37)</f>
        <v>0</v>
      </c>
      <c r="AF38" s="354">
        <f>IF($AD$48=0,0,AD38/$AD$48)</f>
        <v>0</v>
      </c>
    </row>
    <row r="39" spans="1:32" x14ac:dyDescent="0.35">
      <c r="A39" s="136" t="s">
        <v>107</v>
      </c>
      <c r="B39" s="338">
        <f>'3a-SalesForecastYear1'!O45</f>
        <v>0</v>
      </c>
      <c r="C39" s="364">
        <f>C37-C38</f>
        <v>0</v>
      </c>
      <c r="D39" s="364">
        <f t="shared" ref="D39:N39" si="13">D37-D38</f>
        <v>0</v>
      </c>
      <c r="E39" s="364">
        <f t="shared" si="13"/>
        <v>0</v>
      </c>
      <c r="F39" s="364">
        <f t="shared" si="13"/>
        <v>0</v>
      </c>
      <c r="G39" s="364">
        <f t="shared" si="13"/>
        <v>0</v>
      </c>
      <c r="H39" s="364">
        <f t="shared" si="13"/>
        <v>0</v>
      </c>
      <c r="I39" s="364">
        <f t="shared" si="13"/>
        <v>0</v>
      </c>
      <c r="J39" s="364">
        <f t="shared" si="13"/>
        <v>0</v>
      </c>
      <c r="K39" s="364">
        <f t="shared" si="13"/>
        <v>0</v>
      </c>
      <c r="L39" s="364">
        <f t="shared" si="13"/>
        <v>0</v>
      </c>
      <c r="M39" s="364">
        <f t="shared" si="13"/>
        <v>0</v>
      </c>
      <c r="N39" s="364">
        <f t="shared" si="13"/>
        <v>0</v>
      </c>
      <c r="O39" s="135">
        <f>SUM(C39:N39)</f>
        <v>0</v>
      </c>
      <c r="P39" s="355">
        <f>IF(O37=0,0,O39/O37)</f>
        <v>0</v>
      </c>
      <c r="Q39" s="354">
        <f>IF($O$49=0,0,O39/$O$49)</f>
        <v>0</v>
      </c>
      <c r="R39" s="345">
        <f>R37-R38</f>
        <v>0</v>
      </c>
      <c r="S39" s="345">
        <f t="shared" ref="S39:AC39" si="14">S37-S38</f>
        <v>0</v>
      </c>
      <c r="T39" s="345">
        <f t="shared" si="14"/>
        <v>0</v>
      </c>
      <c r="U39" s="345">
        <f t="shared" si="14"/>
        <v>0</v>
      </c>
      <c r="V39" s="345">
        <f t="shared" si="14"/>
        <v>0</v>
      </c>
      <c r="W39" s="345">
        <f t="shared" si="14"/>
        <v>0</v>
      </c>
      <c r="X39" s="345">
        <f t="shared" si="14"/>
        <v>0</v>
      </c>
      <c r="Y39" s="345">
        <f t="shared" si="14"/>
        <v>0</v>
      </c>
      <c r="Z39" s="345">
        <f t="shared" si="14"/>
        <v>0</v>
      </c>
      <c r="AA39" s="345">
        <f t="shared" si="14"/>
        <v>0</v>
      </c>
      <c r="AB39" s="345">
        <f t="shared" si="14"/>
        <v>0</v>
      </c>
      <c r="AC39" s="345">
        <f t="shared" si="14"/>
        <v>0</v>
      </c>
      <c r="AD39" s="135">
        <f>SUM(R39:AC39)</f>
        <v>0</v>
      </c>
      <c r="AE39" s="355">
        <f>IF(AD37=0,0,AD39/AD37)</f>
        <v>0</v>
      </c>
      <c r="AF39" s="354">
        <f>IF($AD$49=0,0,AD39/$AD$49)</f>
        <v>0</v>
      </c>
    </row>
    <row r="40" spans="1:32" s="65" customFormat="1" x14ac:dyDescent="0.35">
      <c r="A40" s="148"/>
      <c r="B40" s="335"/>
      <c r="C40" s="150"/>
      <c r="D40" s="150"/>
      <c r="E40" s="150"/>
      <c r="F40" s="150"/>
      <c r="G40" s="150"/>
      <c r="H40" s="150"/>
      <c r="I40" s="150"/>
      <c r="J40" s="150"/>
      <c r="K40" s="150"/>
      <c r="L40" s="150"/>
      <c r="M40" s="150"/>
      <c r="N40" s="150"/>
      <c r="O40" s="132"/>
      <c r="P40" s="9"/>
      <c r="Q40" s="133"/>
      <c r="R40" s="150"/>
      <c r="S40" s="150"/>
      <c r="T40" s="150"/>
      <c r="U40" s="150"/>
      <c r="V40" s="150"/>
      <c r="W40" s="150"/>
      <c r="X40" s="150"/>
      <c r="Y40" s="150"/>
      <c r="Z40" s="150"/>
      <c r="AA40" s="150"/>
      <c r="AB40" s="150"/>
      <c r="AC40" s="150"/>
      <c r="AD40" s="132"/>
      <c r="AE40" s="9"/>
      <c r="AF40" s="133"/>
    </row>
    <row r="41" spans="1:32" s="63" customFormat="1" x14ac:dyDescent="0.35">
      <c r="A41" s="141" t="str">
        <f>'3a-SalesForecastYear1'!B47</f>
        <v>Product 6</v>
      </c>
      <c r="B41" s="141"/>
      <c r="C41" s="151"/>
      <c r="D41" s="151"/>
      <c r="E41" s="151"/>
      <c r="F41" s="151"/>
      <c r="G41" s="151"/>
      <c r="H41" s="151"/>
      <c r="I41" s="151"/>
      <c r="J41" s="151"/>
      <c r="K41" s="151"/>
      <c r="L41" s="151"/>
      <c r="M41" s="151"/>
      <c r="N41" s="151"/>
      <c r="O41" s="143"/>
      <c r="P41" s="9"/>
      <c r="Q41" s="133"/>
      <c r="R41" s="151"/>
      <c r="S41" s="151"/>
      <c r="T41" s="151"/>
      <c r="U41" s="151"/>
      <c r="V41" s="151"/>
      <c r="W41" s="151"/>
      <c r="X41" s="151"/>
      <c r="Y41" s="151"/>
      <c r="Z41" s="151"/>
      <c r="AA41" s="151"/>
      <c r="AB41" s="151"/>
      <c r="AC41" s="151"/>
      <c r="AD41" s="143"/>
      <c r="AE41" s="9"/>
      <c r="AF41" s="133"/>
    </row>
    <row r="42" spans="1:32" x14ac:dyDescent="0.35">
      <c r="A42" s="131" t="str">
        <f>Unit6&amp; " Sold"</f>
        <v xml:space="preserve"> Sold</v>
      </c>
      <c r="B42" s="131">
        <f>Unit6_Annual</f>
        <v>0</v>
      </c>
      <c r="C42" s="344">
        <f>'3a-SalesForecastYear1'!C48+('3a-SalesForecastYear1'!C48*$C$7)</f>
        <v>0</v>
      </c>
      <c r="D42" s="344">
        <f>'3a-SalesForecastYear1'!D48+('3a-SalesForecastYear1'!D48*$C$7)</f>
        <v>0</v>
      </c>
      <c r="E42" s="344">
        <f>'3a-SalesForecastYear1'!E48+('3a-SalesForecastYear1'!E48*$C$7)</f>
        <v>0</v>
      </c>
      <c r="F42" s="344">
        <f>'3a-SalesForecastYear1'!F48+('3a-SalesForecastYear1'!F48*$C$7)</f>
        <v>0</v>
      </c>
      <c r="G42" s="344">
        <f>'3a-SalesForecastYear1'!G48+('3a-SalesForecastYear1'!G48*$C$7)</f>
        <v>0</v>
      </c>
      <c r="H42" s="344">
        <f>'3a-SalesForecastYear1'!H48+('3a-SalesForecastYear1'!H48*$C$7)</f>
        <v>0</v>
      </c>
      <c r="I42" s="344">
        <f>'3a-SalesForecastYear1'!I48+('3a-SalesForecastYear1'!I48*$C$7)</f>
        <v>0</v>
      </c>
      <c r="J42" s="344">
        <f>'3a-SalesForecastYear1'!J48+('3a-SalesForecastYear1'!J48*$C$7)</f>
        <v>0</v>
      </c>
      <c r="K42" s="344">
        <f>'3a-SalesForecastYear1'!K48+('3a-SalesForecastYear1'!K48*$C$7)</f>
        <v>0</v>
      </c>
      <c r="L42" s="344">
        <f>'3a-SalesForecastYear1'!L48+('3a-SalesForecastYear1'!L48*$C$7)</f>
        <v>0</v>
      </c>
      <c r="M42" s="344">
        <f>'3a-SalesForecastYear1'!M48+('3a-SalesForecastYear1'!M48*$C$7)</f>
        <v>0</v>
      </c>
      <c r="N42" s="344">
        <f>'3a-SalesForecastYear1'!N48+('3a-SalesForecastYear1'!N48*$C$7)</f>
        <v>0</v>
      </c>
      <c r="O42" s="362">
        <f t="shared" ref="O42:O48" si="15">SUM(C42:N42)</f>
        <v>0</v>
      </c>
      <c r="P42" s="9"/>
      <c r="Q42" s="354">
        <f>IF($O$46=0,0,O42/$O$46)</f>
        <v>0</v>
      </c>
      <c r="R42" s="344">
        <f>C42+(C42*$C$8)</f>
        <v>0</v>
      </c>
      <c r="S42" s="344">
        <f t="shared" ref="S42:AC42" si="16">D42+(D42*$C$8)</f>
        <v>0</v>
      </c>
      <c r="T42" s="344">
        <f t="shared" si="16"/>
        <v>0</v>
      </c>
      <c r="U42" s="344">
        <f t="shared" si="16"/>
        <v>0</v>
      </c>
      <c r="V42" s="344">
        <f t="shared" si="16"/>
        <v>0</v>
      </c>
      <c r="W42" s="344">
        <f t="shared" si="16"/>
        <v>0</v>
      </c>
      <c r="X42" s="344">
        <f t="shared" si="16"/>
        <v>0</v>
      </c>
      <c r="Y42" s="344">
        <f t="shared" si="16"/>
        <v>0</v>
      </c>
      <c r="Z42" s="344">
        <f t="shared" si="16"/>
        <v>0</v>
      </c>
      <c r="AA42" s="344">
        <f t="shared" si="16"/>
        <v>0</v>
      </c>
      <c r="AB42" s="344">
        <f t="shared" si="16"/>
        <v>0</v>
      </c>
      <c r="AC42" s="344">
        <f t="shared" si="16"/>
        <v>0</v>
      </c>
      <c r="AD42" s="362">
        <f t="shared" ref="AD42:AD48" si="17">SUM(R42:AC42)</f>
        <v>0</v>
      </c>
      <c r="AE42" s="9"/>
      <c r="AF42" s="354">
        <f>IF($AD$46=0,0,AD42/$AD$46)</f>
        <v>0</v>
      </c>
    </row>
    <row r="43" spans="1:32" x14ac:dyDescent="0.35">
      <c r="A43" s="144" t="s">
        <v>109</v>
      </c>
      <c r="B43" s="339">
        <f>Category6_Annual_Sales</f>
        <v>0</v>
      </c>
      <c r="C43" s="345">
        <f>+C42*'3a-SalesForecastYear1'!$D$14</f>
        <v>0</v>
      </c>
      <c r="D43" s="345">
        <f>+D42*'3a-SalesForecastYear1'!$D$14</f>
        <v>0</v>
      </c>
      <c r="E43" s="345">
        <f>+E42*'3a-SalesForecastYear1'!$D$14</f>
        <v>0</v>
      </c>
      <c r="F43" s="345">
        <f>+F42*'3a-SalesForecastYear1'!$D$14</f>
        <v>0</v>
      </c>
      <c r="G43" s="345">
        <f>+G42*'3a-SalesForecastYear1'!$D$14</f>
        <v>0</v>
      </c>
      <c r="H43" s="345">
        <f>+H42*'3a-SalesForecastYear1'!$D$14</f>
        <v>0</v>
      </c>
      <c r="I43" s="345">
        <f>+I42*'3a-SalesForecastYear1'!$D$14</f>
        <v>0</v>
      </c>
      <c r="J43" s="345">
        <f>+J42*'3a-SalesForecastYear1'!$D$14</f>
        <v>0</v>
      </c>
      <c r="K43" s="345">
        <f>+K42*'3a-SalesForecastYear1'!$D$14</f>
        <v>0</v>
      </c>
      <c r="L43" s="345">
        <f>+L42*'3a-SalesForecastYear1'!$D$14</f>
        <v>0</v>
      </c>
      <c r="M43" s="345">
        <f>+M42*'3a-SalesForecastYear1'!$D$14</f>
        <v>0</v>
      </c>
      <c r="N43" s="345">
        <f>+N42*'3a-SalesForecastYear1'!$D$14</f>
        <v>0</v>
      </c>
      <c r="O43" s="135">
        <f t="shared" si="15"/>
        <v>0</v>
      </c>
      <c r="P43" s="355">
        <f>(P44+P45)</f>
        <v>0</v>
      </c>
      <c r="Q43" s="354">
        <f>IF($O$47=0,0,O43/$O$47)</f>
        <v>0</v>
      </c>
      <c r="R43" s="345">
        <f>+R42*'3a-SalesForecastYear1'!$D$14</f>
        <v>0</v>
      </c>
      <c r="S43" s="345">
        <f>+S42*'3a-SalesForecastYear1'!$D$14</f>
        <v>0</v>
      </c>
      <c r="T43" s="345">
        <f>+T42*'3a-SalesForecastYear1'!$D$14</f>
        <v>0</v>
      </c>
      <c r="U43" s="345">
        <f>+U42*'3a-SalesForecastYear1'!$D$14</f>
        <v>0</v>
      </c>
      <c r="V43" s="345">
        <f>+V42*'3a-SalesForecastYear1'!$D$14</f>
        <v>0</v>
      </c>
      <c r="W43" s="345">
        <f>+W42*'3a-SalesForecastYear1'!$D$14</f>
        <v>0</v>
      </c>
      <c r="X43" s="345">
        <f>+X42*'3a-SalesForecastYear1'!$D$14</f>
        <v>0</v>
      </c>
      <c r="Y43" s="345">
        <f>+Y42*'3a-SalesForecastYear1'!$D$14</f>
        <v>0</v>
      </c>
      <c r="Z43" s="345">
        <f>+Z42*'3a-SalesForecastYear1'!$D$14</f>
        <v>0</v>
      </c>
      <c r="AA43" s="345">
        <f>+AA42*'3a-SalesForecastYear1'!$D$14</f>
        <v>0</v>
      </c>
      <c r="AB43" s="345">
        <f>+AB42*'3a-SalesForecastYear1'!$D$14</f>
        <v>0</v>
      </c>
      <c r="AC43" s="345">
        <f>+AC42*'3a-SalesForecastYear1'!$D$14</f>
        <v>0</v>
      </c>
      <c r="AD43" s="135">
        <f t="shared" si="17"/>
        <v>0</v>
      </c>
      <c r="AE43" s="355">
        <f>(AE44+AE45)</f>
        <v>0</v>
      </c>
      <c r="AF43" s="354">
        <f>IF($AD$47=0,0,AD43/$AD$47)</f>
        <v>0</v>
      </c>
    </row>
    <row r="44" spans="1:32" x14ac:dyDescent="0.35">
      <c r="A44" s="152" t="s">
        <v>216</v>
      </c>
      <c r="B44" s="337">
        <f>'3a-SalesForecastYear1'!O50</f>
        <v>0</v>
      </c>
      <c r="C44" s="345">
        <f>+C42*'3a-SalesForecastYear1'!$E$14</f>
        <v>0</v>
      </c>
      <c r="D44" s="345">
        <f>+D42*'3a-SalesForecastYear1'!$E$14</f>
        <v>0</v>
      </c>
      <c r="E44" s="345">
        <f>+E42*'3a-SalesForecastYear1'!$E$14</f>
        <v>0</v>
      </c>
      <c r="F44" s="345">
        <f>+F42*'3a-SalesForecastYear1'!$E$14</f>
        <v>0</v>
      </c>
      <c r="G44" s="345">
        <f>+G42*'3a-SalesForecastYear1'!$E$14</f>
        <v>0</v>
      </c>
      <c r="H44" s="345">
        <f>+H42*'3a-SalesForecastYear1'!$E$14</f>
        <v>0</v>
      </c>
      <c r="I44" s="345">
        <f>+I42*'3a-SalesForecastYear1'!$E$14</f>
        <v>0</v>
      </c>
      <c r="J44" s="345">
        <f>+J42*'3a-SalesForecastYear1'!$E$14</f>
        <v>0</v>
      </c>
      <c r="K44" s="345">
        <f>+K42*'3a-SalesForecastYear1'!$E$14</f>
        <v>0</v>
      </c>
      <c r="L44" s="345">
        <f>+L42*'3a-SalesForecastYear1'!$E$14</f>
        <v>0</v>
      </c>
      <c r="M44" s="345">
        <f>+M42*'3a-SalesForecastYear1'!$E$14</f>
        <v>0</v>
      </c>
      <c r="N44" s="345">
        <f>+N42*'3a-SalesForecastYear1'!$E$14</f>
        <v>0</v>
      </c>
      <c r="O44" s="135">
        <f t="shared" si="15"/>
        <v>0</v>
      </c>
      <c r="P44" s="355">
        <f>IF(O43=0,0,O44/O43)</f>
        <v>0</v>
      </c>
      <c r="Q44" s="354">
        <f>IF($O$48=0,0,O44/$O$48)</f>
        <v>0</v>
      </c>
      <c r="R44" s="345">
        <f>+R42*'3a-SalesForecastYear1'!$E$14</f>
        <v>0</v>
      </c>
      <c r="S44" s="345">
        <f>+S42*'3a-SalesForecastYear1'!$E$14</f>
        <v>0</v>
      </c>
      <c r="T44" s="345">
        <f>+T42*'3a-SalesForecastYear1'!$E$14</f>
        <v>0</v>
      </c>
      <c r="U44" s="345">
        <f>+U42*'3a-SalesForecastYear1'!$E$14</f>
        <v>0</v>
      </c>
      <c r="V44" s="345">
        <f>+V42*'3a-SalesForecastYear1'!$E$14</f>
        <v>0</v>
      </c>
      <c r="W44" s="345">
        <f>+W42*'3a-SalesForecastYear1'!$E$14</f>
        <v>0</v>
      </c>
      <c r="X44" s="345">
        <f>+X42*'3a-SalesForecastYear1'!$E$14</f>
        <v>0</v>
      </c>
      <c r="Y44" s="345">
        <f>+Y42*'3a-SalesForecastYear1'!$E$14</f>
        <v>0</v>
      </c>
      <c r="Z44" s="345">
        <f>+Z42*'3a-SalesForecastYear1'!$E$14</f>
        <v>0</v>
      </c>
      <c r="AA44" s="345">
        <f>+AA42*'3a-SalesForecastYear1'!$E$14</f>
        <v>0</v>
      </c>
      <c r="AB44" s="345">
        <f>+AB42*'3a-SalesForecastYear1'!$E$14</f>
        <v>0</v>
      </c>
      <c r="AC44" s="345">
        <f>+AC42*'3a-SalesForecastYear1'!$E$14</f>
        <v>0</v>
      </c>
      <c r="AD44" s="135">
        <f t="shared" si="17"/>
        <v>0</v>
      </c>
      <c r="AE44" s="355">
        <f>IF(AD43=0,0,AD44/AD43)</f>
        <v>0</v>
      </c>
      <c r="AF44" s="354">
        <f>IF($AD$48=0,0,AD44/$AD$48)</f>
        <v>0</v>
      </c>
    </row>
    <row r="45" spans="1:32" x14ac:dyDescent="0.35">
      <c r="A45" s="134" t="s">
        <v>107</v>
      </c>
      <c r="B45" s="340">
        <f>'3a-SalesForecastYear1'!O51</f>
        <v>0</v>
      </c>
      <c r="C45" s="345">
        <f>C43-C44</f>
        <v>0</v>
      </c>
      <c r="D45" s="345">
        <f t="shared" ref="D45:N45" si="18">D43-D44</f>
        <v>0</v>
      </c>
      <c r="E45" s="345">
        <f t="shared" si="18"/>
        <v>0</v>
      </c>
      <c r="F45" s="345">
        <f t="shared" si="18"/>
        <v>0</v>
      </c>
      <c r="G45" s="345">
        <f t="shared" si="18"/>
        <v>0</v>
      </c>
      <c r="H45" s="345">
        <f t="shared" si="18"/>
        <v>0</v>
      </c>
      <c r="I45" s="345">
        <f t="shared" si="18"/>
        <v>0</v>
      </c>
      <c r="J45" s="345">
        <f t="shared" si="18"/>
        <v>0</v>
      </c>
      <c r="K45" s="345">
        <f t="shared" si="18"/>
        <v>0</v>
      </c>
      <c r="L45" s="345">
        <f t="shared" si="18"/>
        <v>0</v>
      </c>
      <c r="M45" s="345">
        <f t="shared" si="18"/>
        <v>0</v>
      </c>
      <c r="N45" s="345">
        <f t="shared" si="18"/>
        <v>0</v>
      </c>
      <c r="O45" s="135">
        <f t="shared" si="15"/>
        <v>0</v>
      </c>
      <c r="P45" s="355">
        <f>IF(O43=0,0,O45/O43)</f>
        <v>0</v>
      </c>
      <c r="Q45" s="354">
        <f>IF($O$49=0,0,O45/$O$49)</f>
        <v>0</v>
      </c>
      <c r="R45" s="345">
        <f>R43-R44</f>
        <v>0</v>
      </c>
      <c r="S45" s="345">
        <f t="shared" ref="S45:AC45" si="19">S43-S44</f>
        <v>0</v>
      </c>
      <c r="T45" s="345">
        <f t="shared" si="19"/>
        <v>0</v>
      </c>
      <c r="U45" s="345">
        <f t="shared" si="19"/>
        <v>0</v>
      </c>
      <c r="V45" s="345">
        <f t="shared" si="19"/>
        <v>0</v>
      </c>
      <c r="W45" s="345">
        <f t="shared" si="19"/>
        <v>0</v>
      </c>
      <c r="X45" s="345">
        <f t="shared" si="19"/>
        <v>0</v>
      </c>
      <c r="Y45" s="345">
        <f t="shared" si="19"/>
        <v>0</v>
      </c>
      <c r="Z45" s="345">
        <f t="shared" si="19"/>
        <v>0</v>
      </c>
      <c r="AA45" s="345">
        <f t="shared" si="19"/>
        <v>0</v>
      </c>
      <c r="AB45" s="345">
        <f t="shared" si="19"/>
        <v>0</v>
      </c>
      <c r="AC45" s="345">
        <f t="shared" si="19"/>
        <v>0</v>
      </c>
      <c r="AD45" s="135">
        <f t="shared" si="17"/>
        <v>0</v>
      </c>
      <c r="AE45" s="355">
        <f>IF(AD43=0,0,AD45/AD43)</f>
        <v>0</v>
      </c>
      <c r="AF45" s="354">
        <f>IF($AD$49=0,0,AD45/$AD$49)</f>
        <v>0</v>
      </c>
    </row>
    <row r="46" spans="1:32" x14ac:dyDescent="0.35">
      <c r="A46" s="153" t="s">
        <v>108</v>
      </c>
      <c r="B46" s="153">
        <f>Units_Annual_Total</f>
        <v>0</v>
      </c>
      <c r="C46" s="361">
        <f>C12+C18+C24+C30+C36+C42</f>
        <v>0</v>
      </c>
      <c r="D46" s="361">
        <f t="shared" ref="D46:N46" si="20">D12+D18+D24+D30+D36+D42</f>
        <v>0</v>
      </c>
      <c r="E46" s="361">
        <f t="shared" si="20"/>
        <v>0</v>
      </c>
      <c r="F46" s="361">
        <f t="shared" si="20"/>
        <v>0</v>
      </c>
      <c r="G46" s="361">
        <f t="shared" si="20"/>
        <v>0</v>
      </c>
      <c r="H46" s="361">
        <f t="shared" si="20"/>
        <v>0</v>
      </c>
      <c r="I46" s="361">
        <f t="shared" si="20"/>
        <v>0</v>
      </c>
      <c r="J46" s="361">
        <f t="shared" si="20"/>
        <v>0</v>
      </c>
      <c r="K46" s="361">
        <f t="shared" si="20"/>
        <v>0</v>
      </c>
      <c r="L46" s="361">
        <f t="shared" si="20"/>
        <v>0</v>
      </c>
      <c r="M46" s="361">
        <f t="shared" si="20"/>
        <v>0</v>
      </c>
      <c r="N46" s="361">
        <f t="shared" si="20"/>
        <v>0</v>
      </c>
      <c r="O46" s="362">
        <f t="shared" si="15"/>
        <v>0</v>
      </c>
      <c r="P46" s="9"/>
      <c r="Q46" s="133"/>
      <c r="R46" s="361">
        <f>R12+R18+R24+R30+R36+R42</f>
        <v>0</v>
      </c>
      <c r="S46" s="361">
        <f t="shared" ref="S46:AC46" si="21">S12+S18+S24+S30+S36+S42</f>
        <v>0</v>
      </c>
      <c r="T46" s="361">
        <f t="shared" si="21"/>
        <v>0</v>
      </c>
      <c r="U46" s="361">
        <f t="shared" si="21"/>
        <v>0</v>
      </c>
      <c r="V46" s="361">
        <f t="shared" si="21"/>
        <v>0</v>
      </c>
      <c r="W46" s="361">
        <f t="shared" si="21"/>
        <v>0</v>
      </c>
      <c r="X46" s="361">
        <f t="shared" si="21"/>
        <v>0</v>
      </c>
      <c r="Y46" s="361">
        <f t="shared" si="21"/>
        <v>0</v>
      </c>
      <c r="Z46" s="361">
        <f t="shared" si="21"/>
        <v>0</v>
      </c>
      <c r="AA46" s="361">
        <f t="shared" si="21"/>
        <v>0</v>
      </c>
      <c r="AB46" s="361">
        <f t="shared" si="21"/>
        <v>0</v>
      </c>
      <c r="AC46" s="361">
        <f t="shared" si="21"/>
        <v>0</v>
      </c>
      <c r="AD46" s="362">
        <f t="shared" si="17"/>
        <v>0</v>
      </c>
      <c r="AE46" s="9"/>
      <c r="AF46" s="133"/>
    </row>
    <row r="47" spans="1:32" x14ac:dyDescent="0.35">
      <c r="A47" s="154" t="s">
        <v>109</v>
      </c>
      <c r="B47" s="341">
        <f>Sales_Annual_Total</f>
        <v>0</v>
      </c>
      <c r="C47" s="155">
        <f t="shared" ref="C47:N48" si="22">C13+C19+C25+C31+C37+C43</f>
        <v>0</v>
      </c>
      <c r="D47" s="155">
        <f t="shared" si="22"/>
        <v>0</v>
      </c>
      <c r="E47" s="155">
        <f t="shared" si="22"/>
        <v>0</v>
      </c>
      <c r="F47" s="155">
        <f t="shared" si="22"/>
        <v>0</v>
      </c>
      <c r="G47" s="155">
        <f t="shared" si="22"/>
        <v>0</v>
      </c>
      <c r="H47" s="155">
        <f t="shared" si="22"/>
        <v>0</v>
      </c>
      <c r="I47" s="155">
        <f t="shared" si="22"/>
        <v>0</v>
      </c>
      <c r="J47" s="155">
        <f t="shared" si="22"/>
        <v>0</v>
      </c>
      <c r="K47" s="155">
        <f t="shared" si="22"/>
        <v>0</v>
      </c>
      <c r="L47" s="155">
        <f t="shared" si="22"/>
        <v>0</v>
      </c>
      <c r="M47" s="155">
        <f t="shared" si="22"/>
        <v>0</v>
      </c>
      <c r="N47" s="155">
        <f t="shared" si="22"/>
        <v>0</v>
      </c>
      <c r="O47" s="135">
        <f t="shared" si="15"/>
        <v>0</v>
      </c>
      <c r="P47" s="9"/>
      <c r="Q47" s="133"/>
      <c r="R47" s="155">
        <f t="shared" ref="R47:AC47" si="23">R13+R19+R25+R31+R37+R43</f>
        <v>0</v>
      </c>
      <c r="S47" s="155">
        <f t="shared" si="23"/>
        <v>0</v>
      </c>
      <c r="T47" s="155">
        <f t="shared" si="23"/>
        <v>0</v>
      </c>
      <c r="U47" s="155">
        <f t="shared" si="23"/>
        <v>0</v>
      </c>
      <c r="V47" s="155">
        <f t="shared" si="23"/>
        <v>0</v>
      </c>
      <c r="W47" s="155">
        <f t="shared" si="23"/>
        <v>0</v>
      </c>
      <c r="X47" s="155">
        <f t="shared" si="23"/>
        <v>0</v>
      </c>
      <c r="Y47" s="155">
        <f t="shared" si="23"/>
        <v>0</v>
      </c>
      <c r="Z47" s="155">
        <f t="shared" si="23"/>
        <v>0</v>
      </c>
      <c r="AA47" s="155">
        <f t="shared" si="23"/>
        <v>0</v>
      </c>
      <c r="AB47" s="155">
        <f t="shared" si="23"/>
        <v>0</v>
      </c>
      <c r="AC47" s="155">
        <f t="shared" si="23"/>
        <v>0</v>
      </c>
      <c r="AD47" s="135">
        <f t="shared" si="17"/>
        <v>0</v>
      </c>
      <c r="AE47" s="9"/>
      <c r="AF47" s="133"/>
    </row>
    <row r="48" spans="1:32" x14ac:dyDescent="0.35">
      <c r="A48" s="156" t="s">
        <v>105</v>
      </c>
      <c r="B48" s="342">
        <f>COGS_Annual_Total</f>
        <v>0</v>
      </c>
      <c r="C48" s="157">
        <f>C14+C20+C26+C32+C38+C44</f>
        <v>0</v>
      </c>
      <c r="D48" s="157">
        <f t="shared" si="22"/>
        <v>0</v>
      </c>
      <c r="E48" s="157">
        <f t="shared" si="22"/>
        <v>0</v>
      </c>
      <c r="F48" s="157">
        <f t="shared" si="22"/>
        <v>0</v>
      </c>
      <c r="G48" s="157">
        <f t="shared" si="22"/>
        <v>0</v>
      </c>
      <c r="H48" s="157">
        <f t="shared" si="22"/>
        <v>0</v>
      </c>
      <c r="I48" s="157">
        <f t="shared" si="22"/>
        <v>0</v>
      </c>
      <c r="J48" s="157">
        <f t="shared" si="22"/>
        <v>0</v>
      </c>
      <c r="K48" s="157">
        <f t="shared" si="22"/>
        <v>0</v>
      </c>
      <c r="L48" s="157">
        <f t="shared" si="22"/>
        <v>0</v>
      </c>
      <c r="M48" s="157">
        <f t="shared" si="22"/>
        <v>0</v>
      </c>
      <c r="N48" s="157">
        <f t="shared" si="22"/>
        <v>0</v>
      </c>
      <c r="O48" s="135">
        <f t="shared" si="15"/>
        <v>0</v>
      </c>
      <c r="P48" s="9"/>
      <c r="Q48" s="133"/>
      <c r="R48" s="157">
        <f>R14+R20+R26+R32+R38+R44</f>
        <v>0</v>
      </c>
      <c r="S48" s="157">
        <f t="shared" ref="S48:AC48" si="24">S14+S20+S26+S32+S38+S44</f>
        <v>0</v>
      </c>
      <c r="T48" s="157">
        <f t="shared" si="24"/>
        <v>0</v>
      </c>
      <c r="U48" s="157">
        <f t="shared" si="24"/>
        <v>0</v>
      </c>
      <c r="V48" s="157">
        <f t="shared" si="24"/>
        <v>0</v>
      </c>
      <c r="W48" s="157">
        <f t="shared" si="24"/>
        <v>0</v>
      </c>
      <c r="X48" s="157">
        <f t="shared" si="24"/>
        <v>0</v>
      </c>
      <c r="Y48" s="157">
        <f t="shared" si="24"/>
        <v>0</v>
      </c>
      <c r="Z48" s="157">
        <f t="shared" si="24"/>
        <v>0</v>
      </c>
      <c r="AA48" s="157">
        <f t="shared" si="24"/>
        <v>0</v>
      </c>
      <c r="AB48" s="157">
        <f t="shared" si="24"/>
        <v>0</v>
      </c>
      <c r="AC48" s="157">
        <f t="shared" si="24"/>
        <v>0</v>
      </c>
      <c r="AD48" s="135">
        <f t="shared" si="17"/>
        <v>0</v>
      </c>
      <c r="AE48" s="9"/>
      <c r="AF48" s="133"/>
    </row>
    <row r="49" spans="1:32" x14ac:dyDescent="0.35">
      <c r="A49" s="156" t="s">
        <v>110</v>
      </c>
      <c r="B49" s="342">
        <f>Margin_Annual_Total</f>
        <v>0</v>
      </c>
      <c r="C49" s="158">
        <f>C47-C48</f>
        <v>0</v>
      </c>
      <c r="D49" s="158">
        <f t="shared" ref="D49:N49" si="25">D47-D48</f>
        <v>0</v>
      </c>
      <c r="E49" s="158">
        <f t="shared" si="25"/>
        <v>0</v>
      </c>
      <c r="F49" s="158">
        <f t="shared" si="25"/>
        <v>0</v>
      </c>
      <c r="G49" s="158">
        <f t="shared" si="25"/>
        <v>0</v>
      </c>
      <c r="H49" s="158">
        <f t="shared" si="25"/>
        <v>0</v>
      </c>
      <c r="I49" s="158">
        <f t="shared" si="25"/>
        <v>0</v>
      </c>
      <c r="J49" s="158">
        <f t="shared" si="25"/>
        <v>0</v>
      </c>
      <c r="K49" s="158">
        <f t="shared" si="25"/>
        <v>0</v>
      </c>
      <c r="L49" s="158">
        <f t="shared" si="25"/>
        <v>0</v>
      </c>
      <c r="M49" s="158">
        <f t="shared" si="25"/>
        <v>0</v>
      </c>
      <c r="N49" s="158">
        <f t="shared" si="25"/>
        <v>0</v>
      </c>
      <c r="O49" s="145">
        <f>O15+O21+O27+O33+O39+O45</f>
        <v>0</v>
      </c>
      <c r="P49" s="9"/>
      <c r="Q49" s="133"/>
      <c r="R49" s="158">
        <f>R47-R48</f>
        <v>0</v>
      </c>
      <c r="S49" s="158">
        <f t="shared" ref="S49:AC49" si="26">S47-S48</f>
        <v>0</v>
      </c>
      <c r="T49" s="158">
        <f t="shared" si="26"/>
        <v>0</v>
      </c>
      <c r="U49" s="158">
        <f t="shared" si="26"/>
        <v>0</v>
      </c>
      <c r="V49" s="158">
        <f t="shared" si="26"/>
        <v>0</v>
      </c>
      <c r="W49" s="158">
        <f t="shared" si="26"/>
        <v>0</v>
      </c>
      <c r="X49" s="158">
        <f t="shared" si="26"/>
        <v>0</v>
      </c>
      <c r="Y49" s="158">
        <f t="shared" si="26"/>
        <v>0</v>
      </c>
      <c r="Z49" s="158">
        <f t="shared" si="26"/>
        <v>0</v>
      </c>
      <c r="AA49" s="158">
        <f t="shared" si="26"/>
        <v>0</v>
      </c>
      <c r="AB49" s="158">
        <f t="shared" si="26"/>
        <v>0</v>
      </c>
      <c r="AC49" s="158">
        <f t="shared" si="26"/>
        <v>0</v>
      </c>
      <c r="AD49" s="145">
        <f>AD15+AD21+AD27+AD33+AD39+AD45</f>
        <v>0</v>
      </c>
      <c r="AE49" s="9"/>
      <c r="AF49" s="133"/>
    </row>
  </sheetData>
  <sheetProtection formatColumns="0"/>
  <mergeCells count="1">
    <mergeCell ref="C5:D5"/>
  </mergeCells>
  <phoneticPr fontId="3" type="noConversion"/>
  <conditionalFormatting sqref="C12:N15">
    <cfRule type="containsBlanks" dxfId="75" priority="31" stopIfTrue="1">
      <formula>LEN(TRIM(C12))=0</formula>
    </cfRule>
  </conditionalFormatting>
  <conditionalFormatting sqref="C18:N18 C21:N21">
    <cfRule type="containsBlanks" dxfId="74" priority="32" stopIfTrue="1">
      <formula>LEN(TRIM(C18))=0</formula>
    </cfRule>
  </conditionalFormatting>
  <conditionalFormatting sqref="C42:N42 C24:N24 C30:N30 C36:N36 C27:N27 C33:N33 C39:N39">
    <cfRule type="containsBlanks" dxfId="73" priority="33" stopIfTrue="1">
      <formula>LEN(TRIM(C24))=0</formula>
    </cfRule>
  </conditionalFormatting>
  <conditionalFormatting sqref="R12:AB12">
    <cfRule type="containsBlanks" dxfId="72" priority="28" stopIfTrue="1">
      <formula>LEN(TRIM(R12))=0</formula>
    </cfRule>
  </conditionalFormatting>
  <conditionalFormatting sqref="R18:AC18">
    <cfRule type="containsBlanks" dxfId="71" priority="29" stopIfTrue="1">
      <formula>LEN(TRIM(R18))=0</formula>
    </cfRule>
  </conditionalFormatting>
  <conditionalFormatting sqref="R24:AC24 R30:AC30 R36:AC36 R42:AC42">
    <cfRule type="containsBlanks" dxfId="70" priority="30" stopIfTrue="1">
      <formula>LEN(TRIM(R24))=0</formula>
    </cfRule>
  </conditionalFormatting>
  <conditionalFormatting sqref="R13:AC14">
    <cfRule type="containsBlanks" dxfId="69" priority="27" stopIfTrue="1">
      <formula>LEN(TRIM(R13))=0</formula>
    </cfRule>
  </conditionalFormatting>
  <conditionalFormatting sqref="C19:C20">
    <cfRule type="containsBlanks" dxfId="68" priority="26" stopIfTrue="1">
      <formula>LEN(TRIM(C19))=0</formula>
    </cfRule>
  </conditionalFormatting>
  <conditionalFormatting sqref="C25:C26">
    <cfRule type="containsBlanks" dxfId="67" priority="23" stopIfTrue="1">
      <formula>LEN(TRIM(C25))=0</formula>
    </cfRule>
  </conditionalFormatting>
  <conditionalFormatting sqref="C31:C32">
    <cfRule type="containsBlanks" dxfId="66" priority="20" stopIfTrue="1">
      <formula>LEN(TRIM(C31))=0</formula>
    </cfRule>
  </conditionalFormatting>
  <conditionalFormatting sqref="C37:C38">
    <cfRule type="containsBlanks" dxfId="65" priority="17" stopIfTrue="1">
      <formula>LEN(TRIM(C37))=0</formula>
    </cfRule>
  </conditionalFormatting>
  <conditionalFormatting sqref="C43:C44">
    <cfRule type="containsBlanks" dxfId="64" priority="14" stopIfTrue="1">
      <formula>LEN(TRIM(C43))=0</formula>
    </cfRule>
  </conditionalFormatting>
  <conditionalFormatting sqref="D19:N20">
    <cfRule type="containsBlanks" dxfId="63" priority="11" stopIfTrue="1">
      <formula>LEN(TRIM(D19))=0</formula>
    </cfRule>
  </conditionalFormatting>
  <conditionalFormatting sqref="R19:AC20">
    <cfRule type="containsBlanks" dxfId="62" priority="10" stopIfTrue="1">
      <formula>LEN(TRIM(R19))=0</formula>
    </cfRule>
  </conditionalFormatting>
  <conditionalFormatting sqref="D25:N26">
    <cfRule type="containsBlanks" dxfId="61" priority="9" stopIfTrue="1">
      <formula>LEN(TRIM(D25))=0</formula>
    </cfRule>
  </conditionalFormatting>
  <conditionalFormatting sqref="R25:AC26">
    <cfRule type="containsBlanks" dxfId="60" priority="8" stopIfTrue="1">
      <formula>LEN(TRIM(R25))=0</formula>
    </cfRule>
  </conditionalFormatting>
  <conditionalFormatting sqref="D31:N32">
    <cfRule type="containsBlanks" dxfId="59" priority="7" stopIfTrue="1">
      <formula>LEN(TRIM(D31))=0</formula>
    </cfRule>
  </conditionalFormatting>
  <conditionalFormatting sqref="R31:AC32">
    <cfRule type="containsBlanks" dxfId="58" priority="6" stopIfTrue="1">
      <formula>LEN(TRIM(R31))=0</formula>
    </cfRule>
  </conditionalFormatting>
  <conditionalFormatting sqref="D37:N38">
    <cfRule type="containsBlanks" dxfId="57" priority="5" stopIfTrue="1">
      <formula>LEN(TRIM(D37))=0</formula>
    </cfRule>
  </conditionalFormatting>
  <conditionalFormatting sqref="R37:AC38">
    <cfRule type="containsBlanks" dxfId="56" priority="4" stopIfTrue="1">
      <formula>LEN(TRIM(R37))=0</formula>
    </cfRule>
  </conditionalFormatting>
  <conditionalFormatting sqref="D43:N44">
    <cfRule type="containsBlanks" dxfId="55" priority="3" stopIfTrue="1">
      <formula>LEN(TRIM(D43))=0</formula>
    </cfRule>
  </conditionalFormatting>
  <conditionalFormatting sqref="R43:AC44">
    <cfRule type="containsBlanks" dxfId="54" priority="2" stopIfTrue="1">
      <formula>LEN(TRIM(R43))=0</formula>
    </cfRule>
  </conditionalFormatting>
  <conditionalFormatting sqref="AC12">
    <cfRule type="containsBlanks" dxfId="53" priority="1" stopIfTrue="1">
      <formula>LEN(TRIM(AC12))=0</formula>
    </cfRule>
  </conditionalFormatting>
  <printOptions horizontalCentered="1"/>
  <pageMargins left="0.7" right="0.7" top="0.75" bottom="0.75" header="0.3" footer="0.3"/>
  <pageSetup scale="57" fitToWidth="2" orientation="landscape" r:id="rId1"/>
  <headerFooter differentFirst="1" scaleWithDoc="0">
    <oddHeader>&amp;C&amp;"Gill Sans MT,Regular"&amp;12Sales Forecast Years 1-3</oddHeader>
    <oddFooter>&amp;L&amp;"Gill Sans MT,Regular"&amp;12&amp;F&amp;C&amp;"Gill Sans MT,Regular"&amp;12&amp;A&amp;R&amp;"Gill Sans MT,Regular"&amp;12&amp;D &amp;T</oddFooter>
    <evenHeader>&amp;C&amp;"Gill Sans MT,Regular"&amp;12Sales Forecast Years 1-3</evenHeader>
    <firstHeader>&amp;C&amp;"Gill Sans MT,Regular"&amp;12Sales Forecast Years 1-3</firstHeader>
    <firstFooter>&amp;L&amp;F&amp;C&amp;A&amp;R&amp;D &amp;T</first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C95B"/>
    <pageSetUpPr fitToPage="1"/>
  </sheetPr>
  <dimension ref="A1:R45"/>
  <sheetViews>
    <sheetView topLeftCell="G19" zoomScaleNormal="100" zoomScalePageLayoutView="50" workbookViewId="0">
      <selection activeCell="R35" sqref="R35"/>
    </sheetView>
  </sheetViews>
  <sheetFormatPr defaultColWidth="8.88671875" defaultRowHeight="13.8" x14ac:dyDescent="0.35"/>
  <cols>
    <col min="1" max="1" width="6.6640625" style="63" customWidth="1"/>
    <col min="2" max="2" width="30.88671875" style="71" bestFit="1" customWidth="1"/>
    <col min="3" max="3" width="17.44140625" style="71" bestFit="1" customWidth="1"/>
    <col min="4" max="4" width="13.44140625" style="71" bestFit="1" customWidth="1"/>
    <col min="5" max="5" width="9.6640625" style="71" customWidth="1"/>
    <col min="6" max="6" width="9.6640625" style="63" customWidth="1"/>
    <col min="7" max="11" width="9.6640625" style="71" customWidth="1"/>
    <col min="12" max="12" width="11.88671875" style="71" bestFit="1" customWidth="1"/>
    <col min="13" max="13" width="9.6640625" style="71" customWidth="1"/>
    <col min="14" max="15" width="11.109375" style="71" bestFit="1" customWidth="1"/>
    <col min="16" max="16" width="15.6640625" style="71" bestFit="1" customWidth="1"/>
    <col min="17" max="18" width="9.33203125" style="71" customWidth="1"/>
    <col min="19" max="16384" width="8.88671875" style="71"/>
  </cols>
  <sheetData>
    <row r="1" spans="2:5" x14ac:dyDescent="0.35">
      <c r="B1" s="63"/>
      <c r="C1" s="63"/>
      <c r="D1" s="63"/>
      <c r="E1" s="63"/>
    </row>
    <row r="2" spans="2:5" x14ac:dyDescent="0.35">
      <c r="B2" s="62" t="s">
        <v>332</v>
      </c>
      <c r="C2" s="202"/>
      <c r="D2" s="63"/>
      <c r="E2" s="190"/>
    </row>
    <row r="3" spans="2:5" x14ac:dyDescent="0.35">
      <c r="B3" s="202"/>
      <c r="C3" s="202"/>
      <c r="D3" s="63"/>
      <c r="E3" s="63"/>
    </row>
    <row r="4" spans="2:5" x14ac:dyDescent="0.35">
      <c r="B4" s="192" t="s">
        <v>130</v>
      </c>
      <c r="C4" s="192" t="s">
        <v>131</v>
      </c>
      <c r="D4" s="63"/>
      <c r="E4" s="63"/>
    </row>
    <row r="5" spans="2:5" x14ac:dyDescent="0.35">
      <c r="B5" s="203" t="str">
        <f>IF(ISBLANK(Directions!C6), "Owner", Directions!C6)</f>
        <v>Thomas Francis</v>
      </c>
      <c r="C5" s="203" t="str">
        <f>IF(ISBLANK(Directions!D6), "Company 1", Directions!D6)</f>
        <v>Project "Dogen"</v>
      </c>
      <c r="D5" s="63"/>
      <c r="E5" s="63"/>
    </row>
    <row r="6" spans="2:5" x14ac:dyDescent="0.35">
      <c r="B6" s="204"/>
      <c r="C6" s="63"/>
      <c r="D6" s="63"/>
      <c r="E6" s="63"/>
    </row>
    <row r="7" spans="2:5" ht="14.4" thickBot="1" x14ac:dyDescent="0.4">
      <c r="B7" s="610" t="s">
        <v>333</v>
      </c>
      <c r="C7" s="610"/>
      <c r="D7" s="610"/>
      <c r="E7" s="610"/>
    </row>
    <row r="8" spans="2:5" ht="14.4" thickTop="1" x14ac:dyDescent="0.35">
      <c r="B8" s="400" t="s">
        <v>279</v>
      </c>
      <c r="C8" s="401" t="s">
        <v>251</v>
      </c>
      <c r="D8" s="401" t="s">
        <v>252</v>
      </c>
      <c r="E8" s="401" t="s">
        <v>253</v>
      </c>
    </row>
    <row r="9" spans="2:5" x14ac:dyDescent="0.35">
      <c r="B9" s="205" t="s">
        <v>280</v>
      </c>
      <c r="C9" s="206">
        <v>1</v>
      </c>
      <c r="D9" s="206">
        <v>1</v>
      </c>
      <c r="E9" s="206">
        <v>1</v>
      </c>
    </row>
    <row r="10" spans="2:5" x14ac:dyDescent="0.35">
      <c r="B10" s="205" t="s">
        <v>281</v>
      </c>
      <c r="C10" s="206">
        <v>0</v>
      </c>
      <c r="D10" s="206">
        <v>0</v>
      </c>
      <c r="E10" s="206">
        <v>0</v>
      </c>
    </row>
    <row r="11" spans="2:5" x14ac:dyDescent="0.35">
      <c r="B11" s="205" t="s">
        <v>282</v>
      </c>
      <c r="C11" s="206">
        <v>0</v>
      </c>
      <c r="D11" s="206">
        <v>0</v>
      </c>
      <c r="E11" s="206">
        <v>0</v>
      </c>
    </row>
    <row r="12" spans="2:5" x14ac:dyDescent="0.35">
      <c r="B12" s="205" t="s">
        <v>19</v>
      </c>
      <c r="C12" s="210">
        <f>1-SUM(C9:C11)</f>
        <v>0</v>
      </c>
      <c r="D12" s="210">
        <f t="shared" ref="D12:E12" si="0">1-SUM(D9:D11)</f>
        <v>0</v>
      </c>
      <c r="E12" s="210">
        <f t="shared" si="0"/>
        <v>0</v>
      </c>
    </row>
    <row r="13" spans="2:5" x14ac:dyDescent="0.35">
      <c r="B13" s="214" t="s">
        <v>306</v>
      </c>
      <c r="C13" s="215">
        <f>SUM(C9:C12)</f>
        <v>1</v>
      </c>
      <c r="D13" s="215">
        <f t="shared" ref="D13:E13" si="1">SUM(D9:D12)</f>
        <v>1</v>
      </c>
      <c r="E13" s="215">
        <f t="shared" si="1"/>
        <v>1</v>
      </c>
    </row>
    <row r="15" spans="2:5" ht="14.4" thickBot="1" x14ac:dyDescent="0.4">
      <c r="B15" s="610" t="s">
        <v>278</v>
      </c>
      <c r="C15" s="610"/>
      <c r="D15" s="610"/>
      <c r="E15" s="610"/>
    </row>
    <row r="16" spans="2:5" ht="14.4" thickTop="1" x14ac:dyDescent="0.35">
      <c r="B16" s="400" t="s">
        <v>283</v>
      </c>
      <c r="C16" s="401" t="s">
        <v>251</v>
      </c>
      <c r="D16" s="401" t="s">
        <v>252</v>
      </c>
      <c r="E16" s="401" t="s">
        <v>253</v>
      </c>
    </row>
    <row r="17" spans="2:18" x14ac:dyDescent="0.35">
      <c r="B17" s="207" t="s">
        <v>280</v>
      </c>
      <c r="C17" s="206">
        <v>1</v>
      </c>
      <c r="D17" s="206">
        <v>1</v>
      </c>
      <c r="E17" s="206">
        <v>1</v>
      </c>
    </row>
    <row r="18" spans="2:18" x14ac:dyDescent="0.35">
      <c r="B18" s="207" t="s">
        <v>281</v>
      </c>
      <c r="C18" s="206">
        <v>0</v>
      </c>
      <c r="D18" s="206">
        <v>0</v>
      </c>
      <c r="E18" s="206">
        <v>0</v>
      </c>
    </row>
    <row r="19" spans="2:18" x14ac:dyDescent="0.35">
      <c r="B19" s="70" t="s">
        <v>282</v>
      </c>
      <c r="C19" s="206">
        <v>0</v>
      </c>
      <c r="D19" s="206">
        <v>0</v>
      </c>
      <c r="E19" s="206">
        <v>0</v>
      </c>
    </row>
    <row r="20" spans="2:18" x14ac:dyDescent="0.35">
      <c r="B20" s="214" t="s">
        <v>306</v>
      </c>
      <c r="C20" s="216">
        <f>SUM(C17:C19)</f>
        <v>1</v>
      </c>
      <c r="D20" s="216">
        <f t="shared" ref="D20:E20" si="2">SUM(D17:D19)</f>
        <v>1</v>
      </c>
      <c r="E20" s="216">
        <f t="shared" si="2"/>
        <v>1</v>
      </c>
    </row>
    <row r="21" spans="2:18" s="63" customFormat="1" x14ac:dyDescent="0.35"/>
    <row r="22" spans="2:18" s="63" customFormat="1" x14ac:dyDescent="0.35"/>
    <row r="23" spans="2:18" s="63" customFormat="1" ht="14.4" thickBot="1" x14ac:dyDescent="0.4">
      <c r="B23" s="610" t="s">
        <v>198</v>
      </c>
      <c r="C23" s="610"/>
      <c r="D23" s="610"/>
    </row>
    <row r="24" spans="2:18" s="63" customFormat="1" ht="14.4" thickTop="1" x14ac:dyDescent="0.35">
      <c r="B24" s="611" t="s">
        <v>199</v>
      </c>
      <c r="C24" s="612"/>
      <c r="D24" s="402">
        <v>0</v>
      </c>
    </row>
    <row r="25" spans="2:18" s="63" customFormat="1" x14ac:dyDescent="0.35">
      <c r="B25" s="613" t="s">
        <v>200</v>
      </c>
      <c r="C25" s="614"/>
      <c r="D25" s="211">
        <v>0.08</v>
      </c>
    </row>
    <row r="26" spans="2:18" s="63" customFormat="1" x14ac:dyDescent="0.35"/>
    <row r="27" spans="2:18" s="63" customFormat="1" ht="14.4" thickBot="1" x14ac:dyDescent="0.4">
      <c r="B27" s="610" t="s">
        <v>258</v>
      </c>
      <c r="C27" s="610"/>
      <c r="D27" s="610"/>
      <c r="E27" s="610"/>
      <c r="F27" s="610"/>
      <c r="G27" s="610"/>
      <c r="H27" s="610"/>
      <c r="I27" s="610"/>
      <c r="J27" s="610"/>
      <c r="K27" s="610"/>
      <c r="L27" s="610"/>
      <c r="M27" s="610"/>
      <c r="N27" s="610"/>
      <c r="O27" s="610"/>
      <c r="P27" s="610"/>
      <c r="Q27" s="610"/>
      <c r="R27" s="610"/>
    </row>
    <row r="28" spans="2:18" s="63" customFormat="1" ht="28.2" thickTop="1" x14ac:dyDescent="0.35">
      <c r="B28" s="403" t="s">
        <v>33</v>
      </c>
      <c r="C28" s="404" t="s">
        <v>159</v>
      </c>
      <c r="D28" s="405" t="str">
        <f>'2a-PayrollYear1'!F7</f>
        <v>June</v>
      </c>
      <c r="E28" s="405" t="str">
        <f>'2a-PayrollYear1'!G7</f>
        <v>July</v>
      </c>
      <c r="F28" s="405" t="str">
        <f>'2a-PayrollYear1'!H7</f>
        <v>August</v>
      </c>
      <c r="G28" s="405" t="str">
        <f>'2a-PayrollYear1'!I7</f>
        <v>September</v>
      </c>
      <c r="H28" s="405" t="str">
        <f>'2a-PayrollYear1'!J7</f>
        <v>October</v>
      </c>
      <c r="I28" s="405" t="str">
        <f>'2a-PayrollYear1'!K7</f>
        <v>November</v>
      </c>
      <c r="J28" s="405" t="str">
        <f>'2a-PayrollYear1'!L7</f>
        <v>December</v>
      </c>
      <c r="K28" s="405" t="str">
        <f>'2a-PayrollYear1'!M7</f>
        <v>January</v>
      </c>
      <c r="L28" s="405" t="str">
        <f>'2a-PayrollYear1'!N7</f>
        <v>February</v>
      </c>
      <c r="M28" s="405" t="str">
        <f>'2a-PayrollYear1'!O7</f>
        <v>March</v>
      </c>
      <c r="N28" s="405" t="str">
        <f>'2a-PayrollYear1'!P7</f>
        <v>April</v>
      </c>
      <c r="O28" s="405" t="str">
        <f>'2a-PayrollYear1'!Q7</f>
        <v>May</v>
      </c>
      <c r="P28" s="406" t="s">
        <v>208</v>
      </c>
      <c r="Q28" s="405" t="s">
        <v>225</v>
      </c>
      <c r="R28" s="405" t="s">
        <v>226</v>
      </c>
    </row>
    <row r="29" spans="2:18" s="63" customFormat="1" x14ac:dyDescent="0.35">
      <c r="B29" s="213" t="s">
        <v>352</v>
      </c>
      <c r="C29" s="75">
        <v>20</v>
      </c>
      <c r="D29" s="371">
        <f>Buildings</f>
        <v>0</v>
      </c>
      <c r="E29" s="373"/>
      <c r="F29" s="374"/>
      <c r="G29" s="374"/>
      <c r="H29" s="374"/>
      <c r="I29" s="374"/>
      <c r="J29" s="374"/>
      <c r="K29" s="374"/>
      <c r="L29" s="374"/>
      <c r="M29" s="374"/>
      <c r="N29" s="374"/>
      <c r="O29" s="374"/>
      <c r="P29" s="69">
        <f t="shared" ref="P29:P34" si="3">SUM(D29:O29)</f>
        <v>0</v>
      </c>
      <c r="Q29" s="377"/>
      <c r="R29" s="377"/>
    </row>
    <row r="30" spans="2:18" s="63" customFormat="1" x14ac:dyDescent="0.35">
      <c r="B30" s="213" t="s">
        <v>35</v>
      </c>
      <c r="C30" s="75">
        <v>7</v>
      </c>
      <c r="D30" s="371">
        <f>LeaseImprovements</f>
        <v>0</v>
      </c>
      <c r="E30" s="373"/>
      <c r="F30" s="374"/>
      <c r="G30" s="374"/>
      <c r="H30" s="374"/>
      <c r="I30" s="374"/>
      <c r="J30" s="374"/>
      <c r="K30" s="374"/>
      <c r="L30" s="374"/>
      <c r="M30" s="374"/>
      <c r="N30" s="374"/>
      <c r="O30" s="374"/>
      <c r="P30" s="69">
        <f t="shared" si="3"/>
        <v>0</v>
      </c>
      <c r="Q30" s="377"/>
      <c r="R30" s="377"/>
    </row>
    <row r="31" spans="2:18" s="63" customFormat="1" x14ac:dyDescent="0.35">
      <c r="B31" s="213" t="s">
        <v>2</v>
      </c>
      <c r="C31" s="75">
        <v>7</v>
      </c>
      <c r="D31" s="371">
        <f>Equipment</f>
        <v>0</v>
      </c>
      <c r="E31" s="373"/>
      <c r="F31" s="374"/>
      <c r="G31" s="374"/>
      <c r="H31" s="374"/>
      <c r="I31" s="374"/>
      <c r="J31" s="374"/>
      <c r="K31" s="374"/>
      <c r="L31" s="374"/>
      <c r="M31" s="374"/>
      <c r="N31" s="374"/>
      <c r="O31" s="374"/>
      <c r="P31" s="69">
        <f>SUM(D31:O31)</f>
        <v>0</v>
      </c>
      <c r="Q31" s="377"/>
      <c r="R31" s="377"/>
    </row>
    <row r="32" spans="2:18" s="63" customFormat="1" x14ac:dyDescent="0.35">
      <c r="B32" s="213" t="s">
        <v>36</v>
      </c>
      <c r="C32" s="75">
        <v>5</v>
      </c>
      <c r="D32" s="371">
        <f>Furniture</f>
        <v>0</v>
      </c>
      <c r="E32" s="373"/>
      <c r="F32" s="374"/>
      <c r="G32" s="374"/>
      <c r="H32" s="374"/>
      <c r="I32" s="374"/>
      <c r="J32" s="374"/>
      <c r="K32" s="374"/>
      <c r="L32" s="374"/>
      <c r="M32" s="374"/>
      <c r="N32" s="374"/>
      <c r="O32" s="374"/>
      <c r="P32" s="69">
        <f t="shared" si="3"/>
        <v>0</v>
      </c>
      <c r="Q32" s="377"/>
      <c r="R32" s="377"/>
    </row>
    <row r="33" spans="2:18" s="63" customFormat="1" x14ac:dyDescent="0.35">
      <c r="B33" s="213" t="s">
        <v>3</v>
      </c>
      <c r="C33" s="75">
        <v>5</v>
      </c>
      <c r="D33" s="371">
        <f>Vehicles</f>
        <v>0</v>
      </c>
      <c r="E33" s="373"/>
      <c r="F33" s="374"/>
      <c r="G33" s="374"/>
      <c r="H33" s="374"/>
      <c r="I33" s="374"/>
      <c r="J33" s="374"/>
      <c r="K33" s="374"/>
      <c r="L33" s="374"/>
      <c r="M33" s="374"/>
      <c r="N33" s="374"/>
      <c r="O33" s="374"/>
      <c r="P33" s="69">
        <f t="shared" si="3"/>
        <v>0</v>
      </c>
      <c r="Q33" s="377"/>
      <c r="R33" s="377"/>
    </row>
    <row r="34" spans="2:18" s="63" customFormat="1" x14ac:dyDescent="0.35">
      <c r="B34" s="213" t="s">
        <v>37</v>
      </c>
      <c r="C34" s="212">
        <v>5</v>
      </c>
      <c r="D34" s="372">
        <f>OtherFixedAssets</f>
        <v>0</v>
      </c>
      <c r="E34" s="375"/>
      <c r="F34" s="376"/>
      <c r="G34" s="374"/>
      <c r="H34" s="374"/>
      <c r="I34" s="374"/>
      <c r="J34" s="374"/>
      <c r="K34" s="374"/>
      <c r="L34" s="374"/>
      <c r="M34" s="374"/>
      <c r="N34" s="374"/>
      <c r="O34" s="374"/>
      <c r="P34" s="69">
        <f t="shared" si="3"/>
        <v>0</v>
      </c>
      <c r="Q34" s="377">
        <v>0</v>
      </c>
      <c r="R34" s="377">
        <v>0</v>
      </c>
    </row>
    <row r="35" spans="2:18" s="63" customFormat="1" x14ac:dyDescent="0.35">
      <c r="B35" s="209" t="s">
        <v>224</v>
      </c>
      <c r="C35" s="67"/>
      <c r="D35" s="108">
        <f>SUM(D29:D34)</f>
        <v>0</v>
      </c>
      <c r="E35" s="108">
        <f t="shared" ref="E35:R35" si="4">SUM(E29:E34)</f>
        <v>0</v>
      </c>
      <c r="F35" s="108">
        <f t="shared" si="4"/>
        <v>0</v>
      </c>
      <c r="G35" s="108">
        <f t="shared" si="4"/>
        <v>0</v>
      </c>
      <c r="H35" s="108">
        <f t="shared" si="4"/>
        <v>0</v>
      </c>
      <c r="I35" s="108">
        <f t="shared" si="4"/>
        <v>0</v>
      </c>
      <c r="J35" s="108">
        <f t="shared" si="4"/>
        <v>0</v>
      </c>
      <c r="K35" s="108">
        <f t="shared" si="4"/>
        <v>0</v>
      </c>
      <c r="L35" s="108">
        <f t="shared" si="4"/>
        <v>0</v>
      </c>
      <c r="M35" s="108">
        <f t="shared" si="4"/>
        <v>0</v>
      </c>
      <c r="N35" s="108">
        <f t="shared" si="4"/>
        <v>0</v>
      </c>
      <c r="O35" s="108">
        <f t="shared" si="4"/>
        <v>0</v>
      </c>
      <c r="P35" s="108">
        <f t="shared" si="4"/>
        <v>0</v>
      </c>
      <c r="Q35" s="108">
        <f t="shared" si="4"/>
        <v>0</v>
      </c>
      <c r="R35" s="108">
        <f t="shared" si="4"/>
        <v>0</v>
      </c>
    </row>
    <row r="36" spans="2:18" s="63" customFormat="1" x14ac:dyDescent="0.35"/>
    <row r="37" spans="2:18" s="63" customFormat="1" x14ac:dyDescent="0.35"/>
    <row r="38" spans="2:18" s="63" customFormat="1" ht="14.4" thickBot="1" x14ac:dyDescent="0.4">
      <c r="B38" s="610" t="s">
        <v>259</v>
      </c>
      <c r="C38" s="610"/>
      <c r="D38" s="42"/>
      <c r="E38" s="42"/>
      <c r="F38" s="43"/>
      <c r="G38" s="44"/>
      <c r="H38" s="45"/>
    </row>
    <row r="39" spans="2:18" s="63" customFormat="1" ht="14.4" thickTop="1" x14ac:dyDescent="0.35">
      <c r="B39" s="390" t="s">
        <v>355</v>
      </c>
      <c r="C39" s="407">
        <v>0</v>
      </c>
      <c r="D39" s="42"/>
      <c r="E39" s="42"/>
      <c r="F39" s="43"/>
      <c r="G39" s="46"/>
    </row>
    <row r="40" spans="2:18" s="63" customFormat="1" x14ac:dyDescent="0.35">
      <c r="B40" s="390" t="s">
        <v>356</v>
      </c>
      <c r="C40" s="407">
        <v>0</v>
      </c>
      <c r="D40" s="42"/>
      <c r="E40" s="42"/>
      <c r="F40" s="43"/>
      <c r="G40" s="46"/>
    </row>
    <row r="41" spans="2:18" s="63" customFormat="1" x14ac:dyDescent="0.35">
      <c r="B41" s="390" t="s">
        <v>357</v>
      </c>
      <c r="C41" s="407">
        <v>0</v>
      </c>
    </row>
    <row r="42" spans="2:18" s="63" customFormat="1" x14ac:dyDescent="0.35"/>
    <row r="43" spans="2:18" s="63" customFormat="1" ht="14.4" thickBot="1" x14ac:dyDescent="0.4">
      <c r="B43" s="610" t="s">
        <v>262</v>
      </c>
      <c r="C43" s="610"/>
    </row>
    <row r="44" spans="2:18" s="63" customFormat="1" ht="14.4" thickTop="1" x14ac:dyDescent="0.35">
      <c r="B44" s="408" t="s">
        <v>289</v>
      </c>
      <c r="C44" s="409">
        <v>3</v>
      </c>
    </row>
    <row r="45" spans="2:18" s="63" customFormat="1" x14ac:dyDescent="0.35">
      <c r="D45" s="71"/>
      <c r="E45" s="71"/>
    </row>
  </sheetData>
  <sheetProtection formatColumns="0" formatRows="0"/>
  <mergeCells count="8">
    <mergeCell ref="B38:C38"/>
    <mergeCell ref="B43:C43"/>
    <mergeCell ref="B27:R27"/>
    <mergeCell ref="B15:E15"/>
    <mergeCell ref="B7:E7"/>
    <mergeCell ref="B24:C24"/>
    <mergeCell ref="B25:C25"/>
    <mergeCell ref="B23:D23"/>
  </mergeCells>
  <phoneticPr fontId="3" type="noConversion"/>
  <conditionalFormatting sqref="D29:O34 Q29:R34">
    <cfRule type="containsBlanks" dxfId="52" priority="3">
      <formula>LEN(TRIM(D29))=0</formula>
    </cfRule>
  </conditionalFormatting>
  <printOptions horizontalCentered="1"/>
  <pageMargins left="0.7" right="0.7" top="0.75" bottom="0.75" header="0.3" footer="0.3"/>
  <pageSetup scale="58" orientation="landscape" r:id="rId1"/>
  <headerFooter scaleWithDoc="0">
    <oddHeader>&amp;C&amp;"Gill Sans MT,Regular"&amp;12Additional Inputs</oddHeader>
    <oddFooter>&amp;L&amp;"Gill Sans MT,Regular"&amp;12&amp;F&amp;C&amp;"Gill Sans MT,Regular"&amp;12&amp;A&amp;R&amp;"Gill Sans MT,Regular"&amp;12&amp;D &amp;T</oddFooter>
  </headerFooter>
  <ignoredErrors>
    <ignoredError sqref="P29 P30 P32:P34"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C95B"/>
    <pageSetUpPr fitToPage="1"/>
  </sheetPr>
  <dimension ref="A1:R38"/>
  <sheetViews>
    <sheetView topLeftCell="A4" zoomScaleNormal="100" zoomScalePageLayoutView="60" workbookViewId="0">
      <selection activeCell="C10" sqref="C10"/>
    </sheetView>
  </sheetViews>
  <sheetFormatPr defaultColWidth="8.88671875" defaultRowHeight="13.8" x14ac:dyDescent="0.35"/>
  <cols>
    <col min="1" max="1" width="8.88671875" style="63"/>
    <col min="2" max="2" width="46.6640625" style="71" bestFit="1" customWidth="1"/>
    <col min="3" max="13" width="9.6640625" style="71" customWidth="1"/>
    <col min="14" max="14" width="11.33203125" style="71" bestFit="1" customWidth="1"/>
    <col min="15" max="15" width="15.33203125" style="71" bestFit="1" customWidth="1"/>
    <col min="16" max="16" width="8.88671875" style="63"/>
    <col min="17" max="17" width="8.88671875" style="71"/>
    <col min="18" max="18" width="14.88671875" style="71" bestFit="1" customWidth="1"/>
    <col min="19" max="16384" width="8.88671875" style="71"/>
  </cols>
  <sheetData>
    <row r="1" spans="1:15" x14ac:dyDescent="0.35">
      <c r="B1" s="63"/>
      <c r="C1" s="63"/>
      <c r="D1" s="63"/>
      <c r="E1" s="63"/>
      <c r="F1" s="63"/>
      <c r="G1" s="63"/>
      <c r="H1" s="63"/>
      <c r="I1" s="63"/>
      <c r="J1" s="63"/>
      <c r="K1" s="63"/>
      <c r="L1" s="63"/>
      <c r="M1" s="63"/>
      <c r="N1" s="63"/>
      <c r="O1" s="63"/>
    </row>
    <row r="2" spans="1:15" x14ac:dyDescent="0.35">
      <c r="A2" s="173"/>
      <c r="B2" s="79" t="s">
        <v>330</v>
      </c>
      <c r="C2" s="77"/>
      <c r="D2" s="174"/>
      <c r="E2" s="175"/>
      <c r="F2" s="175"/>
      <c r="G2" s="175"/>
      <c r="H2" s="175"/>
      <c r="I2" s="175"/>
      <c r="J2" s="175"/>
      <c r="K2" s="175"/>
      <c r="L2" s="175"/>
      <c r="M2" s="63"/>
      <c r="N2" s="63"/>
      <c r="O2" s="63"/>
    </row>
    <row r="3" spans="1:15" ht="18" customHeight="1" x14ac:dyDescent="0.35">
      <c r="A3" s="173"/>
      <c r="B3" s="77"/>
      <c r="C3" s="77"/>
      <c r="D3" s="174"/>
      <c r="E3" s="175"/>
      <c r="F3" s="175"/>
      <c r="G3" s="175"/>
      <c r="H3" s="175"/>
      <c r="I3" s="175"/>
      <c r="J3" s="175"/>
      <c r="K3" s="175"/>
      <c r="L3" s="175"/>
      <c r="M3" s="63"/>
      <c r="N3" s="63"/>
      <c r="O3" s="63"/>
    </row>
    <row r="4" spans="1:15" x14ac:dyDescent="0.35">
      <c r="A4" s="173"/>
      <c r="B4" s="176" t="s">
        <v>130</v>
      </c>
      <c r="C4" s="615" t="s">
        <v>131</v>
      </c>
      <c r="D4" s="615"/>
      <c r="E4" s="175"/>
      <c r="F4" s="175"/>
      <c r="G4" s="175"/>
      <c r="H4" s="175"/>
      <c r="I4" s="175"/>
      <c r="J4" s="175"/>
      <c r="K4" s="175"/>
      <c r="L4" s="175"/>
      <c r="M4" s="175"/>
      <c r="N4" s="177"/>
      <c r="O4" s="63"/>
    </row>
    <row r="5" spans="1:15" x14ac:dyDescent="0.35">
      <c r="A5" s="173"/>
      <c r="B5" s="65" t="str">
        <f>IF(ISBLANK(Directions!C6), "Owner", Directions!C6)</f>
        <v>Thomas Francis</v>
      </c>
      <c r="C5" s="65" t="str">
        <f>IF(ISBLANK(Directions!D6), "Company 1", Directions!D6)</f>
        <v>Project "Dogen"</v>
      </c>
      <c r="D5" s="65"/>
      <c r="E5" s="127"/>
      <c r="F5" s="126"/>
      <c r="G5" s="63"/>
      <c r="H5" s="63"/>
      <c r="I5" s="63"/>
      <c r="J5" s="63"/>
      <c r="K5" s="63"/>
      <c r="L5" s="63"/>
      <c r="M5" s="63"/>
      <c r="N5" s="177"/>
      <c r="O5" s="63"/>
    </row>
    <row r="6" spans="1:15" x14ac:dyDescent="0.35">
      <c r="A6" s="173"/>
      <c r="B6" s="63"/>
      <c r="C6" s="63"/>
      <c r="D6" s="63"/>
      <c r="E6" s="63"/>
      <c r="F6" s="63"/>
      <c r="G6" s="63"/>
      <c r="H6" s="63"/>
      <c r="I6" s="63"/>
      <c r="J6" s="63"/>
      <c r="K6" s="63"/>
      <c r="L6" s="63"/>
      <c r="M6" s="63"/>
      <c r="N6" s="63"/>
      <c r="O6" s="63"/>
    </row>
    <row r="7" spans="1:15" x14ac:dyDescent="0.35">
      <c r="A7" s="173"/>
      <c r="B7" s="63"/>
      <c r="C7" s="126"/>
      <c r="D7" s="607"/>
      <c r="E7" s="607"/>
      <c r="F7" s="607"/>
      <c r="G7" s="607"/>
      <c r="H7" s="607"/>
      <c r="I7" s="607"/>
      <c r="J7" s="607"/>
      <c r="K7" s="607"/>
      <c r="L7" s="607"/>
      <c r="M7" s="607"/>
      <c r="N7" s="607"/>
      <c r="O7" s="607"/>
    </row>
    <row r="8" spans="1:15" ht="14.4" thickBot="1" x14ac:dyDescent="0.4">
      <c r="A8" s="173"/>
      <c r="B8" s="178"/>
      <c r="C8" s="413" t="str">
        <f>'2a-PayrollYear1'!F7</f>
        <v>June</v>
      </c>
      <c r="D8" s="413" t="str">
        <f>'2a-PayrollYear1'!G7</f>
        <v>July</v>
      </c>
      <c r="E8" s="413" t="str">
        <f>'2a-PayrollYear1'!H7</f>
        <v>August</v>
      </c>
      <c r="F8" s="413" t="str">
        <f>'2a-PayrollYear1'!I7</f>
        <v>September</v>
      </c>
      <c r="G8" s="413" t="str">
        <f>'2a-PayrollYear1'!J7</f>
        <v>October</v>
      </c>
      <c r="H8" s="413" t="str">
        <f>'2a-PayrollYear1'!K7</f>
        <v>November</v>
      </c>
      <c r="I8" s="413" t="str">
        <f>'2a-PayrollYear1'!L7</f>
        <v>December</v>
      </c>
      <c r="J8" s="413" t="str">
        <f>'2a-PayrollYear1'!M7</f>
        <v>January</v>
      </c>
      <c r="K8" s="413" t="str">
        <f>'2a-PayrollYear1'!N7</f>
        <v>February</v>
      </c>
      <c r="L8" s="413" t="str">
        <f>'2a-PayrollYear1'!O7</f>
        <v>March</v>
      </c>
      <c r="M8" s="413" t="str">
        <f>'2a-PayrollYear1'!P7</f>
        <v>April</v>
      </c>
      <c r="N8" s="413" t="str">
        <f>'2a-PayrollYear1'!Q7</f>
        <v>May</v>
      </c>
      <c r="O8" s="413" t="s">
        <v>81</v>
      </c>
    </row>
    <row r="9" spans="1:15" ht="14.4" thickTop="1" x14ac:dyDescent="0.35">
      <c r="A9" s="173"/>
      <c r="B9" s="179" t="s">
        <v>175</v>
      </c>
      <c r="C9" s="180"/>
      <c r="D9" s="180"/>
      <c r="E9" s="180"/>
      <c r="F9" s="180"/>
      <c r="G9" s="180"/>
      <c r="H9" s="180"/>
      <c r="I9" s="180"/>
      <c r="J9" s="180"/>
      <c r="K9" s="180"/>
      <c r="L9" s="180"/>
      <c r="M9" s="180"/>
      <c r="N9" s="180"/>
      <c r="O9" s="181"/>
    </row>
    <row r="10" spans="1:15" x14ac:dyDescent="0.35">
      <c r="A10" s="173"/>
      <c r="B10" s="182" t="s">
        <v>14</v>
      </c>
      <c r="C10" s="183"/>
      <c r="D10" s="183"/>
      <c r="E10" s="183"/>
      <c r="F10" s="183"/>
      <c r="G10" s="183"/>
      <c r="H10" s="183"/>
      <c r="I10" s="183"/>
      <c r="J10" s="183"/>
      <c r="K10" s="183"/>
      <c r="L10" s="183"/>
      <c r="M10" s="183"/>
      <c r="N10" s="183"/>
      <c r="O10" s="82">
        <f t="shared" ref="O10:O25" si="0">SUM(C10:N10)</f>
        <v>0</v>
      </c>
    </row>
    <row r="11" spans="1:15" x14ac:dyDescent="0.35">
      <c r="A11" s="173"/>
      <c r="B11" s="182" t="s">
        <v>149</v>
      </c>
      <c r="C11" s="183"/>
      <c r="D11" s="183"/>
      <c r="E11" s="183"/>
      <c r="F11" s="183"/>
      <c r="G11" s="183"/>
      <c r="H11" s="183"/>
      <c r="I11" s="183"/>
      <c r="J11" s="183"/>
      <c r="K11" s="183"/>
      <c r="L11" s="183"/>
      <c r="M11" s="183"/>
      <c r="N11" s="183"/>
      <c r="O11" s="82">
        <f t="shared" si="0"/>
        <v>0</v>
      </c>
    </row>
    <row r="12" spans="1:15" x14ac:dyDescent="0.35">
      <c r="A12" s="173"/>
      <c r="B12" s="182" t="s">
        <v>150</v>
      </c>
      <c r="C12" s="183"/>
      <c r="D12" s="183"/>
      <c r="E12" s="183"/>
      <c r="F12" s="183"/>
      <c r="G12" s="183"/>
      <c r="H12" s="183"/>
      <c r="I12" s="183"/>
      <c r="J12" s="183"/>
      <c r="K12" s="183"/>
      <c r="L12" s="183"/>
      <c r="M12" s="183"/>
      <c r="N12" s="183"/>
      <c r="O12" s="82">
        <f t="shared" si="0"/>
        <v>0</v>
      </c>
    </row>
    <row r="13" spans="1:15" x14ac:dyDescent="0.35">
      <c r="A13" s="173"/>
      <c r="B13" s="182" t="s">
        <v>173</v>
      </c>
      <c r="C13" s="183"/>
      <c r="D13" s="183"/>
      <c r="E13" s="183"/>
      <c r="F13" s="183"/>
      <c r="G13" s="183"/>
      <c r="H13" s="183"/>
      <c r="I13" s="183"/>
      <c r="J13" s="183"/>
      <c r="K13" s="183"/>
      <c r="L13" s="183"/>
      <c r="M13" s="183"/>
      <c r="N13" s="183"/>
      <c r="O13" s="82">
        <f t="shared" si="0"/>
        <v>0</v>
      </c>
    </row>
    <row r="14" spans="1:15" x14ac:dyDescent="0.35">
      <c r="A14" s="173"/>
      <c r="B14" s="182" t="s">
        <v>152</v>
      </c>
      <c r="C14" s="183"/>
      <c r="D14" s="183"/>
      <c r="E14" s="183"/>
      <c r="F14" s="183"/>
      <c r="G14" s="183"/>
      <c r="H14" s="183"/>
      <c r="I14" s="183"/>
      <c r="J14" s="183"/>
      <c r="K14" s="183"/>
      <c r="L14" s="183"/>
      <c r="M14" s="183"/>
      <c r="N14" s="183"/>
      <c r="O14" s="82">
        <f t="shared" si="0"/>
        <v>0</v>
      </c>
    </row>
    <row r="15" spans="1:15" x14ac:dyDescent="0.35">
      <c r="A15" s="173"/>
      <c r="B15" s="182" t="s">
        <v>153</v>
      </c>
      <c r="C15" s="183"/>
      <c r="D15" s="183"/>
      <c r="E15" s="183"/>
      <c r="F15" s="183"/>
      <c r="G15" s="183"/>
      <c r="H15" s="183"/>
      <c r="I15" s="183"/>
      <c r="J15" s="183"/>
      <c r="K15" s="183"/>
      <c r="L15" s="183"/>
      <c r="M15" s="183"/>
      <c r="N15" s="183"/>
      <c r="O15" s="82">
        <f t="shared" si="0"/>
        <v>0</v>
      </c>
    </row>
    <row r="16" spans="1:15" x14ac:dyDescent="0.35">
      <c r="A16" s="173"/>
      <c r="B16" s="182" t="s">
        <v>6</v>
      </c>
      <c r="C16" s="183"/>
      <c r="D16" s="183"/>
      <c r="E16" s="183"/>
      <c r="F16" s="183"/>
      <c r="G16" s="183"/>
      <c r="H16" s="183"/>
      <c r="I16" s="183"/>
      <c r="J16" s="183"/>
      <c r="K16" s="183"/>
      <c r="L16" s="183"/>
      <c r="M16" s="183"/>
      <c r="N16" s="183"/>
      <c r="O16" s="82">
        <f t="shared" si="0"/>
        <v>0</v>
      </c>
    </row>
    <row r="17" spans="1:15" x14ac:dyDescent="0.35">
      <c r="A17" s="173"/>
      <c r="B17" s="182" t="s">
        <v>154</v>
      </c>
      <c r="C17" s="183"/>
      <c r="D17" s="183"/>
      <c r="E17" s="183"/>
      <c r="F17" s="183"/>
      <c r="G17" s="183"/>
      <c r="H17" s="183"/>
      <c r="I17" s="183"/>
      <c r="J17" s="183"/>
      <c r="K17" s="183"/>
      <c r="L17" s="183"/>
      <c r="M17" s="183"/>
      <c r="N17" s="183"/>
      <c r="O17" s="82">
        <f t="shared" si="0"/>
        <v>0</v>
      </c>
    </row>
    <row r="18" spans="1:15" x14ac:dyDescent="0.35">
      <c r="A18" s="173"/>
      <c r="B18" s="182" t="s">
        <v>155</v>
      </c>
      <c r="C18" s="183"/>
      <c r="D18" s="183"/>
      <c r="E18" s="183"/>
      <c r="F18" s="183"/>
      <c r="G18" s="183"/>
      <c r="H18" s="183"/>
      <c r="I18" s="183"/>
      <c r="J18" s="183"/>
      <c r="K18" s="183"/>
      <c r="L18" s="183"/>
      <c r="M18" s="183"/>
      <c r="N18" s="183"/>
      <c r="O18" s="82">
        <f t="shared" si="0"/>
        <v>0</v>
      </c>
    </row>
    <row r="19" spans="1:15" x14ac:dyDescent="0.35">
      <c r="A19" s="173"/>
      <c r="B19" s="182" t="s">
        <v>156</v>
      </c>
      <c r="C19" s="183"/>
      <c r="D19" s="183"/>
      <c r="E19" s="183"/>
      <c r="F19" s="183"/>
      <c r="G19" s="183"/>
      <c r="H19" s="183"/>
      <c r="I19" s="183"/>
      <c r="J19" s="183"/>
      <c r="K19" s="183"/>
      <c r="L19" s="183"/>
      <c r="M19" s="183"/>
      <c r="N19" s="183"/>
      <c r="O19" s="82">
        <f t="shared" si="0"/>
        <v>0</v>
      </c>
    </row>
    <row r="20" spans="1:15" x14ac:dyDescent="0.35">
      <c r="A20" s="173"/>
      <c r="B20" s="182" t="s">
        <v>157</v>
      </c>
      <c r="C20" s="183"/>
      <c r="D20" s="183"/>
      <c r="E20" s="183"/>
      <c r="F20" s="183"/>
      <c r="G20" s="183"/>
      <c r="H20" s="183"/>
      <c r="I20" s="183"/>
      <c r="J20" s="183"/>
      <c r="K20" s="183"/>
      <c r="L20" s="183"/>
      <c r="M20" s="183"/>
      <c r="N20" s="183"/>
      <c r="O20" s="82">
        <f t="shared" si="0"/>
        <v>0</v>
      </c>
    </row>
    <row r="21" spans="1:15" x14ac:dyDescent="0.35">
      <c r="A21" s="173"/>
      <c r="B21" s="182" t="s">
        <v>5</v>
      </c>
      <c r="C21" s="183"/>
      <c r="D21" s="183"/>
      <c r="E21" s="183"/>
      <c r="F21" s="183"/>
      <c r="G21" s="183"/>
      <c r="H21" s="183"/>
      <c r="I21" s="183"/>
      <c r="J21" s="183"/>
      <c r="K21" s="183"/>
      <c r="L21" s="183"/>
      <c r="M21" s="183"/>
      <c r="N21" s="183"/>
      <c r="O21" s="82">
        <f t="shared" si="0"/>
        <v>0</v>
      </c>
    </row>
    <row r="22" spans="1:15" x14ac:dyDescent="0.35">
      <c r="A22" s="173"/>
      <c r="B22" s="182" t="s">
        <v>158</v>
      </c>
      <c r="C22" s="183"/>
      <c r="D22" s="183"/>
      <c r="E22" s="183"/>
      <c r="F22" s="183"/>
      <c r="G22" s="183"/>
      <c r="H22" s="183"/>
      <c r="I22" s="183"/>
      <c r="J22" s="183"/>
      <c r="K22" s="183"/>
      <c r="L22" s="183"/>
      <c r="M22" s="183"/>
      <c r="N22" s="183"/>
      <c r="O22" s="82">
        <f t="shared" si="0"/>
        <v>0</v>
      </c>
    </row>
    <row r="23" spans="1:15" x14ac:dyDescent="0.35">
      <c r="A23" s="173"/>
      <c r="B23" s="182" t="s">
        <v>15</v>
      </c>
      <c r="C23" s="183"/>
      <c r="D23" s="183"/>
      <c r="E23" s="183"/>
      <c r="F23" s="183"/>
      <c r="G23" s="183"/>
      <c r="H23" s="183"/>
      <c r="I23" s="183"/>
      <c r="J23" s="183"/>
      <c r="K23" s="183"/>
      <c r="L23" s="183"/>
      <c r="M23" s="183"/>
      <c r="N23" s="183"/>
      <c r="O23" s="82">
        <f t="shared" si="0"/>
        <v>0</v>
      </c>
    </row>
    <row r="24" spans="1:15" x14ac:dyDescent="0.35">
      <c r="A24" s="173"/>
      <c r="B24" s="182" t="s">
        <v>223</v>
      </c>
      <c r="C24" s="183"/>
      <c r="D24" s="183"/>
      <c r="E24" s="183"/>
      <c r="F24" s="183"/>
      <c r="G24" s="183"/>
      <c r="H24" s="183"/>
      <c r="I24" s="183"/>
      <c r="J24" s="183"/>
      <c r="K24" s="183"/>
      <c r="L24" s="183"/>
      <c r="M24" s="183"/>
      <c r="N24" s="183"/>
      <c r="O24" s="82">
        <f t="shared" si="0"/>
        <v>0</v>
      </c>
    </row>
    <row r="25" spans="1:15" x14ac:dyDescent="0.35">
      <c r="A25" s="173"/>
      <c r="B25" s="47" t="s">
        <v>17</v>
      </c>
      <c r="C25" s="245">
        <f t="shared" ref="C25:N25" si="1">SUM(C10:C24)</f>
        <v>0</v>
      </c>
      <c r="D25" s="245">
        <f t="shared" si="1"/>
        <v>0</v>
      </c>
      <c r="E25" s="245">
        <f t="shared" si="1"/>
        <v>0</v>
      </c>
      <c r="F25" s="245">
        <f t="shared" si="1"/>
        <v>0</v>
      </c>
      <c r="G25" s="245">
        <f t="shared" si="1"/>
        <v>0</v>
      </c>
      <c r="H25" s="245">
        <f t="shared" si="1"/>
        <v>0</v>
      </c>
      <c r="I25" s="245">
        <f t="shared" si="1"/>
        <v>0</v>
      </c>
      <c r="J25" s="245">
        <f t="shared" si="1"/>
        <v>0</v>
      </c>
      <c r="K25" s="245">
        <f t="shared" si="1"/>
        <v>0</v>
      </c>
      <c r="L25" s="245">
        <f t="shared" si="1"/>
        <v>0</v>
      </c>
      <c r="M25" s="245">
        <f t="shared" si="1"/>
        <v>0</v>
      </c>
      <c r="N25" s="245">
        <f t="shared" si="1"/>
        <v>0</v>
      </c>
      <c r="O25" s="82">
        <f t="shared" si="0"/>
        <v>0</v>
      </c>
    </row>
    <row r="26" spans="1:15" x14ac:dyDescent="0.35">
      <c r="A26" s="173"/>
      <c r="B26" s="47"/>
      <c r="C26" s="184"/>
      <c r="D26" s="184"/>
      <c r="E26" s="184"/>
      <c r="F26" s="184"/>
      <c r="G26" s="184"/>
      <c r="H26" s="184"/>
      <c r="I26" s="184"/>
      <c r="J26" s="184"/>
      <c r="K26" s="184"/>
      <c r="L26" s="184"/>
      <c r="M26" s="184"/>
      <c r="N26" s="184"/>
      <c r="O26" s="48"/>
    </row>
    <row r="27" spans="1:15" x14ac:dyDescent="0.35">
      <c r="A27" s="173"/>
      <c r="B27" s="185" t="s">
        <v>144</v>
      </c>
      <c r="C27" s="72"/>
      <c r="D27" s="72"/>
      <c r="E27" s="72"/>
      <c r="F27" s="72"/>
      <c r="G27" s="72"/>
      <c r="H27" s="72"/>
      <c r="I27" s="72"/>
      <c r="J27" s="72"/>
      <c r="K27" s="72"/>
      <c r="L27" s="72"/>
      <c r="M27" s="72"/>
      <c r="N27" s="72"/>
      <c r="O27" s="9"/>
    </row>
    <row r="28" spans="1:15" x14ac:dyDescent="0.35">
      <c r="B28" s="186" t="s">
        <v>151</v>
      </c>
      <c r="C28" s="198">
        <f>'Amortization&amp;Depreciation'!C119</f>
        <v>0</v>
      </c>
      <c r="D28" s="198">
        <f>'Amortization&amp;Depreciation'!D119</f>
        <v>0</v>
      </c>
      <c r="E28" s="198">
        <f>'Amortization&amp;Depreciation'!E119</f>
        <v>0</v>
      </c>
      <c r="F28" s="198">
        <f>'Amortization&amp;Depreciation'!F119</f>
        <v>0</v>
      </c>
      <c r="G28" s="198">
        <f>'Amortization&amp;Depreciation'!G119</f>
        <v>0</v>
      </c>
      <c r="H28" s="198">
        <f>'Amortization&amp;Depreciation'!H119</f>
        <v>0</v>
      </c>
      <c r="I28" s="198">
        <f>'Amortization&amp;Depreciation'!I119</f>
        <v>0</v>
      </c>
      <c r="J28" s="198">
        <f>'Amortization&amp;Depreciation'!J119</f>
        <v>0</v>
      </c>
      <c r="K28" s="198">
        <f>'Amortization&amp;Depreciation'!K119</f>
        <v>0</v>
      </c>
      <c r="L28" s="198">
        <f>'Amortization&amp;Depreciation'!L119</f>
        <v>0</v>
      </c>
      <c r="M28" s="198">
        <f>'Amortization&amp;Depreciation'!M119</f>
        <v>0</v>
      </c>
      <c r="N28" s="198">
        <f>'Amortization&amp;Depreciation'!N119</f>
        <v>0</v>
      </c>
      <c r="O28" s="82">
        <f>SUM(C28:N28)</f>
        <v>0</v>
      </c>
    </row>
    <row r="29" spans="1:15" x14ac:dyDescent="0.35">
      <c r="B29" s="186" t="s">
        <v>58</v>
      </c>
      <c r="C29" s="70"/>
      <c r="D29" s="70"/>
      <c r="E29" s="70"/>
      <c r="F29" s="70"/>
      <c r="G29" s="70"/>
      <c r="H29" s="70"/>
      <c r="I29" s="70"/>
      <c r="J29" s="70"/>
      <c r="K29" s="70"/>
      <c r="L29" s="70"/>
      <c r="M29" s="70"/>
      <c r="N29" s="70"/>
      <c r="O29" s="9"/>
    </row>
    <row r="30" spans="1:15" x14ac:dyDescent="0.35">
      <c r="B30" s="187" t="str">
        <f>'1-StartingPoint'!B37</f>
        <v>Commercial Loan</v>
      </c>
      <c r="C30" s="198">
        <f>'Amortization&amp;Depreciation'!C15</f>
        <v>0</v>
      </c>
      <c r="D30" s="198">
        <f>'Amortization&amp;Depreciation'!D15</f>
        <v>0</v>
      </c>
      <c r="E30" s="198">
        <f>'Amortization&amp;Depreciation'!E15</f>
        <v>0</v>
      </c>
      <c r="F30" s="198">
        <f>'Amortization&amp;Depreciation'!F15</f>
        <v>0</v>
      </c>
      <c r="G30" s="198">
        <f>'Amortization&amp;Depreciation'!G15</f>
        <v>0</v>
      </c>
      <c r="H30" s="198">
        <f>'Amortization&amp;Depreciation'!H15</f>
        <v>0</v>
      </c>
      <c r="I30" s="198">
        <f>'Amortization&amp;Depreciation'!I15</f>
        <v>0</v>
      </c>
      <c r="J30" s="198">
        <f>'Amortization&amp;Depreciation'!J15</f>
        <v>0</v>
      </c>
      <c r="K30" s="198">
        <f>'Amortization&amp;Depreciation'!K15</f>
        <v>0</v>
      </c>
      <c r="L30" s="198">
        <f>'Amortization&amp;Depreciation'!L15</f>
        <v>0</v>
      </c>
      <c r="M30" s="198">
        <f>'Amortization&amp;Depreciation'!M15</f>
        <v>0</v>
      </c>
      <c r="N30" s="198">
        <f>'Amortization&amp;Depreciation'!N15</f>
        <v>0</v>
      </c>
      <c r="O30" s="82">
        <f t="shared" ref="O30:O38" si="2">SUM(C30:N30)</f>
        <v>0</v>
      </c>
    </row>
    <row r="31" spans="1:15" x14ac:dyDescent="0.35">
      <c r="B31" s="187" t="str">
        <f>'1-StartingPoint'!B38</f>
        <v>Commercial Mortgage</v>
      </c>
      <c r="C31" s="198">
        <f>'Amortization&amp;Depreciation'!C35</f>
        <v>0</v>
      </c>
      <c r="D31" s="198">
        <f>'Amortization&amp;Depreciation'!D35</f>
        <v>0</v>
      </c>
      <c r="E31" s="198">
        <f>'Amortization&amp;Depreciation'!E35</f>
        <v>0</v>
      </c>
      <c r="F31" s="198">
        <f>'Amortization&amp;Depreciation'!F35</f>
        <v>0</v>
      </c>
      <c r="G31" s="198">
        <f>'Amortization&amp;Depreciation'!G35</f>
        <v>0</v>
      </c>
      <c r="H31" s="198">
        <f>'Amortization&amp;Depreciation'!H35</f>
        <v>0</v>
      </c>
      <c r="I31" s="198">
        <f>'Amortization&amp;Depreciation'!I35</f>
        <v>0</v>
      </c>
      <c r="J31" s="198">
        <f>'Amortization&amp;Depreciation'!J35</f>
        <v>0</v>
      </c>
      <c r="K31" s="198">
        <f>'Amortization&amp;Depreciation'!K35</f>
        <v>0</v>
      </c>
      <c r="L31" s="198">
        <f>'Amortization&amp;Depreciation'!L35</f>
        <v>0</v>
      </c>
      <c r="M31" s="198">
        <f>'Amortization&amp;Depreciation'!M35</f>
        <v>0</v>
      </c>
      <c r="N31" s="198">
        <f>'Amortization&amp;Depreciation'!N35</f>
        <v>0</v>
      </c>
      <c r="O31" s="82">
        <f t="shared" si="2"/>
        <v>0</v>
      </c>
    </row>
    <row r="32" spans="1:15" x14ac:dyDescent="0.35">
      <c r="B32" s="187" t="str">
        <f>'1-StartingPoint'!B39</f>
        <v>Credit Card Debt</v>
      </c>
      <c r="C32" s="198">
        <f>'Amortization&amp;Depreciation'!C55</f>
        <v>0</v>
      </c>
      <c r="D32" s="198">
        <f>'Amortization&amp;Depreciation'!D55</f>
        <v>0</v>
      </c>
      <c r="E32" s="198">
        <f>'Amortization&amp;Depreciation'!E55</f>
        <v>0</v>
      </c>
      <c r="F32" s="198">
        <f>'Amortization&amp;Depreciation'!F55</f>
        <v>0</v>
      </c>
      <c r="G32" s="198">
        <f>'Amortization&amp;Depreciation'!G55</f>
        <v>0</v>
      </c>
      <c r="H32" s="198">
        <f>'Amortization&amp;Depreciation'!H55</f>
        <v>0</v>
      </c>
      <c r="I32" s="198">
        <f>'Amortization&amp;Depreciation'!I55</f>
        <v>0</v>
      </c>
      <c r="J32" s="198">
        <f>'Amortization&amp;Depreciation'!J55</f>
        <v>0</v>
      </c>
      <c r="K32" s="198">
        <f>'Amortization&amp;Depreciation'!K55</f>
        <v>0</v>
      </c>
      <c r="L32" s="198">
        <f>'Amortization&amp;Depreciation'!L55</f>
        <v>0</v>
      </c>
      <c r="M32" s="198">
        <f>'Amortization&amp;Depreciation'!M55</f>
        <v>0</v>
      </c>
      <c r="N32" s="198">
        <f>'Amortization&amp;Depreciation'!N55</f>
        <v>0</v>
      </c>
      <c r="O32" s="82">
        <f t="shared" si="2"/>
        <v>0</v>
      </c>
    </row>
    <row r="33" spans="2:18" x14ac:dyDescent="0.35">
      <c r="B33" s="187" t="str">
        <f>'1-StartingPoint'!B40</f>
        <v>Vehicle Loans</v>
      </c>
      <c r="C33" s="198">
        <f>'Amortization&amp;Depreciation'!C75</f>
        <v>0</v>
      </c>
      <c r="D33" s="198">
        <f>'Amortization&amp;Depreciation'!D75</f>
        <v>0</v>
      </c>
      <c r="E33" s="198">
        <f>'Amortization&amp;Depreciation'!E75</f>
        <v>0</v>
      </c>
      <c r="F33" s="198">
        <f>'Amortization&amp;Depreciation'!F75</f>
        <v>0</v>
      </c>
      <c r="G33" s="198">
        <f>'Amortization&amp;Depreciation'!G75</f>
        <v>0</v>
      </c>
      <c r="H33" s="198">
        <f>'Amortization&amp;Depreciation'!H75</f>
        <v>0</v>
      </c>
      <c r="I33" s="198">
        <f>'Amortization&amp;Depreciation'!I75</f>
        <v>0</v>
      </c>
      <c r="J33" s="198">
        <f>'Amortization&amp;Depreciation'!J75</f>
        <v>0</v>
      </c>
      <c r="K33" s="198">
        <f>'Amortization&amp;Depreciation'!K75</f>
        <v>0</v>
      </c>
      <c r="L33" s="198">
        <f>'Amortization&amp;Depreciation'!L75</f>
        <v>0</v>
      </c>
      <c r="M33" s="198">
        <f>'Amortization&amp;Depreciation'!M75</f>
        <v>0</v>
      </c>
      <c r="N33" s="198">
        <f>'Amortization&amp;Depreciation'!N75</f>
        <v>0</v>
      </c>
      <c r="O33" s="82">
        <f t="shared" si="2"/>
        <v>0</v>
      </c>
    </row>
    <row r="34" spans="2:18" x14ac:dyDescent="0.35">
      <c r="B34" s="187" t="str">
        <f>'1-StartingPoint'!B41</f>
        <v>Other Bank Debt</v>
      </c>
      <c r="C34" s="198">
        <f>'Amortization&amp;Depreciation'!C95</f>
        <v>0</v>
      </c>
      <c r="D34" s="198">
        <f>'Amortization&amp;Depreciation'!D95</f>
        <v>0</v>
      </c>
      <c r="E34" s="198">
        <f>'Amortization&amp;Depreciation'!E95</f>
        <v>0</v>
      </c>
      <c r="F34" s="198">
        <f>'Amortization&amp;Depreciation'!F95</f>
        <v>0</v>
      </c>
      <c r="G34" s="198">
        <f>'Amortization&amp;Depreciation'!G95</f>
        <v>0</v>
      </c>
      <c r="H34" s="198">
        <f>'Amortization&amp;Depreciation'!H95</f>
        <v>0</v>
      </c>
      <c r="I34" s="198">
        <f>'Amortization&amp;Depreciation'!I95</f>
        <v>0</v>
      </c>
      <c r="J34" s="198">
        <f>'Amortization&amp;Depreciation'!J95</f>
        <v>0</v>
      </c>
      <c r="K34" s="198">
        <f>'Amortization&amp;Depreciation'!K95</f>
        <v>0</v>
      </c>
      <c r="L34" s="198">
        <f>'Amortization&amp;Depreciation'!L95</f>
        <v>0</v>
      </c>
      <c r="M34" s="198">
        <f>'Amortization&amp;Depreciation'!M95</f>
        <v>0</v>
      </c>
      <c r="N34" s="198">
        <f>'Amortization&amp;Depreciation'!N95</f>
        <v>0</v>
      </c>
      <c r="O34" s="82">
        <f t="shared" si="2"/>
        <v>0</v>
      </c>
    </row>
    <row r="35" spans="2:18" x14ac:dyDescent="0.35">
      <c r="B35" s="187" t="s">
        <v>260</v>
      </c>
      <c r="C35" s="198">
        <f>'6a-CashFlowYear1'!C26</f>
        <v>0</v>
      </c>
      <c r="D35" s="198">
        <f>'6a-CashFlowYear1'!D26</f>
        <v>0</v>
      </c>
      <c r="E35" s="198">
        <f>'6a-CashFlowYear1'!E26</f>
        <v>0</v>
      </c>
      <c r="F35" s="198">
        <f>'6a-CashFlowYear1'!F26</f>
        <v>0</v>
      </c>
      <c r="G35" s="198">
        <f>'6a-CashFlowYear1'!G26</f>
        <v>0</v>
      </c>
      <c r="H35" s="198">
        <f>'6a-CashFlowYear1'!H26</f>
        <v>0</v>
      </c>
      <c r="I35" s="198">
        <f>'6a-CashFlowYear1'!I26</f>
        <v>0</v>
      </c>
      <c r="J35" s="198">
        <f>'6a-CashFlowYear1'!J26</f>
        <v>0</v>
      </c>
      <c r="K35" s="198">
        <f>'6a-CashFlowYear1'!K26</f>
        <v>0</v>
      </c>
      <c r="L35" s="198">
        <f>'6a-CashFlowYear1'!L26</f>
        <v>0</v>
      </c>
      <c r="M35" s="198">
        <f>'6a-CashFlowYear1'!M26</f>
        <v>0</v>
      </c>
      <c r="N35" s="198">
        <f>'6a-CashFlowYear1'!N26</f>
        <v>0</v>
      </c>
      <c r="O35" s="82">
        <f t="shared" si="2"/>
        <v>0</v>
      </c>
    </row>
    <row r="36" spans="2:18" x14ac:dyDescent="0.35">
      <c r="B36" s="186" t="s">
        <v>284</v>
      </c>
      <c r="C36" s="198">
        <f>+'7a-IncomeStatementYear1'!C56</f>
        <v>0</v>
      </c>
      <c r="D36" s="198">
        <f>+'7a-IncomeStatementYear1'!D56</f>
        <v>0</v>
      </c>
      <c r="E36" s="198">
        <f>+'7a-IncomeStatementYear1'!E56</f>
        <v>0</v>
      </c>
      <c r="F36" s="198">
        <f>+'7a-IncomeStatementYear1'!F56</f>
        <v>0</v>
      </c>
      <c r="G36" s="198">
        <f>+'7a-IncomeStatementYear1'!G56</f>
        <v>0</v>
      </c>
      <c r="H36" s="198">
        <f>+'7a-IncomeStatementYear1'!H56</f>
        <v>0</v>
      </c>
      <c r="I36" s="198">
        <f>+'7a-IncomeStatementYear1'!I56</f>
        <v>0</v>
      </c>
      <c r="J36" s="198">
        <f>+'7a-IncomeStatementYear1'!J56</f>
        <v>0</v>
      </c>
      <c r="K36" s="198">
        <f>+'7a-IncomeStatementYear1'!K56</f>
        <v>0</v>
      </c>
      <c r="L36" s="198">
        <f>+'7a-IncomeStatementYear1'!L56</f>
        <v>0</v>
      </c>
      <c r="M36" s="198">
        <f>+'7a-IncomeStatementYear1'!M56</f>
        <v>0</v>
      </c>
      <c r="N36" s="198">
        <f>+'7a-IncomeStatementYear1'!N56</f>
        <v>0</v>
      </c>
      <c r="O36" s="82">
        <f t="shared" si="2"/>
        <v>0</v>
      </c>
    </row>
    <row r="37" spans="2:18" x14ac:dyDescent="0.35">
      <c r="B37" s="188" t="s">
        <v>160</v>
      </c>
      <c r="C37" s="365">
        <f>SUM(C28:C36)</f>
        <v>0</v>
      </c>
      <c r="D37" s="365">
        <f>SUM(D28:D36)</f>
        <v>0</v>
      </c>
      <c r="E37" s="365">
        <f t="shared" ref="E37:N37" si="3">SUM(E28:E36)</f>
        <v>0</v>
      </c>
      <c r="F37" s="365">
        <f t="shared" si="3"/>
        <v>0</v>
      </c>
      <c r="G37" s="365">
        <f t="shared" si="3"/>
        <v>0</v>
      </c>
      <c r="H37" s="365">
        <f t="shared" si="3"/>
        <v>0</v>
      </c>
      <c r="I37" s="365">
        <f t="shared" si="3"/>
        <v>0</v>
      </c>
      <c r="J37" s="365">
        <f t="shared" si="3"/>
        <v>0</v>
      </c>
      <c r="K37" s="365">
        <f t="shared" si="3"/>
        <v>0</v>
      </c>
      <c r="L37" s="365">
        <f t="shared" si="3"/>
        <v>0</v>
      </c>
      <c r="M37" s="365">
        <f t="shared" si="3"/>
        <v>0</v>
      </c>
      <c r="N37" s="365">
        <f t="shared" si="3"/>
        <v>0</v>
      </c>
      <c r="O37" s="82">
        <f t="shared" si="2"/>
        <v>0</v>
      </c>
    </row>
    <row r="38" spans="2:18" x14ac:dyDescent="0.35">
      <c r="B38" s="9" t="s">
        <v>161</v>
      </c>
      <c r="C38" s="48">
        <f>C25+C37</f>
        <v>0</v>
      </c>
      <c r="D38" s="48">
        <f t="shared" ref="D38:N38" si="4">D25+D37</f>
        <v>0</v>
      </c>
      <c r="E38" s="48">
        <f t="shared" si="4"/>
        <v>0</v>
      </c>
      <c r="F38" s="48">
        <f t="shared" si="4"/>
        <v>0</v>
      </c>
      <c r="G38" s="48">
        <f t="shared" si="4"/>
        <v>0</v>
      </c>
      <c r="H38" s="48">
        <f t="shared" si="4"/>
        <v>0</v>
      </c>
      <c r="I38" s="48">
        <f t="shared" si="4"/>
        <v>0</v>
      </c>
      <c r="J38" s="48">
        <f t="shared" si="4"/>
        <v>0</v>
      </c>
      <c r="K38" s="48">
        <f t="shared" si="4"/>
        <v>0</v>
      </c>
      <c r="L38" s="48">
        <f t="shared" si="4"/>
        <v>0</v>
      </c>
      <c r="M38" s="48">
        <f t="shared" si="4"/>
        <v>0</v>
      </c>
      <c r="N38" s="48">
        <f t="shared" si="4"/>
        <v>0</v>
      </c>
      <c r="O38" s="48">
        <f t="shared" si="2"/>
        <v>0</v>
      </c>
      <c r="R38" s="189"/>
    </row>
  </sheetData>
  <sheetProtection password="CC3D" sheet="1" objects="1" scenarios="1" formatColumns="0" formatRows="0"/>
  <mergeCells count="2">
    <mergeCell ref="D7:O7"/>
    <mergeCell ref="C4:D4"/>
  </mergeCells>
  <phoneticPr fontId="3" type="noConversion"/>
  <conditionalFormatting sqref="C10:N24">
    <cfRule type="containsBlanks" dxfId="51" priority="2">
      <formula>LEN(TRIM(C10))=0</formula>
    </cfRule>
  </conditionalFormatting>
  <pageMargins left="0.25" right="0.25" top="0.75" bottom="0.75" header="0.3" footer="0.3"/>
  <pageSetup scale="74" orientation="landscape" r:id="rId1"/>
  <headerFooter scaleWithDoc="0">
    <oddHeader>&amp;C&amp;"Gill Sans MT,Regular"&amp;12Operating Expenses Year 1</oddHeader>
    <oddFooter>&amp;L&amp;"Gill Sans MT,Regular"&amp;12&amp;F&amp;C&amp;"Gill Sans MT,Regular"&amp;12&amp;A&amp;R&amp;"Gill Sans MT,Regular"&amp;12&amp;D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C95B"/>
    <pageSetUpPr autoPageBreaks="0"/>
  </sheetPr>
  <dimension ref="A1:M36"/>
  <sheetViews>
    <sheetView zoomScaleNormal="100" zoomScalePageLayoutView="70" workbookViewId="0">
      <selection activeCell="D8" sqref="D8"/>
    </sheetView>
  </sheetViews>
  <sheetFormatPr defaultColWidth="8.88671875" defaultRowHeight="13.8" x14ac:dyDescent="0.35"/>
  <cols>
    <col min="1" max="1" width="6.88671875" style="63" customWidth="1"/>
    <col min="2" max="2" width="46.6640625" style="71" bestFit="1" customWidth="1"/>
    <col min="3" max="3" width="15.6640625" style="71" customWidth="1"/>
    <col min="4" max="4" width="19" style="71" bestFit="1" customWidth="1"/>
    <col min="5" max="5" width="15.6640625" style="71" customWidth="1"/>
    <col min="6" max="6" width="19.33203125" style="71" bestFit="1" customWidth="1"/>
    <col min="7" max="7" width="15.6640625" style="71" customWidth="1"/>
    <col min="8" max="8" width="5.33203125" style="71" bestFit="1" customWidth="1"/>
    <col min="9" max="16384" width="8.88671875" style="71"/>
  </cols>
  <sheetData>
    <row r="1" spans="2:13" s="63" customFormat="1" x14ac:dyDescent="0.35"/>
    <row r="2" spans="2:13" ht="17.25" customHeight="1" x14ac:dyDescent="0.35">
      <c r="B2" s="608" t="s">
        <v>331</v>
      </c>
      <c r="C2" s="608"/>
      <c r="D2" s="63"/>
      <c r="E2" s="63"/>
      <c r="F2" s="190"/>
      <c r="G2" s="190"/>
      <c r="H2" s="63"/>
    </row>
    <row r="3" spans="2:13" ht="18" customHeight="1" x14ac:dyDescent="0.35">
      <c r="B3" s="191"/>
      <c r="C3" s="191"/>
      <c r="D3" s="63"/>
      <c r="E3" s="63"/>
      <c r="F3" s="190"/>
      <c r="G3" s="190"/>
      <c r="H3" s="63"/>
    </row>
    <row r="4" spans="2:13" ht="18" customHeight="1" x14ac:dyDescent="0.35">
      <c r="B4" s="192" t="s">
        <v>130</v>
      </c>
      <c r="C4" s="192" t="s">
        <v>131</v>
      </c>
      <c r="D4" s="193"/>
      <c r="E4" s="193"/>
      <c r="F4" s="193"/>
      <c r="G4" s="190"/>
      <c r="H4" s="63"/>
    </row>
    <row r="5" spans="2:13" s="63" customFormat="1" x14ac:dyDescent="0.35">
      <c r="B5" s="332" t="str">
        <f>IF(ISBLANK(Directions!C6), "Owner", Directions!C6)</f>
        <v>Thomas Francis</v>
      </c>
      <c r="C5" s="616" t="str">
        <f>IF(ISBLANK(Directions!D6), "Company 1", Directions!D6)</f>
        <v>Project "Dogen"</v>
      </c>
      <c r="D5" s="616"/>
      <c r="E5" s="616"/>
      <c r="F5" s="616"/>
      <c r="G5" s="194"/>
      <c r="I5" s="386"/>
      <c r="J5" s="386"/>
      <c r="K5" s="386"/>
      <c r="L5" s="386"/>
      <c r="M5" s="386"/>
    </row>
    <row r="6" spans="2:13" s="63" customFormat="1" x14ac:dyDescent="0.35">
      <c r="I6" s="386"/>
      <c r="J6" s="386"/>
      <c r="K6" s="386"/>
      <c r="L6" s="386"/>
      <c r="M6" s="386"/>
    </row>
    <row r="7" spans="2:13" ht="17.25" customHeight="1" thickBot="1" x14ac:dyDescent="0.4">
      <c r="B7" s="413" t="s">
        <v>83</v>
      </c>
      <c r="C7" s="414">
        <f>IF(Directions!F6&gt;0,Directions!F6,"First Year")</f>
        <v>2021</v>
      </c>
      <c r="D7" s="413" t="s">
        <v>119</v>
      </c>
      <c r="E7" s="414">
        <f>IF(Directions!F6&gt;0,Directions!F6+1,"Second Year")</f>
        <v>2022</v>
      </c>
      <c r="F7" s="413" t="s">
        <v>120</v>
      </c>
      <c r="G7" s="414">
        <f>IF(Directions!F6&gt;0,Directions!F6+2,"Third Year")</f>
        <v>2023</v>
      </c>
      <c r="H7" s="63"/>
      <c r="I7" s="386"/>
      <c r="J7" s="386"/>
      <c r="K7" s="386"/>
      <c r="L7" s="386"/>
      <c r="M7" s="386"/>
    </row>
    <row r="8" spans="2:13" ht="14.4" thickTop="1" x14ac:dyDescent="0.35">
      <c r="B8" s="565" t="str">
        <f>'5a-OpExYear1'!B10</f>
        <v>Advertising</v>
      </c>
      <c r="C8" s="199">
        <f>'5a-OpExYear1'!O10</f>
        <v>0</v>
      </c>
      <c r="D8" s="398">
        <v>0.03</v>
      </c>
      <c r="E8" s="199">
        <f t="shared" ref="E8:E22" si="0">C8*(1+D8)</f>
        <v>0</v>
      </c>
      <c r="F8" s="398">
        <v>0.03</v>
      </c>
      <c r="G8" s="199">
        <f t="shared" ref="G8:G22" si="1">E8*(1+F8)</f>
        <v>0</v>
      </c>
      <c r="H8" s="63"/>
    </row>
    <row r="9" spans="2:13" x14ac:dyDescent="0.35">
      <c r="B9" s="565" t="str">
        <f>'5a-OpExYear1'!B11</f>
        <v>Car and Truck Expenses</v>
      </c>
      <c r="C9" s="105">
        <f>'5a-OpExYear1'!O11</f>
        <v>0</v>
      </c>
      <c r="D9" s="168">
        <v>0.03</v>
      </c>
      <c r="E9" s="105">
        <f t="shared" si="0"/>
        <v>0</v>
      </c>
      <c r="F9" s="168">
        <v>0.03</v>
      </c>
      <c r="G9" s="105">
        <f t="shared" si="1"/>
        <v>0</v>
      </c>
      <c r="H9" s="63"/>
    </row>
    <row r="10" spans="2:13" x14ac:dyDescent="0.35">
      <c r="B10" s="565" t="str">
        <f>'5a-OpExYear1'!B12</f>
        <v>Commissions and Fees</v>
      </c>
      <c r="C10" s="105">
        <f>'5a-OpExYear1'!O12</f>
        <v>0</v>
      </c>
      <c r="D10" s="168">
        <v>0.05</v>
      </c>
      <c r="E10" s="105">
        <f t="shared" si="0"/>
        <v>0</v>
      </c>
      <c r="F10" s="168">
        <v>0.05</v>
      </c>
      <c r="G10" s="105">
        <f t="shared" si="1"/>
        <v>0</v>
      </c>
      <c r="H10" s="63"/>
    </row>
    <row r="11" spans="2:13" x14ac:dyDescent="0.35">
      <c r="B11" s="565" t="str">
        <f>'5a-OpExYear1'!B13</f>
        <v>Contract Labor (Not included in payroll)</v>
      </c>
      <c r="C11" s="105">
        <f>'5a-OpExYear1'!O13</f>
        <v>0</v>
      </c>
      <c r="D11" s="168">
        <v>0.03</v>
      </c>
      <c r="E11" s="105">
        <f t="shared" si="0"/>
        <v>0</v>
      </c>
      <c r="F11" s="168">
        <v>0.03</v>
      </c>
      <c r="G11" s="105">
        <f t="shared" si="1"/>
        <v>0</v>
      </c>
      <c r="H11" s="63"/>
    </row>
    <row r="12" spans="2:13" x14ac:dyDescent="0.35">
      <c r="B12" s="565" t="str">
        <f>'5a-OpExYear1'!B14</f>
        <v>Insurance (other than health)</v>
      </c>
      <c r="C12" s="105">
        <f>'5a-OpExYear1'!O14</f>
        <v>0</v>
      </c>
      <c r="D12" s="168">
        <v>0.03</v>
      </c>
      <c r="E12" s="105">
        <f t="shared" si="0"/>
        <v>0</v>
      </c>
      <c r="F12" s="168">
        <v>0.03</v>
      </c>
      <c r="G12" s="105">
        <f t="shared" si="1"/>
        <v>0</v>
      </c>
      <c r="H12" s="63"/>
    </row>
    <row r="13" spans="2:13" x14ac:dyDescent="0.35">
      <c r="B13" s="565" t="str">
        <f>'5a-OpExYear1'!B15</f>
        <v>Legal and Professional Services</v>
      </c>
      <c r="C13" s="105">
        <f>'5a-OpExYear1'!O15</f>
        <v>0</v>
      </c>
      <c r="D13" s="168">
        <v>0.03</v>
      </c>
      <c r="E13" s="105">
        <f t="shared" si="0"/>
        <v>0</v>
      </c>
      <c r="F13" s="168">
        <v>0.03</v>
      </c>
      <c r="G13" s="105">
        <f t="shared" si="1"/>
        <v>0</v>
      </c>
      <c r="H13" s="63"/>
    </row>
    <row r="14" spans="2:13" x14ac:dyDescent="0.35">
      <c r="B14" s="565" t="str">
        <f>'5a-OpExYear1'!B16</f>
        <v>Licenses</v>
      </c>
      <c r="C14" s="105">
        <f>'5a-OpExYear1'!O16</f>
        <v>0</v>
      </c>
      <c r="D14" s="168">
        <v>0.05</v>
      </c>
      <c r="E14" s="105">
        <f t="shared" si="0"/>
        <v>0</v>
      </c>
      <c r="F14" s="168">
        <v>0.05</v>
      </c>
      <c r="G14" s="105">
        <f t="shared" si="1"/>
        <v>0</v>
      </c>
      <c r="H14" s="63"/>
    </row>
    <row r="15" spans="2:13" x14ac:dyDescent="0.35">
      <c r="B15" s="565" t="str">
        <f>'5a-OpExYear1'!B17</f>
        <v>Office Expense</v>
      </c>
      <c r="C15" s="105">
        <f>'5a-OpExYear1'!O17</f>
        <v>0</v>
      </c>
      <c r="D15" s="168">
        <v>0.03</v>
      </c>
      <c r="E15" s="105">
        <f t="shared" si="0"/>
        <v>0</v>
      </c>
      <c r="F15" s="168">
        <v>0.03</v>
      </c>
      <c r="G15" s="105">
        <f t="shared" si="1"/>
        <v>0</v>
      </c>
      <c r="H15" s="63"/>
    </row>
    <row r="16" spans="2:13" x14ac:dyDescent="0.35">
      <c r="B16" s="565" t="str">
        <f>'5a-OpExYear1'!B18</f>
        <v>Rent or Lease -- Vehicles, Machinery, Equipment</v>
      </c>
      <c r="C16" s="105">
        <f>'5a-OpExYear1'!O18</f>
        <v>0</v>
      </c>
      <c r="D16" s="168">
        <v>0.03</v>
      </c>
      <c r="E16" s="105">
        <f t="shared" si="0"/>
        <v>0</v>
      </c>
      <c r="F16" s="168">
        <v>0.03</v>
      </c>
      <c r="G16" s="105">
        <f t="shared" si="1"/>
        <v>0</v>
      </c>
      <c r="H16" s="63"/>
    </row>
    <row r="17" spans="2:10" x14ac:dyDescent="0.35">
      <c r="B17" s="565" t="str">
        <f>'5a-OpExYear1'!B19</f>
        <v>Rent or Lease -- Other Business Property</v>
      </c>
      <c r="C17" s="105">
        <f>'5a-OpExYear1'!O19</f>
        <v>0</v>
      </c>
      <c r="D17" s="168">
        <v>0.03</v>
      </c>
      <c r="E17" s="105">
        <f t="shared" si="0"/>
        <v>0</v>
      </c>
      <c r="F17" s="168">
        <v>0.03</v>
      </c>
      <c r="G17" s="105">
        <f t="shared" si="1"/>
        <v>0</v>
      </c>
      <c r="H17" s="63"/>
    </row>
    <row r="18" spans="2:10" x14ac:dyDescent="0.35">
      <c r="B18" s="565" t="str">
        <f>'5a-OpExYear1'!B20</f>
        <v>Repairs and Maintenance</v>
      </c>
      <c r="C18" s="105">
        <f>'5a-OpExYear1'!O20</f>
        <v>0</v>
      </c>
      <c r="D18" s="168">
        <v>0.05</v>
      </c>
      <c r="E18" s="105">
        <f t="shared" si="0"/>
        <v>0</v>
      </c>
      <c r="F18" s="168">
        <v>0.05</v>
      </c>
      <c r="G18" s="105">
        <f t="shared" si="1"/>
        <v>0</v>
      </c>
      <c r="H18" s="63"/>
    </row>
    <row r="19" spans="2:10" x14ac:dyDescent="0.35">
      <c r="B19" s="565" t="str">
        <f>'5a-OpExYear1'!B21</f>
        <v>Supplies</v>
      </c>
      <c r="C19" s="105">
        <f>'5a-OpExYear1'!O21</f>
        <v>0</v>
      </c>
      <c r="D19" s="168">
        <v>0.03</v>
      </c>
      <c r="E19" s="105">
        <f t="shared" si="0"/>
        <v>0</v>
      </c>
      <c r="F19" s="168">
        <v>0.03</v>
      </c>
      <c r="G19" s="105">
        <f t="shared" si="1"/>
        <v>0</v>
      </c>
      <c r="H19" s="63"/>
    </row>
    <row r="20" spans="2:10" x14ac:dyDescent="0.35">
      <c r="B20" s="565" t="str">
        <f>'5a-OpExYear1'!B22</f>
        <v>Travel, Meals and Entertainment</v>
      </c>
      <c r="C20" s="105">
        <f>'5a-OpExYear1'!O22</f>
        <v>0</v>
      </c>
      <c r="D20" s="168">
        <v>0.03</v>
      </c>
      <c r="E20" s="105">
        <f t="shared" si="0"/>
        <v>0</v>
      </c>
      <c r="F20" s="168">
        <v>0.03</v>
      </c>
      <c r="G20" s="105">
        <f t="shared" si="1"/>
        <v>0</v>
      </c>
      <c r="H20" s="63"/>
    </row>
    <row r="21" spans="2:10" x14ac:dyDescent="0.35">
      <c r="B21" s="565" t="str">
        <f>'5a-OpExYear1'!B23</f>
        <v>Utilities</v>
      </c>
      <c r="C21" s="105">
        <f>'5a-OpExYear1'!O23</f>
        <v>0</v>
      </c>
      <c r="D21" s="168">
        <v>0.03</v>
      </c>
      <c r="E21" s="105">
        <f t="shared" si="0"/>
        <v>0</v>
      </c>
      <c r="F21" s="168">
        <v>0.03</v>
      </c>
      <c r="G21" s="105">
        <f t="shared" si="1"/>
        <v>0</v>
      </c>
      <c r="H21" s="63"/>
    </row>
    <row r="22" spans="2:10" x14ac:dyDescent="0.35">
      <c r="B22" s="565" t="str">
        <f>'5a-OpExYear1'!B24</f>
        <v xml:space="preserve">Miscellaneous </v>
      </c>
      <c r="C22" s="105">
        <f>'5a-OpExYear1'!O24</f>
        <v>0</v>
      </c>
      <c r="D22" s="168">
        <v>0.03</v>
      </c>
      <c r="E22" s="105">
        <f t="shared" si="0"/>
        <v>0</v>
      </c>
      <c r="F22" s="168">
        <v>0.03</v>
      </c>
      <c r="G22" s="105">
        <f t="shared" si="1"/>
        <v>0</v>
      </c>
      <c r="H22" s="63"/>
    </row>
    <row r="23" spans="2:10" x14ac:dyDescent="0.35">
      <c r="B23" s="366" t="s">
        <v>17</v>
      </c>
      <c r="C23" s="108">
        <f>SUM(C8:C22)</f>
        <v>0</v>
      </c>
      <c r="D23" s="168"/>
      <c r="E23" s="108">
        <f>SUM(E8:E22)</f>
        <v>0</v>
      </c>
      <c r="F23" s="168"/>
      <c r="G23" s="108">
        <f>SUM(G8:G22)</f>
        <v>0</v>
      </c>
      <c r="H23" s="63"/>
    </row>
    <row r="24" spans="2:10" x14ac:dyDescent="0.35">
      <c r="B24" s="182"/>
      <c r="C24" s="105"/>
      <c r="D24" s="107"/>
      <c r="E24" s="105"/>
      <c r="F24" s="107"/>
      <c r="G24" s="105"/>
      <c r="H24" s="63"/>
    </row>
    <row r="25" spans="2:10" x14ac:dyDescent="0.35">
      <c r="B25" s="72" t="s">
        <v>144</v>
      </c>
      <c r="C25" s="105"/>
      <c r="D25" s="107"/>
      <c r="E25" s="105"/>
      <c r="F25" s="107"/>
      <c r="G25" s="105"/>
      <c r="H25" s="63"/>
    </row>
    <row r="26" spans="2:10" x14ac:dyDescent="0.35">
      <c r="B26" s="186" t="s">
        <v>151</v>
      </c>
      <c r="C26" s="195">
        <f>'5a-OpExYear1'!O28</f>
        <v>0</v>
      </c>
      <c r="D26" s="196"/>
      <c r="E26" s="105">
        <f>'Amortization&amp;Depreciation'!O123</f>
        <v>0</v>
      </c>
      <c r="F26" s="196"/>
      <c r="G26" s="105">
        <f>'Amortization&amp;Depreciation'!O127</f>
        <v>0</v>
      </c>
      <c r="H26" s="63"/>
    </row>
    <row r="27" spans="2:10" x14ac:dyDescent="0.35">
      <c r="B27" s="186" t="s">
        <v>58</v>
      </c>
      <c r="C27" s="197"/>
      <c r="D27" s="196"/>
      <c r="E27" s="105"/>
      <c r="F27" s="196"/>
      <c r="G27" s="105"/>
      <c r="H27" s="63"/>
    </row>
    <row r="28" spans="2:10" x14ac:dyDescent="0.35">
      <c r="B28" s="187" t="str">
        <f>'1-StartingPoint'!B37</f>
        <v>Commercial Loan</v>
      </c>
      <c r="C28" s="198">
        <f>'5a-OpExYear1'!O30</f>
        <v>0</v>
      </c>
      <c r="D28" s="196"/>
      <c r="E28" s="105">
        <f>IF('1-StartingPoint'!$F37&lt;36, 0, 'Amortization&amp;Depreciation'!O19)</f>
        <v>0</v>
      </c>
      <c r="F28" s="196"/>
      <c r="G28" s="105">
        <f>IF('1-StartingPoint'!$F37&lt;36, 0, 'Amortization&amp;Depreciation'!O23)</f>
        <v>0</v>
      </c>
      <c r="H28" s="63"/>
    </row>
    <row r="29" spans="2:10" x14ac:dyDescent="0.35">
      <c r="B29" s="187" t="str">
        <f>'1-StartingPoint'!B38</f>
        <v>Commercial Mortgage</v>
      </c>
      <c r="C29" s="198">
        <f>'5a-OpExYear1'!O31</f>
        <v>0</v>
      </c>
      <c r="D29" s="196"/>
      <c r="E29" s="105">
        <f>IF('1-StartingPoint'!$F38&lt;36, 0, 'Amortization&amp;Depreciation'!O39)</f>
        <v>0</v>
      </c>
      <c r="F29" s="196"/>
      <c r="G29" s="105">
        <f>IF('1-StartingPoint'!$F38&lt;36, 0, 'Amortization&amp;Depreciation'!O43)</f>
        <v>0</v>
      </c>
    </row>
    <row r="30" spans="2:10" x14ac:dyDescent="0.35">
      <c r="B30" s="187" t="str">
        <f>'1-StartingPoint'!B39</f>
        <v>Credit Card Debt</v>
      </c>
      <c r="C30" s="198">
        <f>'5a-OpExYear1'!O32</f>
        <v>0</v>
      </c>
      <c r="D30" s="196"/>
      <c r="E30" s="105">
        <f>IF('1-StartingPoint'!$F39&lt;36, 0, 'Amortization&amp;Depreciation'!O59)</f>
        <v>0</v>
      </c>
      <c r="F30" s="196"/>
      <c r="G30" s="105">
        <f>IF('1-StartingPoint'!$F39&lt;36, 0, 'Amortization&amp;Depreciation'!O63)</f>
        <v>0</v>
      </c>
    </row>
    <row r="31" spans="2:10" x14ac:dyDescent="0.35">
      <c r="B31" s="187" t="str">
        <f>'1-StartingPoint'!B40</f>
        <v>Vehicle Loans</v>
      </c>
      <c r="C31" s="198">
        <f>'5a-OpExYear1'!O33</f>
        <v>0</v>
      </c>
      <c r="D31" s="196"/>
      <c r="E31" s="105">
        <f>IF('1-StartingPoint'!$F40&lt;36, 0, 'Amortization&amp;Depreciation'!O79)</f>
        <v>0</v>
      </c>
      <c r="F31" s="196"/>
      <c r="G31" s="105">
        <f>IF('1-StartingPoint'!$F40&lt;36, 0, 'Amortization&amp;Depreciation'!O83)</f>
        <v>0</v>
      </c>
    </row>
    <row r="32" spans="2:10" x14ac:dyDescent="0.35">
      <c r="B32" s="187" t="str">
        <f>'1-StartingPoint'!B41</f>
        <v>Other Bank Debt</v>
      </c>
      <c r="C32" s="198">
        <f>'5a-OpExYear1'!O34</f>
        <v>0</v>
      </c>
      <c r="D32" s="196"/>
      <c r="E32" s="105">
        <f>IF('1-StartingPoint'!$F41&lt;36, 0, 'Amortization&amp;Depreciation'!O99)</f>
        <v>0</v>
      </c>
      <c r="F32" s="196"/>
      <c r="G32" s="105">
        <f>IF('1-StartingPoint'!$F41&lt;36, 0, 'Amortization&amp;Depreciation'!O103)</f>
        <v>0</v>
      </c>
      <c r="J32" s="320"/>
    </row>
    <row r="33" spans="2:7" x14ac:dyDescent="0.35">
      <c r="B33" s="187" t="s">
        <v>260</v>
      </c>
      <c r="C33" s="198">
        <f>+'6a-CashFlowYear1'!O26</f>
        <v>0</v>
      </c>
      <c r="D33" s="196"/>
      <c r="E33" s="199">
        <f>+'6b-CashFlowYrs1-3'!O25</f>
        <v>0</v>
      </c>
      <c r="F33" s="196"/>
      <c r="G33" s="370">
        <f>'6b-CashFlowYrs1-3'!AB25</f>
        <v>0</v>
      </c>
    </row>
    <row r="34" spans="2:7" x14ac:dyDescent="0.35">
      <c r="B34" s="186" t="s">
        <v>284</v>
      </c>
      <c r="C34" s="200">
        <f>+'5a-OpExYear1'!O36</f>
        <v>0</v>
      </c>
      <c r="D34" s="196"/>
      <c r="E34" s="199"/>
      <c r="F34" s="196"/>
      <c r="G34" s="199"/>
    </row>
    <row r="35" spans="2:7" x14ac:dyDescent="0.35">
      <c r="B35" s="201" t="s">
        <v>160</v>
      </c>
      <c r="C35" s="367">
        <f>SUM(C26:C34)</f>
        <v>0</v>
      </c>
      <c r="D35" s="196"/>
      <c r="E35" s="368">
        <f>SUM(E26:E34)</f>
        <v>0</v>
      </c>
      <c r="F35" s="196"/>
      <c r="G35" s="368">
        <f>SUM(G26:G34)</f>
        <v>0</v>
      </c>
    </row>
    <row r="36" spans="2:7" x14ac:dyDescent="0.35">
      <c r="B36" s="47" t="s">
        <v>229</v>
      </c>
      <c r="C36" s="369">
        <f>SUM(C8:C22)+C35</f>
        <v>0</v>
      </c>
      <c r="D36" s="9"/>
      <c r="E36" s="369">
        <f>SUM(E8:E22)+E35</f>
        <v>0</v>
      </c>
      <c r="F36" s="9"/>
      <c r="G36" s="369">
        <f>SUM(G8:G22)+G35</f>
        <v>0</v>
      </c>
    </row>
  </sheetData>
  <sheetProtection password="CC3D" sheet="1" objects="1" scenarios="1" formatColumns="0" formatRows="0"/>
  <mergeCells count="2">
    <mergeCell ref="C5:F5"/>
    <mergeCell ref="B2:C2"/>
  </mergeCells>
  <phoneticPr fontId="3" type="noConversion"/>
  <conditionalFormatting sqref="E26 G26">
    <cfRule type="containsBlanks" dxfId="50" priority="3">
      <formula>LEN(TRIM(E26))=0</formula>
    </cfRule>
  </conditionalFormatting>
  <printOptions horizontalCentered="1"/>
  <pageMargins left="0.25" right="0.25" top="0.75" bottom="0.75" header="0.3" footer="0.3"/>
  <pageSetup scale="94" orientation="landscape" r:id="rId1"/>
  <headerFooter scaleWithDoc="0">
    <oddHeader>&amp;C&amp;"Gill Sans MT,Regular"&amp;12Operating Expenses Years 1-3</oddHeader>
    <oddFooter>&amp;L&amp;"Gill Sans MT,Regular"&amp;12&amp;F&amp;C&amp;"Gill Sans MT,Regular"&amp;12&amp;A&amp;R&amp;"Gill Sans MT,Regular"&amp;12&amp;D &amp;T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778B6CBB75BC429A0B86CA73F384D0" ma:contentTypeVersion="12" ma:contentTypeDescription="Create a new document." ma:contentTypeScope="" ma:versionID="fdd7e4f004b1999f6765ce66397b3b96">
  <xsd:schema xmlns:xsd="http://www.w3.org/2001/XMLSchema" xmlns:xs="http://www.w3.org/2001/XMLSchema" xmlns:p="http://schemas.microsoft.com/office/2006/metadata/properties" xmlns:ns3="c0f7399f-cbe5-4279-8bea-a85f11a49268" xmlns:ns4="52cf68bb-ec7c-4e4f-805a-0decd25a9535" targetNamespace="http://schemas.microsoft.com/office/2006/metadata/properties" ma:root="true" ma:fieldsID="9b4afa7519dff2dcb0b3950d0886d074" ns3:_="" ns4:_="">
    <xsd:import namespace="c0f7399f-cbe5-4279-8bea-a85f11a49268"/>
    <xsd:import namespace="52cf68bb-ec7c-4e4f-805a-0decd25a95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f7399f-cbe5-4279-8bea-a85f11a492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cf68bb-ec7c-4e4f-805a-0decd25a953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9B729B-6E1C-4FED-8A25-D4FDC5715C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f7399f-cbe5-4279-8bea-a85f11a49268"/>
    <ds:schemaRef ds:uri="52cf68bb-ec7c-4e4f-805a-0decd25a95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A191A4-1551-4064-98AD-145627597930}">
  <ds:schemaRefs>
    <ds:schemaRef ds:uri="http://schemas.microsoft.com/sharepoint/v3/contenttype/forms"/>
  </ds:schemaRefs>
</ds:datastoreItem>
</file>

<file path=customXml/itemProps3.xml><?xml version="1.0" encoding="utf-8"?>
<ds:datastoreItem xmlns:ds="http://schemas.openxmlformats.org/officeDocument/2006/customXml" ds:itemID="{2F7F00A5-062F-44D8-AF5C-2C7DC34834CB}">
  <ds:schemaRef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52cf68bb-ec7c-4e4f-805a-0decd25a9535"/>
    <ds:schemaRef ds:uri="c0f7399f-cbe5-4279-8bea-a85f11a4926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95</vt:i4>
      </vt:variant>
    </vt:vector>
  </HeadingPairs>
  <TitlesOfParts>
    <vt:vector size="115" baseType="lpstr">
      <vt:lpstr>Directions</vt:lpstr>
      <vt:lpstr>1-StartingPoint</vt:lpstr>
      <vt:lpstr>2a-PayrollYear1</vt:lpstr>
      <vt:lpstr>2b-PayrollYrs1-3</vt:lpstr>
      <vt:lpstr>3a-SalesForecastYear1</vt:lpstr>
      <vt:lpstr>3b-SalesForecastYrs1-3</vt:lpstr>
      <vt:lpstr>4-AdditionalInputs</vt:lpstr>
      <vt:lpstr>5a-OpExYear1</vt:lpstr>
      <vt:lpstr>5b-OpExYrs1-3</vt:lpstr>
      <vt:lpstr>6a-CashFlowYear1</vt:lpstr>
      <vt:lpstr>6b-CashFlowYrs1-3</vt:lpstr>
      <vt:lpstr>7a-IncomeStatementYear1</vt:lpstr>
      <vt:lpstr>7b-IncomeStatementYrs1-3</vt:lpstr>
      <vt:lpstr>8-BalanceSheet</vt:lpstr>
      <vt:lpstr>BreakevenAnalysis</vt:lpstr>
      <vt:lpstr>FinancialRatios</vt:lpstr>
      <vt:lpstr>DiagnosticTools</vt:lpstr>
      <vt:lpstr>COGS Calculator</vt:lpstr>
      <vt:lpstr>Amortization&amp;Depreciation</vt:lpstr>
      <vt:lpstr>Revision Notes</vt:lpstr>
      <vt:lpstr>AddLoans</vt:lpstr>
      <vt:lpstr>Advertising</vt:lpstr>
      <vt:lpstr>Buildings</vt:lpstr>
      <vt:lpstr>Category1</vt:lpstr>
      <vt:lpstr>Category1_Annual_Sales</vt:lpstr>
      <vt:lpstr>Category2</vt:lpstr>
      <vt:lpstr>Category2_Annual_Sales</vt:lpstr>
      <vt:lpstr>Category3</vt:lpstr>
      <vt:lpstr>Category3_Annual_Sales</vt:lpstr>
      <vt:lpstr>Category4</vt:lpstr>
      <vt:lpstr>Category4_Annual_Sales</vt:lpstr>
      <vt:lpstr>Category5</vt:lpstr>
      <vt:lpstr>Category5_Annual_Sales</vt:lpstr>
      <vt:lpstr>Category6</vt:lpstr>
      <vt:lpstr>Category6_Annual_Sales</vt:lpstr>
      <vt:lpstr>Catergory6</vt:lpstr>
      <vt:lpstr>CCDebt</vt:lpstr>
      <vt:lpstr>COGS_Annual_Total</vt:lpstr>
      <vt:lpstr>CommLoan</vt:lpstr>
      <vt:lpstr>CommMortgage</vt:lpstr>
      <vt:lpstr>Equipment</vt:lpstr>
      <vt:lpstr>Furniture</vt:lpstr>
      <vt:lpstr>Growth_Rate_Yr2</vt:lpstr>
      <vt:lpstr>Growth_Rate_Yr3</vt:lpstr>
      <vt:lpstr>'3a-SalesForecastYear1'!Hours</vt:lpstr>
      <vt:lpstr>Inventory</vt:lpstr>
      <vt:lpstr>Land</vt:lpstr>
      <vt:lpstr>LeaseImprovements</vt:lpstr>
      <vt:lpstr>LegalAcctFees</vt:lpstr>
      <vt:lpstr>Licenses</vt:lpstr>
      <vt:lpstr>Margin_Annual_Total</vt:lpstr>
      <vt:lpstr>Misc_Expenses</vt:lpstr>
      <vt:lpstr>NetIncomeY1</vt:lpstr>
      <vt:lpstr>NetIncomeY2</vt:lpstr>
      <vt:lpstr>NetIncomeY3</vt:lpstr>
      <vt:lpstr>OfficeSupplies_Expenses</vt:lpstr>
      <vt:lpstr>Other_Expenses</vt:lpstr>
      <vt:lpstr>OtherBankDebt</vt:lpstr>
      <vt:lpstr>OtherFixedAssets</vt:lpstr>
      <vt:lpstr>OtherStartUp</vt:lpstr>
      <vt:lpstr>OutsideInvest</vt:lpstr>
      <vt:lpstr>OwnerEquity</vt:lpstr>
      <vt:lpstr>PreOpenWages</vt:lpstr>
      <vt:lpstr>PrepaidInsurance</vt:lpstr>
      <vt:lpstr>'1-StartingPoint'!Print_Area</vt:lpstr>
      <vt:lpstr>'2a-PayrollYear1'!Print_Area</vt:lpstr>
      <vt:lpstr>'2b-PayrollYrs1-3'!Print_Area</vt:lpstr>
      <vt:lpstr>'3a-SalesForecastYear1'!Print_Area</vt:lpstr>
      <vt:lpstr>'3b-SalesForecastYrs1-3'!Print_Area</vt:lpstr>
      <vt:lpstr>'4-AdditionalInputs'!Print_Area</vt:lpstr>
      <vt:lpstr>'5a-OpExYear1'!Print_Area</vt:lpstr>
      <vt:lpstr>'5b-OpExYrs1-3'!Print_Area</vt:lpstr>
      <vt:lpstr>'6a-CashFlowYear1'!Print_Area</vt:lpstr>
      <vt:lpstr>'6b-CashFlowYrs1-3'!Print_Area</vt:lpstr>
      <vt:lpstr>'7a-IncomeStatementYear1'!Print_Area</vt:lpstr>
      <vt:lpstr>'7b-IncomeStatementYrs1-3'!Print_Area</vt:lpstr>
      <vt:lpstr>'8-BalanceSheet'!Print_Area</vt:lpstr>
      <vt:lpstr>'Amortization&amp;Depreciation'!Print_Area</vt:lpstr>
      <vt:lpstr>BreakevenAnalysis!Print_Area</vt:lpstr>
      <vt:lpstr>'COGS Calculator'!Print_Area</vt:lpstr>
      <vt:lpstr>DiagnosticTools!Print_Area</vt:lpstr>
      <vt:lpstr>Directions!Print_Area</vt:lpstr>
      <vt:lpstr>FinancialRatios!Print_Area</vt:lpstr>
      <vt:lpstr>'3b-SalesForecastYrs1-3'!Print_Titles</vt:lpstr>
      <vt:lpstr>'6b-CashFlowYrs1-3'!Print_Titles</vt:lpstr>
      <vt:lpstr>RentDeposit</vt:lpstr>
      <vt:lpstr>Sales_Annual_Total</vt:lpstr>
      <vt:lpstr>Supplies</vt:lpstr>
      <vt:lpstr>Total_Fixed_Assets</vt:lpstr>
      <vt:lpstr>TotalFixedAssets</vt:lpstr>
      <vt:lpstr>TotalFunding</vt:lpstr>
      <vt:lpstr>TotalOperatingCapital</vt:lpstr>
      <vt:lpstr>TotalRequiredFunds</vt:lpstr>
      <vt:lpstr>Unit1</vt:lpstr>
      <vt:lpstr>Unit1_Annual</vt:lpstr>
      <vt:lpstr>Unit1_Annual_Sales</vt:lpstr>
      <vt:lpstr>Unit2</vt:lpstr>
      <vt:lpstr>Unit2_Annual</vt:lpstr>
      <vt:lpstr>Unit2_Annual_Sales</vt:lpstr>
      <vt:lpstr>Unit3</vt:lpstr>
      <vt:lpstr>Unit3_Annual</vt:lpstr>
      <vt:lpstr>Unit3_Annual_Sales</vt:lpstr>
      <vt:lpstr>Unit4</vt:lpstr>
      <vt:lpstr>Unit4_Annual</vt:lpstr>
      <vt:lpstr>Unit5</vt:lpstr>
      <vt:lpstr>Unit5_Annual</vt:lpstr>
      <vt:lpstr>Unit6</vt:lpstr>
      <vt:lpstr>Unit6_Annual</vt:lpstr>
      <vt:lpstr>Units_Annual_Total</vt:lpstr>
      <vt:lpstr>UtilityDeposit</vt:lpstr>
      <vt:lpstr>VehicleLoan</vt:lpstr>
      <vt:lpstr>Vehicles</vt:lpstr>
      <vt:lpstr>Working_Capital</vt:lpstr>
      <vt:lpstr>WorkingCapital</vt:lpstr>
      <vt:lpstr>Y1EndingCashBal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Steps for Starting Your Business</dc:title>
  <dc:subject>Business start-up financial forecast</dc:subject>
  <dc:creator>Heather Hendy</dc:creator>
  <cp:keywords>business, start-up, financial, forecast</cp:keywords>
  <dc:description>This SCORE Workbook is designed to help start-up companies make financial projections that will allow them to make a "go-no go" decision about starting a new company.</dc:description>
  <cp:lastModifiedBy>Francis, Thomas</cp:lastModifiedBy>
  <cp:lastPrinted>2013-01-14T15:22:16Z</cp:lastPrinted>
  <dcterms:created xsi:type="dcterms:W3CDTF">2011-04-16T18:04:50Z</dcterms:created>
  <dcterms:modified xsi:type="dcterms:W3CDTF">2020-06-22T15:31:23Z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bdb9afe3-6fa4-4010-9a16-909431229847</vt:lpwstr>
  </property>
  <property fmtid="{D5CDD505-2E9C-101B-9397-08002B2CF9AE}" pid="3" name="ContentTypeId">
    <vt:lpwstr>0x010100F5778B6CBB75BC429A0B86CA73F384D0</vt:lpwstr>
  </property>
</Properties>
</file>