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ai\"/>
    </mc:Choice>
  </mc:AlternateContent>
  <xr:revisionPtr revIDLastSave="0" documentId="8_{CDB6CB76-14AD-4EAA-9394-431C9597830C}" xr6:coauthVersionLast="47" xr6:coauthVersionMax="47" xr10:uidLastSave="{00000000-0000-0000-0000-000000000000}"/>
  <bookViews>
    <workbookView xWindow="-120" yWindow="-120" windowWidth="29040" windowHeight="17640" tabRatio="687" xr2:uid="{0F3DA1EF-BD4B-40ED-935F-820769EAC18C}"/>
  </bookViews>
  <sheets>
    <sheet name="KH_TA" sheetId="65" r:id="rId1"/>
    <sheet name="T08" sheetId="24" state="hidden" r:id="rId2"/>
    <sheet name="T09" sheetId="25" state="hidden" r:id="rId3"/>
    <sheet name="T10" sheetId="26" state="hidden" r:id="rId4"/>
    <sheet name="T11" sheetId="27" state="hidden" r:id="rId5"/>
    <sheet name="T12" sheetId="28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8" l="1"/>
  <c r="C8" i="28"/>
  <c r="H8" i="28"/>
  <c r="AI8" i="28"/>
  <c r="G41" i="28"/>
  <c r="K9" i="28"/>
  <c r="K10" i="28"/>
  <c r="K38" i="28"/>
  <c r="C9" i="28"/>
  <c r="C10" i="28"/>
  <c r="S8" i="28"/>
  <c r="S10" i="28"/>
  <c r="AA8" i="28"/>
  <c r="O34" i="28"/>
  <c r="O35" i="28"/>
  <c r="P34" i="28"/>
  <c r="AK34" i="28"/>
  <c r="M10" i="28"/>
  <c r="M38" i="28"/>
  <c r="E10" i="28"/>
  <c r="E38" i="28"/>
  <c r="Z35" i="28"/>
  <c r="Z39" i="28"/>
  <c r="AA35" i="28"/>
  <c r="AA39" i="28"/>
  <c r="AB35" i="28"/>
  <c r="AC35" i="28"/>
  <c r="AC39" i="28"/>
  <c r="AD35" i="28"/>
  <c r="AD39" i="28"/>
  <c r="AA9" i="28"/>
  <c r="AF9" i="28"/>
  <c r="S9" i="28"/>
  <c r="X9" i="28"/>
  <c r="Q44" i="28"/>
  <c r="N42" i="28"/>
  <c r="N43" i="28"/>
  <c r="M42" i="28"/>
  <c r="L42" i="28"/>
  <c r="L43" i="28"/>
  <c r="K42" i="28"/>
  <c r="J42" i="28"/>
  <c r="AF41" i="28"/>
  <c r="AE41" i="28"/>
  <c r="X41" i="28"/>
  <c r="W41" i="28"/>
  <c r="P41" i="28"/>
  <c r="AL41" i="28"/>
  <c r="O41" i="28"/>
  <c r="H41" i="28"/>
  <c r="AJ41" i="28"/>
  <c r="AM40" i="28"/>
  <c r="AN40" i="28"/>
  <c r="AC38" i="28"/>
  <c r="U38" i="28"/>
  <c r="F38" i="28"/>
  <c r="AM35" i="28"/>
  <c r="AN35" i="28"/>
  <c r="W35" i="28"/>
  <c r="V35" i="28"/>
  <c r="V39" i="28"/>
  <c r="U35" i="28"/>
  <c r="U39" i="28"/>
  <c r="T35" i="28"/>
  <c r="T39" i="28"/>
  <c r="S35" i="28"/>
  <c r="S39" i="28"/>
  <c r="R35" i="28"/>
  <c r="R39" i="28"/>
  <c r="N35" i="28"/>
  <c r="M35" i="28"/>
  <c r="M39" i="28"/>
  <c r="L35" i="28"/>
  <c r="L39" i="28"/>
  <c r="K35" i="28"/>
  <c r="K39" i="28"/>
  <c r="J35" i="28"/>
  <c r="J39" i="28"/>
  <c r="F35" i="28"/>
  <c r="F39" i="28"/>
  <c r="E35" i="28"/>
  <c r="E39" i="28"/>
  <c r="D35" i="28"/>
  <c r="C35" i="28"/>
  <c r="C39" i="28"/>
  <c r="B35" i="28"/>
  <c r="H34" i="28"/>
  <c r="G34" i="28"/>
  <c r="AM33" i="28"/>
  <c r="AN33" i="28"/>
  <c r="AL33" i="28"/>
  <c r="AK33" i="28"/>
  <c r="AJ33" i="28"/>
  <c r="AI33" i="28"/>
  <c r="AM32" i="28"/>
  <c r="AN32" i="28"/>
  <c r="AL32" i="28"/>
  <c r="AK32" i="28"/>
  <c r="AJ32" i="28"/>
  <c r="AI32" i="28"/>
  <c r="AM31" i="28"/>
  <c r="AN31" i="28"/>
  <c r="AL31" i="28"/>
  <c r="AK31" i="28"/>
  <c r="AJ31" i="28"/>
  <c r="AI31" i="28"/>
  <c r="AM30" i="28"/>
  <c r="AN30" i="28"/>
  <c r="AL30" i="28"/>
  <c r="AK30" i="28"/>
  <c r="AJ30" i="28"/>
  <c r="AI30" i="28"/>
  <c r="AM29" i="28"/>
  <c r="AN29" i="28"/>
  <c r="AL29" i="28"/>
  <c r="AK29" i="28"/>
  <c r="AJ29" i="28"/>
  <c r="AI29" i="28"/>
  <c r="AM28" i="28"/>
  <c r="AN28" i="28"/>
  <c r="AL28" i="28"/>
  <c r="AK28" i="28"/>
  <c r="AJ28" i="28"/>
  <c r="AI28" i="28"/>
  <c r="AM27" i="28"/>
  <c r="AN27" i="28"/>
  <c r="AL27" i="28"/>
  <c r="AK27" i="28"/>
  <c r="AJ27" i="28"/>
  <c r="AI27" i="28"/>
  <c r="AM26" i="28"/>
  <c r="AN26" i="28"/>
  <c r="AL26" i="28"/>
  <c r="AK26" i="28"/>
  <c r="AJ26" i="28"/>
  <c r="AI26" i="28"/>
  <c r="AM25" i="28"/>
  <c r="AN25" i="28"/>
  <c r="AL25" i="28"/>
  <c r="AK25" i="28"/>
  <c r="AJ25" i="28"/>
  <c r="AI25" i="28"/>
  <c r="AM24" i="28"/>
  <c r="AN24" i="28"/>
  <c r="AL24" i="28"/>
  <c r="AK24" i="28"/>
  <c r="AJ24" i="28"/>
  <c r="AI24" i="28"/>
  <c r="AM23" i="28"/>
  <c r="AN23" i="28"/>
  <c r="AL23" i="28"/>
  <c r="AK23" i="28"/>
  <c r="AJ23" i="28"/>
  <c r="AI23" i="28"/>
  <c r="AM22" i="28"/>
  <c r="AN22" i="28"/>
  <c r="AL22" i="28"/>
  <c r="AK22" i="28"/>
  <c r="AJ22" i="28"/>
  <c r="AI22" i="28"/>
  <c r="AM21" i="28"/>
  <c r="AN21" i="28"/>
  <c r="AL21" i="28"/>
  <c r="AK21" i="28"/>
  <c r="AJ21" i="28"/>
  <c r="AI21" i="28"/>
  <c r="AM20" i="28"/>
  <c r="AN20" i="28"/>
  <c r="AL20" i="28"/>
  <c r="AK20" i="28"/>
  <c r="AJ20" i="28"/>
  <c r="AI20" i="28"/>
  <c r="AM19" i="28"/>
  <c r="AN19" i="28"/>
  <c r="AL19" i="28"/>
  <c r="AK19" i="28"/>
  <c r="AJ19" i="28"/>
  <c r="AI19" i="28"/>
  <c r="AM18" i="28"/>
  <c r="AN18" i="28"/>
  <c r="AL18" i="28"/>
  <c r="AK18" i="28"/>
  <c r="AJ18" i="28"/>
  <c r="AI18" i="28"/>
  <c r="AM17" i="28"/>
  <c r="AN17" i="28"/>
  <c r="AL17" i="28"/>
  <c r="AK17" i="28"/>
  <c r="AJ17" i="28"/>
  <c r="AI17" i="28"/>
  <c r="AM16" i="28"/>
  <c r="AN16" i="28"/>
  <c r="AL16" i="28"/>
  <c r="AK16" i="28"/>
  <c r="AJ16" i="28"/>
  <c r="AI16" i="28"/>
  <c r="AM15" i="28"/>
  <c r="AN15" i="28"/>
  <c r="AL15" i="28"/>
  <c r="AK15" i="28"/>
  <c r="AJ15" i="28"/>
  <c r="AI15" i="28"/>
  <c r="AM14" i="28"/>
  <c r="AN14" i="28"/>
  <c r="AL14" i="28"/>
  <c r="AK14" i="28"/>
  <c r="AJ14" i="28"/>
  <c r="AI14" i="28"/>
  <c r="AD10" i="28"/>
  <c r="AD38" i="28"/>
  <c r="Z10" i="28"/>
  <c r="V10" i="28"/>
  <c r="V38" i="28"/>
  <c r="R10" i="28"/>
  <c r="N10" i="28"/>
  <c r="N38" i="28"/>
  <c r="L10" i="28"/>
  <c r="L38" i="28"/>
  <c r="J10" i="28"/>
  <c r="J38" i="28"/>
  <c r="D10" i="28"/>
  <c r="D38" i="28"/>
  <c r="D44" i="28"/>
  <c r="B10" i="28"/>
  <c r="B38" i="28"/>
  <c r="W9" i="28"/>
  <c r="Y9" i="28"/>
  <c r="AB10" i="28"/>
  <c r="AB38" i="28"/>
  <c r="P8" i="28"/>
  <c r="O8" i="28"/>
  <c r="Q8" i="28"/>
  <c r="G8" i="28"/>
  <c r="J47" i="27"/>
  <c r="Z47" i="27"/>
  <c r="AG34" i="27"/>
  <c r="K8" i="27"/>
  <c r="C8" i="27"/>
  <c r="M10" i="27"/>
  <c r="M38" i="27"/>
  <c r="E10" i="27"/>
  <c r="E38" i="27"/>
  <c r="P34" i="27"/>
  <c r="AK34" i="27"/>
  <c r="O34" i="27"/>
  <c r="H34" i="27"/>
  <c r="G34" i="27"/>
  <c r="G44" i="27"/>
  <c r="G35" i="27"/>
  <c r="G39" i="27"/>
  <c r="K9" i="27"/>
  <c r="O9" i="27"/>
  <c r="Q9" i="27"/>
  <c r="C9" i="27"/>
  <c r="H9" i="27"/>
  <c r="AA9" i="27"/>
  <c r="AF9" i="27"/>
  <c r="S9" i="27"/>
  <c r="X9" i="27"/>
  <c r="AB8" i="27"/>
  <c r="T8" i="27"/>
  <c r="N42" i="27"/>
  <c r="N43" i="27"/>
  <c r="M42" i="27"/>
  <c r="L42" i="27"/>
  <c r="K42" i="27"/>
  <c r="K43" i="27"/>
  <c r="J42" i="27"/>
  <c r="AF41" i="27"/>
  <c r="AE41" i="27"/>
  <c r="X41" i="27"/>
  <c r="W41" i="27"/>
  <c r="P41" i="27"/>
  <c r="AK41" i="27"/>
  <c r="O41" i="27"/>
  <c r="H41" i="27"/>
  <c r="AJ41" i="27"/>
  <c r="AM40" i="27"/>
  <c r="AN40" i="27"/>
  <c r="AC38" i="27"/>
  <c r="U38" i="27"/>
  <c r="F38" i="27"/>
  <c r="AM35" i="27"/>
  <c r="AN35" i="27"/>
  <c r="AD35" i="27"/>
  <c r="AD39" i="27"/>
  <c r="AC35" i="27"/>
  <c r="AC39" i="27"/>
  <c r="AB35" i="27"/>
  <c r="AB39" i="27"/>
  <c r="AA35" i="27"/>
  <c r="Z35" i="27"/>
  <c r="AE35" i="27"/>
  <c r="AE39" i="27"/>
  <c r="W35" i="27"/>
  <c r="Y35" i="27"/>
  <c r="Y39" i="27"/>
  <c r="V35" i="27"/>
  <c r="V39" i="27"/>
  <c r="U35" i="27"/>
  <c r="U39" i="27"/>
  <c r="T35" i="27"/>
  <c r="T39" i="27"/>
  <c r="S35" i="27"/>
  <c r="S39" i="27"/>
  <c r="R35" i="27"/>
  <c r="N35" i="27"/>
  <c r="N39" i="27"/>
  <c r="M35" i="27"/>
  <c r="M39" i="27"/>
  <c r="L35" i="27"/>
  <c r="K35" i="27"/>
  <c r="J35" i="27"/>
  <c r="F35" i="27"/>
  <c r="F39" i="27"/>
  <c r="E35" i="27"/>
  <c r="E39" i="27"/>
  <c r="D35" i="27"/>
  <c r="C35" i="27"/>
  <c r="C39" i="27"/>
  <c r="B35" i="27"/>
  <c r="B39" i="27"/>
  <c r="AM33" i="27"/>
  <c r="AN33" i="27"/>
  <c r="AL33" i="27"/>
  <c r="AK33" i="27"/>
  <c r="AJ33" i="27"/>
  <c r="AI33" i="27"/>
  <c r="AM32" i="27"/>
  <c r="AN32" i="27"/>
  <c r="AL32" i="27"/>
  <c r="AK32" i="27"/>
  <c r="AJ32" i="27"/>
  <c r="AI32" i="27"/>
  <c r="AM31" i="27"/>
  <c r="AN31" i="27"/>
  <c r="AL31" i="27"/>
  <c r="AK31" i="27"/>
  <c r="AJ31" i="27"/>
  <c r="AI31" i="27"/>
  <c r="AM30" i="27"/>
  <c r="AN30" i="27"/>
  <c r="AL30" i="27"/>
  <c r="AK30" i="27"/>
  <c r="AJ30" i="27"/>
  <c r="AI30" i="27"/>
  <c r="AM29" i="27"/>
  <c r="AN29" i="27"/>
  <c r="AL29" i="27"/>
  <c r="AK29" i="27"/>
  <c r="AJ29" i="27"/>
  <c r="AI29" i="27"/>
  <c r="AM28" i="27"/>
  <c r="AN28" i="27"/>
  <c r="AL28" i="27"/>
  <c r="AK28" i="27"/>
  <c r="AJ28" i="27"/>
  <c r="AI28" i="27"/>
  <c r="AM27" i="27"/>
  <c r="AN27" i="27"/>
  <c r="AL27" i="27"/>
  <c r="AK27" i="27"/>
  <c r="AJ27" i="27"/>
  <c r="AI27" i="27"/>
  <c r="AM26" i="27"/>
  <c r="AN26" i="27"/>
  <c r="AL26" i="27"/>
  <c r="AK26" i="27"/>
  <c r="AJ26" i="27"/>
  <c r="AI26" i="27"/>
  <c r="AM25" i="27"/>
  <c r="AN25" i="27"/>
  <c r="AL25" i="27"/>
  <c r="AK25" i="27"/>
  <c r="AJ25" i="27"/>
  <c r="AI25" i="27"/>
  <c r="AM24" i="27"/>
  <c r="AN24" i="27"/>
  <c r="AL24" i="27"/>
  <c r="AK24" i="27"/>
  <c r="AJ24" i="27"/>
  <c r="AI24" i="27"/>
  <c r="AM23" i="27"/>
  <c r="AN23" i="27"/>
  <c r="AL23" i="27"/>
  <c r="AK23" i="27"/>
  <c r="AJ23" i="27"/>
  <c r="AI23" i="27"/>
  <c r="AM22" i="27"/>
  <c r="AN22" i="27"/>
  <c r="AL22" i="27"/>
  <c r="AK22" i="27"/>
  <c r="AJ22" i="27"/>
  <c r="AI22" i="27"/>
  <c r="AM21" i="27"/>
  <c r="AN21" i="27"/>
  <c r="AL21" i="27"/>
  <c r="AK21" i="27"/>
  <c r="AJ21" i="27"/>
  <c r="AI21" i="27"/>
  <c r="AM20" i="27"/>
  <c r="AN20" i="27"/>
  <c r="AL20" i="27"/>
  <c r="AK20" i="27"/>
  <c r="AJ20" i="27"/>
  <c r="AI20" i="27"/>
  <c r="AM19" i="27"/>
  <c r="AN19" i="27"/>
  <c r="AL19" i="27"/>
  <c r="AK19" i="27"/>
  <c r="AJ19" i="27"/>
  <c r="AI19" i="27"/>
  <c r="AM18" i="27"/>
  <c r="AN18" i="27"/>
  <c r="AL18" i="27"/>
  <c r="AK18" i="27"/>
  <c r="AJ18" i="27"/>
  <c r="AI18" i="27"/>
  <c r="AM17" i="27"/>
  <c r="AN17" i="27"/>
  <c r="AL17" i="27"/>
  <c r="AK17" i="27"/>
  <c r="AJ17" i="27"/>
  <c r="AI17" i="27"/>
  <c r="AM16" i="27"/>
  <c r="AN16" i="27"/>
  <c r="AL16" i="27"/>
  <c r="AK16" i="27"/>
  <c r="AJ16" i="27"/>
  <c r="AI16" i="27"/>
  <c r="AM15" i="27"/>
  <c r="AN15" i="27"/>
  <c r="AL15" i="27"/>
  <c r="AK15" i="27"/>
  <c r="AJ15" i="27"/>
  <c r="AI15" i="27"/>
  <c r="AM14" i="27"/>
  <c r="AN14" i="27"/>
  <c r="AL14" i="27"/>
  <c r="AK14" i="27"/>
  <c r="AJ14" i="27"/>
  <c r="AI14" i="27"/>
  <c r="AD10" i="27"/>
  <c r="AD38" i="27"/>
  <c r="Z10" i="27"/>
  <c r="Z38" i="27"/>
  <c r="V10" i="27"/>
  <c r="V38" i="27"/>
  <c r="R10" i="27"/>
  <c r="R38" i="27"/>
  <c r="N10" i="27"/>
  <c r="N38" i="27"/>
  <c r="J10" i="27"/>
  <c r="J38" i="27"/>
  <c r="D10" i="27"/>
  <c r="D38" i="27"/>
  <c r="B10" i="27"/>
  <c r="B38" i="27"/>
  <c r="L8" i="26"/>
  <c r="K8" i="26"/>
  <c r="D8" i="26"/>
  <c r="D10" i="26"/>
  <c r="C8" i="26"/>
  <c r="C9" i="26"/>
  <c r="G9" i="26"/>
  <c r="I9" i="26"/>
  <c r="K9" i="26"/>
  <c r="G34" i="26"/>
  <c r="M10" i="26"/>
  <c r="M38" i="26"/>
  <c r="E10" i="26"/>
  <c r="E38" i="26"/>
  <c r="Q44" i="26"/>
  <c r="N42" i="26"/>
  <c r="N43" i="26"/>
  <c r="M42" i="26"/>
  <c r="L42" i="26"/>
  <c r="L43" i="26"/>
  <c r="K42" i="26"/>
  <c r="J42" i="26"/>
  <c r="AF41" i="26"/>
  <c r="AE41" i="26"/>
  <c r="X41" i="26"/>
  <c r="W41" i="26"/>
  <c r="P41" i="26"/>
  <c r="AL41" i="26"/>
  <c r="O41" i="26"/>
  <c r="H41" i="26"/>
  <c r="AJ41" i="26"/>
  <c r="AI41" i="26"/>
  <c r="G41" i="26"/>
  <c r="AM40" i="26"/>
  <c r="AN40" i="26"/>
  <c r="AC35" i="26"/>
  <c r="AC39" i="26"/>
  <c r="U35" i="26"/>
  <c r="U39" i="26"/>
  <c r="T35" i="26"/>
  <c r="T39" i="26"/>
  <c r="T38" i="26"/>
  <c r="F38" i="26"/>
  <c r="AM35" i="26"/>
  <c r="AN35" i="26"/>
  <c r="AD35" i="26"/>
  <c r="AD39" i="26"/>
  <c r="AB35" i="26"/>
  <c r="AA35" i="26"/>
  <c r="Z35" i="26"/>
  <c r="AF35" i="26"/>
  <c r="AF39" i="26"/>
  <c r="V35" i="26"/>
  <c r="V39" i="26"/>
  <c r="S35" i="26"/>
  <c r="S39" i="26"/>
  <c r="R35" i="26"/>
  <c r="R39" i="26"/>
  <c r="N35" i="26"/>
  <c r="N39" i="26"/>
  <c r="M35" i="26"/>
  <c r="L35" i="26"/>
  <c r="L39" i="26"/>
  <c r="K35" i="26"/>
  <c r="K39" i="26"/>
  <c r="J35" i="26"/>
  <c r="J39" i="26"/>
  <c r="F35" i="26"/>
  <c r="F39" i="26"/>
  <c r="E35" i="26"/>
  <c r="E39" i="26"/>
  <c r="D35" i="26"/>
  <c r="C35" i="26"/>
  <c r="C39" i="26"/>
  <c r="B35" i="26"/>
  <c r="AF34" i="26"/>
  <c r="AE34" i="26"/>
  <c r="X34" i="26"/>
  <c r="W34" i="26"/>
  <c r="W35" i="26"/>
  <c r="W39" i="26"/>
  <c r="P34" i="26"/>
  <c r="AK34" i="26"/>
  <c r="O34" i="26"/>
  <c r="H34" i="26"/>
  <c r="AM33" i="26"/>
  <c r="AN33" i="26"/>
  <c r="AL33" i="26"/>
  <c r="AK33" i="26"/>
  <c r="AJ33" i="26"/>
  <c r="AI33" i="26"/>
  <c r="AM32" i="26"/>
  <c r="AN32" i="26"/>
  <c r="AL32" i="26"/>
  <c r="AK32" i="26"/>
  <c r="AJ32" i="26"/>
  <c r="AI32" i="26"/>
  <c r="AM31" i="26"/>
  <c r="AN31" i="26"/>
  <c r="AL31" i="26"/>
  <c r="AK31" i="26"/>
  <c r="AJ31" i="26"/>
  <c r="AI31" i="26"/>
  <c r="AM30" i="26"/>
  <c r="AN30" i="26"/>
  <c r="AL30" i="26"/>
  <c r="AK30" i="26"/>
  <c r="AJ30" i="26"/>
  <c r="AI30" i="26"/>
  <c r="AM29" i="26"/>
  <c r="AN29" i="26"/>
  <c r="AL29" i="26"/>
  <c r="AK29" i="26"/>
  <c r="AJ29" i="26"/>
  <c r="AI29" i="26"/>
  <c r="AM28" i="26"/>
  <c r="AN28" i="26"/>
  <c r="AL28" i="26"/>
  <c r="AK28" i="26"/>
  <c r="AJ28" i="26"/>
  <c r="AI28" i="26"/>
  <c r="AM27" i="26"/>
  <c r="AN27" i="26"/>
  <c r="AL27" i="26"/>
  <c r="AK27" i="26"/>
  <c r="AJ27" i="26"/>
  <c r="AI27" i="26"/>
  <c r="AM26" i="26"/>
  <c r="AN26" i="26"/>
  <c r="AL26" i="26"/>
  <c r="AK26" i="26"/>
  <c r="AJ26" i="26"/>
  <c r="AI26" i="26"/>
  <c r="AM25" i="26"/>
  <c r="AN25" i="26"/>
  <c r="AL25" i="26"/>
  <c r="AK25" i="26"/>
  <c r="AJ25" i="26"/>
  <c r="AI25" i="26"/>
  <c r="AM24" i="26"/>
  <c r="AN24" i="26"/>
  <c r="AL24" i="26"/>
  <c r="AK24" i="26"/>
  <c r="AJ24" i="26"/>
  <c r="AI24" i="26"/>
  <c r="AM23" i="26"/>
  <c r="AN23" i="26"/>
  <c r="AL23" i="26"/>
  <c r="AK23" i="26"/>
  <c r="AJ23" i="26"/>
  <c r="AI23" i="26"/>
  <c r="AM22" i="26"/>
  <c r="AN22" i="26"/>
  <c r="AL22" i="26"/>
  <c r="AK22" i="26"/>
  <c r="AJ22" i="26"/>
  <c r="AI22" i="26"/>
  <c r="AM21" i="26"/>
  <c r="AN21" i="26"/>
  <c r="AL21" i="26"/>
  <c r="AK21" i="26"/>
  <c r="AJ21" i="26"/>
  <c r="AI21" i="26"/>
  <c r="AM20" i="26"/>
  <c r="AN20" i="26"/>
  <c r="AL20" i="26"/>
  <c r="AK20" i="26"/>
  <c r="AJ20" i="26"/>
  <c r="AI20" i="26"/>
  <c r="AM19" i="26"/>
  <c r="AN19" i="26"/>
  <c r="AL19" i="26"/>
  <c r="AK19" i="26"/>
  <c r="AJ19" i="26"/>
  <c r="AI19" i="26"/>
  <c r="AM18" i="26"/>
  <c r="AN18" i="26"/>
  <c r="AL18" i="26"/>
  <c r="AK18" i="26"/>
  <c r="AJ18" i="26"/>
  <c r="AI18" i="26"/>
  <c r="AM17" i="26"/>
  <c r="AN17" i="26"/>
  <c r="AL17" i="26"/>
  <c r="AK17" i="26"/>
  <c r="AJ17" i="26"/>
  <c r="AI17" i="26"/>
  <c r="AM16" i="26"/>
  <c r="AN16" i="26"/>
  <c r="AL16" i="26"/>
  <c r="AK16" i="26"/>
  <c r="AJ16" i="26"/>
  <c r="AI16" i="26"/>
  <c r="AM15" i="26"/>
  <c r="AN15" i="26"/>
  <c r="AL15" i="26"/>
  <c r="AK15" i="26"/>
  <c r="AJ15" i="26"/>
  <c r="AI15" i="26"/>
  <c r="AM14" i="26"/>
  <c r="AN14" i="26"/>
  <c r="AL14" i="26"/>
  <c r="AK14" i="26"/>
  <c r="AJ14" i="26"/>
  <c r="AI14" i="26"/>
  <c r="AD10" i="26"/>
  <c r="AC38" i="26"/>
  <c r="AB10" i="26"/>
  <c r="AA10" i="26"/>
  <c r="AA38" i="26"/>
  <c r="Z10" i="26"/>
  <c r="Z38" i="26"/>
  <c r="V10" i="26"/>
  <c r="V38" i="26"/>
  <c r="U38" i="26"/>
  <c r="S10" i="26"/>
  <c r="S38" i="26"/>
  <c r="R10" i="26"/>
  <c r="R38" i="26"/>
  <c r="N10" i="26"/>
  <c r="N38" i="26"/>
  <c r="J10" i="26"/>
  <c r="J38" i="26"/>
  <c r="B10" i="26"/>
  <c r="B38" i="26"/>
  <c r="AF9" i="26"/>
  <c r="AE9" i="26"/>
  <c r="AG9" i="26"/>
  <c r="W9" i="26"/>
  <c r="X9" i="26"/>
  <c r="AF8" i="26"/>
  <c r="AE8" i="26"/>
  <c r="AG8" i="26"/>
  <c r="X8" i="26"/>
  <c r="W8" i="26"/>
  <c r="Y8" i="26"/>
  <c r="K8" i="25"/>
  <c r="C8" i="25"/>
  <c r="C9" i="25"/>
  <c r="C37" i="25"/>
  <c r="M9" i="25"/>
  <c r="M37" i="25"/>
  <c r="E9" i="25"/>
  <c r="E37" i="25"/>
  <c r="R9" i="25"/>
  <c r="S9" i="25"/>
  <c r="U9" i="25"/>
  <c r="U37" i="25"/>
  <c r="V9" i="25"/>
  <c r="V37" i="25"/>
  <c r="Q43" i="25"/>
  <c r="N41" i="25"/>
  <c r="N42" i="25"/>
  <c r="M41" i="25"/>
  <c r="L41" i="25"/>
  <c r="L42" i="25"/>
  <c r="K41" i="25"/>
  <c r="O41" i="25"/>
  <c r="J41" i="25"/>
  <c r="AF40" i="25"/>
  <c r="AE40" i="25"/>
  <c r="X40" i="25"/>
  <c r="W40" i="25"/>
  <c r="P40" i="25"/>
  <c r="AK40" i="25"/>
  <c r="O40" i="25"/>
  <c r="H40" i="25"/>
  <c r="G40" i="25"/>
  <c r="AM39" i="25"/>
  <c r="AN39" i="25"/>
  <c r="T37" i="25"/>
  <c r="F37" i="25"/>
  <c r="AM34" i="25"/>
  <c r="AN34" i="25"/>
  <c r="AD34" i="25"/>
  <c r="AD38" i="25"/>
  <c r="AC34" i="25"/>
  <c r="AC38" i="25"/>
  <c r="AB34" i="25"/>
  <c r="AB38" i="25"/>
  <c r="AA34" i="25"/>
  <c r="AA38" i="25"/>
  <c r="Z34" i="25"/>
  <c r="Z38" i="25"/>
  <c r="V34" i="25"/>
  <c r="V38" i="25"/>
  <c r="U34" i="25"/>
  <c r="U38" i="25"/>
  <c r="T34" i="25"/>
  <c r="T38" i="25"/>
  <c r="S34" i="25"/>
  <c r="S38" i="25"/>
  <c r="R34" i="25"/>
  <c r="R38" i="25"/>
  <c r="N34" i="25"/>
  <c r="N38" i="25"/>
  <c r="M34" i="25"/>
  <c r="M38" i="25"/>
  <c r="L34" i="25"/>
  <c r="L38" i="25"/>
  <c r="K34" i="25"/>
  <c r="J34" i="25"/>
  <c r="J38" i="25"/>
  <c r="F34" i="25"/>
  <c r="F38" i="25"/>
  <c r="E34" i="25"/>
  <c r="E38" i="25"/>
  <c r="D34" i="25"/>
  <c r="D38" i="25"/>
  <c r="C34" i="25"/>
  <c r="C38" i="25"/>
  <c r="B34" i="25"/>
  <c r="AF33" i="25"/>
  <c r="AE33" i="25"/>
  <c r="X33" i="25"/>
  <c r="W33" i="25"/>
  <c r="W34" i="25"/>
  <c r="Y34" i="25"/>
  <c r="Y40" i="25"/>
  <c r="P33" i="25"/>
  <c r="AK33" i="25"/>
  <c r="O33" i="25"/>
  <c r="H33" i="25"/>
  <c r="G33" i="25"/>
  <c r="AM32" i="25"/>
  <c r="AN32" i="25"/>
  <c r="AL32" i="25"/>
  <c r="AK32" i="25"/>
  <c r="AJ32" i="25"/>
  <c r="AI32" i="25"/>
  <c r="AM31" i="25"/>
  <c r="AN31" i="25"/>
  <c r="AL31" i="25"/>
  <c r="AK31" i="25"/>
  <c r="AJ31" i="25"/>
  <c r="AI31" i="25"/>
  <c r="AM30" i="25"/>
  <c r="AN30" i="25"/>
  <c r="AL30" i="25"/>
  <c r="AK30" i="25"/>
  <c r="AJ30" i="25"/>
  <c r="AI30" i="25"/>
  <c r="AM29" i="25"/>
  <c r="AN29" i="25"/>
  <c r="AL29" i="25"/>
  <c r="AK29" i="25"/>
  <c r="AJ29" i="25"/>
  <c r="AI29" i="25"/>
  <c r="AM28" i="25"/>
  <c r="AN28" i="25"/>
  <c r="AL28" i="25"/>
  <c r="AK28" i="25"/>
  <c r="AJ28" i="25"/>
  <c r="AI28" i="25"/>
  <c r="AM27" i="25"/>
  <c r="AN27" i="25"/>
  <c r="AL27" i="25"/>
  <c r="AK27" i="25"/>
  <c r="AJ27" i="25"/>
  <c r="AI27" i="25"/>
  <c r="AM26" i="25"/>
  <c r="AN26" i="25"/>
  <c r="AL26" i="25"/>
  <c r="AK26" i="25"/>
  <c r="AJ26" i="25"/>
  <c r="AI26" i="25"/>
  <c r="AM25" i="25"/>
  <c r="AN25" i="25"/>
  <c r="AL25" i="25"/>
  <c r="AK25" i="25"/>
  <c r="AJ25" i="25"/>
  <c r="AI25" i="25"/>
  <c r="AM24" i="25"/>
  <c r="AN24" i="25"/>
  <c r="AL24" i="25"/>
  <c r="AK24" i="25"/>
  <c r="AJ24" i="25"/>
  <c r="AI24" i="25"/>
  <c r="AM23" i="25"/>
  <c r="AN23" i="25"/>
  <c r="AL23" i="25"/>
  <c r="AK23" i="25"/>
  <c r="AJ23" i="25"/>
  <c r="AI23" i="25"/>
  <c r="AM22" i="25"/>
  <c r="AN22" i="25"/>
  <c r="AL22" i="25"/>
  <c r="AK22" i="25"/>
  <c r="AJ22" i="25"/>
  <c r="AI22" i="25"/>
  <c r="AM21" i="25"/>
  <c r="AN21" i="25"/>
  <c r="AL21" i="25"/>
  <c r="AK21" i="25"/>
  <c r="AJ21" i="25"/>
  <c r="AI21" i="25"/>
  <c r="AM20" i="25"/>
  <c r="AN20" i="25"/>
  <c r="AL20" i="25"/>
  <c r="AK20" i="25"/>
  <c r="AJ20" i="25"/>
  <c r="AI20" i="25"/>
  <c r="AM19" i="25"/>
  <c r="AN19" i="25"/>
  <c r="AL19" i="25"/>
  <c r="AK19" i="25"/>
  <c r="AJ19" i="25"/>
  <c r="AI19" i="25"/>
  <c r="AM18" i="25"/>
  <c r="AN18" i="25"/>
  <c r="AL18" i="25"/>
  <c r="AK18" i="25"/>
  <c r="AJ18" i="25"/>
  <c r="AI18" i="25"/>
  <c r="AM17" i="25"/>
  <c r="AN17" i="25"/>
  <c r="AL17" i="25"/>
  <c r="AK17" i="25"/>
  <c r="AJ17" i="25"/>
  <c r="AI17" i="25"/>
  <c r="AM16" i="25"/>
  <c r="AN16" i="25"/>
  <c r="AL16" i="25"/>
  <c r="AK16" i="25"/>
  <c r="AJ16" i="25"/>
  <c r="AI16" i="25"/>
  <c r="AM15" i="25"/>
  <c r="AN15" i="25"/>
  <c r="AL15" i="25"/>
  <c r="AK15" i="25"/>
  <c r="AJ15" i="25"/>
  <c r="AI15" i="25"/>
  <c r="AM14" i="25"/>
  <c r="AN14" i="25"/>
  <c r="AL14" i="25"/>
  <c r="AK14" i="25"/>
  <c r="AJ14" i="25"/>
  <c r="AI14" i="25"/>
  <c r="AM13" i="25"/>
  <c r="AN13" i="25"/>
  <c r="AL13" i="25"/>
  <c r="AK13" i="25"/>
  <c r="AJ13" i="25"/>
  <c r="AI13" i="25"/>
  <c r="AD9" i="25"/>
  <c r="AD37" i="25"/>
  <c r="AC9" i="25"/>
  <c r="AC37" i="25"/>
  <c r="AB9" i="25"/>
  <c r="AA9" i="25"/>
  <c r="AA37" i="25"/>
  <c r="Z9" i="25"/>
  <c r="N9" i="25"/>
  <c r="N37" i="25"/>
  <c r="L9" i="25"/>
  <c r="L37" i="25"/>
  <c r="J9" i="25"/>
  <c r="J37" i="25"/>
  <c r="D9" i="25"/>
  <c r="D37" i="25"/>
  <c r="B9" i="25"/>
  <c r="B37" i="25"/>
  <c r="AF8" i="25"/>
  <c r="AE8" i="25"/>
  <c r="X8" i="25"/>
  <c r="W8" i="25"/>
  <c r="Y8" i="25"/>
  <c r="AF7" i="25"/>
  <c r="AE7" i="25"/>
  <c r="X7" i="25"/>
  <c r="W7" i="25"/>
  <c r="Y7" i="25"/>
  <c r="P7" i="25"/>
  <c r="O7" i="25"/>
  <c r="Q7" i="25"/>
  <c r="H7" i="25"/>
  <c r="G7" i="25"/>
  <c r="O33" i="24"/>
  <c r="O43" i="24"/>
  <c r="P33" i="24"/>
  <c r="AK33" i="24"/>
  <c r="G33" i="24"/>
  <c r="H33" i="24"/>
  <c r="B34" i="24"/>
  <c r="C34" i="24"/>
  <c r="C38" i="24"/>
  <c r="D34" i="24"/>
  <c r="D38" i="24"/>
  <c r="E34" i="24"/>
  <c r="E38" i="24"/>
  <c r="F34" i="24"/>
  <c r="F38" i="24"/>
  <c r="M9" i="24"/>
  <c r="M37" i="24"/>
  <c r="E9" i="24"/>
  <c r="E37" i="24"/>
  <c r="K8" i="24"/>
  <c r="C8" i="24"/>
  <c r="G8" i="24"/>
  <c r="AC9" i="24"/>
  <c r="AC37" i="24"/>
  <c r="U9" i="24"/>
  <c r="U37" i="24"/>
  <c r="Q43" i="24"/>
  <c r="N41" i="24"/>
  <c r="M41" i="24"/>
  <c r="L41" i="24"/>
  <c r="L42" i="24"/>
  <c r="K41" i="24"/>
  <c r="K42" i="24"/>
  <c r="O41" i="24"/>
  <c r="J41" i="24"/>
  <c r="AF40" i="24"/>
  <c r="AE40" i="24"/>
  <c r="X40" i="24"/>
  <c r="W40" i="24"/>
  <c r="P40" i="24"/>
  <c r="O40" i="24"/>
  <c r="H40" i="24"/>
  <c r="AI40" i="24"/>
  <c r="G40" i="24"/>
  <c r="AM39" i="24"/>
  <c r="AN39" i="24"/>
  <c r="T37" i="24"/>
  <c r="F37" i="24"/>
  <c r="AM34" i="24"/>
  <c r="AN34" i="24"/>
  <c r="AD34" i="24"/>
  <c r="AD38" i="24"/>
  <c r="AC34" i="24"/>
  <c r="AC38" i="24"/>
  <c r="AB34" i="24"/>
  <c r="AB38" i="24"/>
  <c r="AA34" i="24"/>
  <c r="AA38" i="24"/>
  <c r="AE34" i="24"/>
  <c r="AG34" i="24"/>
  <c r="Z34" i="24"/>
  <c r="V34" i="24"/>
  <c r="V38" i="24"/>
  <c r="U34" i="24"/>
  <c r="U38" i="24"/>
  <c r="T34" i="24"/>
  <c r="T38" i="24"/>
  <c r="S34" i="24"/>
  <c r="S38" i="24"/>
  <c r="R34" i="24"/>
  <c r="R38" i="24"/>
  <c r="N34" i="24"/>
  <c r="N38" i="24"/>
  <c r="M34" i="24"/>
  <c r="M38" i="24"/>
  <c r="L34" i="24"/>
  <c r="L38" i="24"/>
  <c r="K34" i="24"/>
  <c r="J34" i="24"/>
  <c r="P34" i="24"/>
  <c r="AF33" i="24"/>
  <c r="AE33" i="24"/>
  <c r="X33" i="24"/>
  <c r="W33" i="24"/>
  <c r="W34" i="24"/>
  <c r="Y34" i="24"/>
  <c r="AM32" i="24"/>
  <c r="AN32" i="24"/>
  <c r="AL32" i="24"/>
  <c r="AK32" i="24"/>
  <c r="AJ32" i="24"/>
  <c r="AI32" i="24"/>
  <c r="AM31" i="24"/>
  <c r="AN31" i="24"/>
  <c r="AL31" i="24"/>
  <c r="AK31" i="24"/>
  <c r="AJ31" i="24"/>
  <c r="AI31" i="24"/>
  <c r="AM30" i="24"/>
  <c r="AN30" i="24"/>
  <c r="AL30" i="24"/>
  <c r="AK30" i="24"/>
  <c r="AJ30" i="24"/>
  <c r="AI30" i="24"/>
  <c r="AM29" i="24"/>
  <c r="AN29" i="24"/>
  <c r="AL29" i="24"/>
  <c r="AK29" i="24"/>
  <c r="AJ29" i="24"/>
  <c r="AI29" i="24"/>
  <c r="AM28" i="24"/>
  <c r="AN28" i="24"/>
  <c r="AL28" i="24"/>
  <c r="AK28" i="24"/>
  <c r="AJ28" i="24"/>
  <c r="AI28" i="24"/>
  <c r="AM27" i="24"/>
  <c r="AN27" i="24"/>
  <c r="AL27" i="24"/>
  <c r="AK27" i="24"/>
  <c r="AJ27" i="24"/>
  <c r="AI27" i="24"/>
  <c r="AM26" i="24"/>
  <c r="AN26" i="24"/>
  <c r="AL26" i="24"/>
  <c r="AK26" i="24"/>
  <c r="AJ26" i="24"/>
  <c r="AI26" i="24"/>
  <c r="AM25" i="24"/>
  <c r="AN25" i="24"/>
  <c r="AL25" i="24"/>
  <c r="AK25" i="24"/>
  <c r="AJ25" i="24"/>
  <c r="AI25" i="24"/>
  <c r="AM24" i="24"/>
  <c r="AN24" i="24"/>
  <c r="AL24" i="24"/>
  <c r="AK24" i="24"/>
  <c r="AJ24" i="24"/>
  <c r="AI24" i="24"/>
  <c r="AM23" i="24"/>
  <c r="AN23" i="24"/>
  <c r="AL23" i="24"/>
  <c r="AK23" i="24"/>
  <c r="AJ23" i="24"/>
  <c r="AI23" i="24"/>
  <c r="AM22" i="24"/>
  <c r="AN22" i="24"/>
  <c r="AL22" i="24"/>
  <c r="AK22" i="24"/>
  <c r="AJ22" i="24"/>
  <c r="AI22" i="24"/>
  <c r="AM21" i="24"/>
  <c r="AN21" i="24"/>
  <c r="AL21" i="24"/>
  <c r="AK21" i="24"/>
  <c r="AJ21" i="24"/>
  <c r="AI21" i="24"/>
  <c r="AM20" i="24"/>
  <c r="AN20" i="24"/>
  <c r="AL20" i="24"/>
  <c r="AK20" i="24"/>
  <c r="AJ20" i="24"/>
  <c r="AI20" i="24"/>
  <c r="AM19" i="24"/>
  <c r="AN19" i="24"/>
  <c r="AL19" i="24"/>
  <c r="AK19" i="24"/>
  <c r="AJ19" i="24"/>
  <c r="AI19" i="24"/>
  <c r="AM18" i="24"/>
  <c r="AN18" i="24"/>
  <c r="AL18" i="24"/>
  <c r="AK18" i="24"/>
  <c r="AJ18" i="24"/>
  <c r="AI18" i="24"/>
  <c r="AM17" i="24"/>
  <c r="AN17" i="24"/>
  <c r="AL17" i="24"/>
  <c r="AK17" i="24"/>
  <c r="AJ17" i="24"/>
  <c r="AI17" i="24"/>
  <c r="AM16" i="24"/>
  <c r="AN16" i="24"/>
  <c r="AL16" i="24"/>
  <c r="AK16" i="24"/>
  <c r="AJ16" i="24"/>
  <c r="AI16" i="24"/>
  <c r="AM15" i="24"/>
  <c r="AN15" i="24"/>
  <c r="AL15" i="24"/>
  <c r="AK15" i="24"/>
  <c r="AJ15" i="24"/>
  <c r="AI15" i="24"/>
  <c r="AM14" i="24"/>
  <c r="AN14" i="24"/>
  <c r="AL14" i="24"/>
  <c r="AK14" i="24"/>
  <c r="AJ14" i="24"/>
  <c r="AI14" i="24"/>
  <c r="AM13" i="24"/>
  <c r="AN13" i="24"/>
  <c r="AL13" i="24"/>
  <c r="AK13" i="24"/>
  <c r="AJ13" i="24"/>
  <c r="AI13" i="24"/>
  <c r="AD9" i="24"/>
  <c r="AD37" i="24"/>
  <c r="AB9" i="24"/>
  <c r="AA9" i="24"/>
  <c r="AA37" i="24"/>
  <c r="Z9" i="24"/>
  <c r="Z37" i="24"/>
  <c r="V9" i="24"/>
  <c r="V37" i="24"/>
  <c r="S9" i="24"/>
  <c r="S37" i="24"/>
  <c r="R9" i="24"/>
  <c r="R37" i="24"/>
  <c r="N9" i="24"/>
  <c r="N37" i="24"/>
  <c r="L9" i="24"/>
  <c r="L37" i="24"/>
  <c r="J9" i="24"/>
  <c r="J37" i="24"/>
  <c r="D9" i="24"/>
  <c r="D37" i="24"/>
  <c r="D43" i="24"/>
  <c r="B9" i="24"/>
  <c r="H9" i="24"/>
  <c r="H37" i="24"/>
  <c r="AF8" i="24"/>
  <c r="AE8" i="24"/>
  <c r="AG8" i="24"/>
  <c r="X8" i="24"/>
  <c r="W8" i="24"/>
  <c r="Y8" i="24"/>
  <c r="AF7" i="24"/>
  <c r="AL7" i="24"/>
  <c r="AE7" i="24"/>
  <c r="X7" i="24"/>
  <c r="AJ7" i="24"/>
  <c r="W7" i="24"/>
  <c r="W9" i="24"/>
  <c r="Y7" i="24"/>
  <c r="P7" i="24"/>
  <c r="AK7" i="24"/>
  <c r="O7" i="24"/>
  <c r="Q7" i="24"/>
  <c r="H7" i="24"/>
  <c r="AI7" i="24"/>
  <c r="G7" i="24"/>
  <c r="G9" i="24"/>
  <c r="P8" i="27"/>
  <c r="AL8" i="27"/>
  <c r="O8" i="27"/>
  <c r="K39" i="27"/>
  <c r="L10" i="27"/>
  <c r="L38" i="27"/>
  <c r="J43" i="27"/>
  <c r="T10" i="28"/>
  <c r="T38" i="28"/>
  <c r="AF8" i="28"/>
  <c r="AL8" i="28"/>
  <c r="AE8" i="28"/>
  <c r="L10" i="26"/>
  <c r="L38" i="26"/>
  <c r="Z39" i="26"/>
  <c r="W9" i="27"/>
  <c r="Y9" i="27"/>
  <c r="AA39" i="26"/>
  <c r="K38" i="24"/>
  <c r="P9" i="27"/>
  <c r="S37" i="25"/>
  <c r="AB39" i="28"/>
  <c r="H9" i="26"/>
  <c r="J42" i="24"/>
  <c r="L43" i="27"/>
  <c r="Z38" i="28"/>
  <c r="G34" i="24"/>
  <c r="I34" i="24"/>
  <c r="AO34" i="27"/>
  <c r="Z37" i="25"/>
  <c r="AA8" i="27"/>
  <c r="AB10" i="27"/>
  <c r="AB38" i="27"/>
  <c r="Q34" i="27"/>
  <c r="Q44" i="27"/>
  <c r="P8" i="24"/>
  <c r="AG7" i="25"/>
  <c r="W39" i="27"/>
  <c r="AI41" i="27"/>
  <c r="B38" i="25"/>
  <c r="X34" i="25"/>
  <c r="X38" i="25"/>
  <c r="K10" i="27"/>
  <c r="K38" i="27"/>
  <c r="AK41" i="28"/>
  <c r="D39" i="26"/>
  <c r="G35" i="26"/>
  <c r="I35" i="26"/>
  <c r="G44" i="26"/>
  <c r="N42" i="24"/>
  <c r="AD38" i="26"/>
  <c r="J43" i="26"/>
  <c r="W8" i="28"/>
  <c r="Y8" i="28"/>
  <c r="R38" i="28"/>
  <c r="N39" i="28"/>
  <c r="G35" i="28"/>
  <c r="I35" i="28"/>
  <c r="O8" i="26"/>
  <c r="P8" i="26"/>
  <c r="AL8" i="26"/>
  <c r="I8" i="28"/>
  <c r="O9" i="28"/>
  <c r="R2" i="28"/>
  <c r="P9" i="28"/>
  <c r="Y35" i="26"/>
  <c r="AE35" i="28"/>
  <c r="AE39" i="28"/>
  <c r="AB38" i="26"/>
  <c r="G8" i="25"/>
  <c r="I8" i="25"/>
  <c r="O44" i="27"/>
  <c r="R37" i="25"/>
  <c r="AF8" i="27"/>
  <c r="R2" i="27"/>
  <c r="H8" i="25"/>
  <c r="X10" i="26"/>
  <c r="X38" i="26"/>
  <c r="G9" i="27"/>
  <c r="I9" i="27"/>
  <c r="B37" i="24"/>
  <c r="C9" i="24"/>
  <c r="C37" i="24"/>
  <c r="K38" i="25"/>
  <c r="P42" i="26"/>
  <c r="O43" i="27"/>
  <c r="P43" i="27"/>
  <c r="D38" i="26"/>
  <c r="D44" i="26"/>
  <c r="AF35" i="28"/>
  <c r="AF39" i="28"/>
  <c r="P35" i="28"/>
  <c r="H8" i="24"/>
  <c r="Q8" i="27"/>
  <c r="Q10" i="27"/>
  <c r="O10" i="27"/>
  <c r="O38" i="27"/>
  <c r="AL40" i="24"/>
  <c r="AK40" i="24"/>
  <c r="K9" i="24"/>
  <c r="K37" i="24"/>
  <c r="O8" i="24"/>
  <c r="O9" i="24"/>
  <c r="M39" i="26"/>
  <c r="Z39" i="27"/>
  <c r="H34" i="25"/>
  <c r="AI34" i="25"/>
  <c r="L39" i="27"/>
  <c r="AK35" i="28"/>
  <c r="H8" i="26"/>
  <c r="AJ8" i="26"/>
  <c r="G8" i="26"/>
  <c r="G10" i="26"/>
  <c r="G38" i="26"/>
  <c r="C10" i="26"/>
  <c r="C38" i="26"/>
  <c r="AI41" i="28"/>
  <c r="AG8" i="25"/>
  <c r="AE9" i="25"/>
  <c r="AG9" i="25"/>
  <c r="J42" i="25"/>
  <c r="P41" i="25"/>
  <c r="O34" i="24"/>
  <c r="O38" i="24"/>
  <c r="W9" i="25"/>
  <c r="B39" i="26"/>
  <c r="H35" i="26"/>
  <c r="O42" i="26"/>
  <c r="K43" i="26"/>
  <c r="O43" i="26"/>
  <c r="C10" i="27"/>
  <c r="D44" i="27"/>
  <c r="D39" i="27"/>
  <c r="H35" i="27"/>
  <c r="AI35" i="27"/>
  <c r="Y39" i="26"/>
  <c r="AB37" i="24"/>
  <c r="D39" i="28"/>
  <c r="AE34" i="25"/>
  <c r="AE38" i="25"/>
  <c r="AE10" i="26"/>
  <c r="AG10" i="26"/>
  <c r="AG38" i="26"/>
  <c r="AB39" i="26"/>
  <c r="AE35" i="26"/>
  <c r="AG35" i="26"/>
  <c r="J39" i="27"/>
  <c r="O35" i="27"/>
  <c r="Q35" i="27"/>
  <c r="Q39" i="27"/>
  <c r="AE9" i="27"/>
  <c r="AG9" i="27"/>
  <c r="H38" i="25"/>
  <c r="O35" i="26"/>
  <c r="O39" i="26"/>
  <c r="AG7" i="24"/>
  <c r="P42" i="27"/>
  <c r="P39" i="28"/>
  <c r="P35" i="26"/>
  <c r="AK35" i="26"/>
  <c r="AF10" i="26"/>
  <c r="AF38" i="26"/>
  <c r="AB37" i="25"/>
  <c r="AF9" i="25"/>
  <c r="AF37" i="25"/>
  <c r="Q34" i="24"/>
  <c r="Q38" i="24"/>
  <c r="O39" i="27"/>
  <c r="H10" i="26"/>
  <c r="H38" i="26"/>
  <c r="AI8" i="26"/>
  <c r="C38" i="27"/>
  <c r="H10" i="27"/>
  <c r="H38" i="27"/>
  <c r="Y9" i="25"/>
  <c r="Y37" i="25"/>
  <c r="W37" i="25"/>
  <c r="H9" i="28"/>
  <c r="Q8" i="24"/>
  <c r="AL7" i="25"/>
  <c r="AK7" i="25"/>
  <c r="S8" i="27"/>
  <c r="X8" i="27"/>
  <c r="T10" i="27"/>
  <c r="T38" i="27"/>
  <c r="C38" i="28"/>
  <c r="Y38" i="25"/>
  <c r="Q9" i="24"/>
  <c r="Q37" i="24"/>
  <c r="O37" i="24"/>
  <c r="O8" i="25"/>
  <c r="Q8" i="25"/>
  <c r="K9" i="25"/>
  <c r="G9" i="25"/>
  <c r="G37" i="25"/>
  <c r="I7" i="25"/>
  <c r="AK8" i="28"/>
  <c r="AG34" i="25"/>
  <c r="AJ7" i="25"/>
  <c r="AI7" i="25"/>
  <c r="H8" i="27"/>
  <c r="G8" i="27"/>
  <c r="S10" i="27"/>
  <c r="S38" i="27"/>
  <c r="P39" i="26"/>
  <c r="H39" i="27"/>
  <c r="AL40" i="25"/>
  <c r="P34" i="25"/>
  <c r="AJ40" i="24"/>
  <c r="R39" i="27"/>
  <c r="AA39" i="27"/>
  <c r="AL41" i="27"/>
  <c r="O42" i="27"/>
  <c r="P43" i="26"/>
  <c r="O9" i="26"/>
  <c r="P9" i="26"/>
  <c r="W8" i="27"/>
  <c r="AL35" i="26"/>
  <c r="P35" i="27"/>
  <c r="O44" i="28"/>
  <c r="AG35" i="28"/>
  <c r="AG41" i="28"/>
  <c r="D43" i="25"/>
  <c r="P8" i="25"/>
  <c r="AA10" i="28"/>
  <c r="H34" i="24"/>
  <c r="B38" i="24"/>
  <c r="B39" i="28"/>
  <c r="O39" i="28"/>
  <c r="Q35" i="28"/>
  <c r="J43" i="28"/>
  <c r="H39" i="26"/>
  <c r="AF34" i="25"/>
  <c r="AF38" i="25"/>
  <c r="AE38" i="24"/>
  <c r="K10" i="26"/>
  <c r="K38" i="26"/>
  <c r="AE9" i="28"/>
  <c r="AG9" i="28"/>
  <c r="G34" i="25"/>
  <c r="G38" i="25"/>
  <c r="G9" i="28"/>
  <c r="O10" i="28"/>
  <c r="O38" i="28"/>
  <c r="AI35" i="26"/>
  <c r="I8" i="26"/>
  <c r="I10" i="26"/>
  <c r="I38" i="26"/>
  <c r="AJ34" i="25"/>
  <c r="Q8" i="26"/>
  <c r="Y9" i="26"/>
  <c r="AE8" i="27"/>
  <c r="AA10" i="27"/>
  <c r="AA38" i="27"/>
  <c r="AE38" i="26"/>
  <c r="Q9" i="28"/>
  <c r="Q10" i="28"/>
  <c r="P10" i="28"/>
  <c r="P38" i="28"/>
  <c r="AL35" i="28"/>
  <c r="I35" i="27"/>
  <c r="AG8" i="28"/>
  <c r="AF34" i="24"/>
  <c r="AF38" i="24"/>
  <c r="Z38" i="24"/>
  <c r="H9" i="25"/>
  <c r="H37" i="25"/>
  <c r="O34" i="25"/>
  <c r="Q34" i="25"/>
  <c r="AJ40" i="25"/>
  <c r="AI40" i="25"/>
  <c r="K42" i="25"/>
  <c r="G39" i="26"/>
  <c r="AA38" i="28"/>
  <c r="AF10" i="28"/>
  <c r="AF38" i="28"/>
  <c r="AK35" i="27"/>
  <c r="P39" i="27"/>
  <c r="P38" i="25"/>
  <c r="AL34" i="25"/>
  <c r="AK34" i="25"/>
  <c r="G10" i="27"/>
  <c r="G38" i="27"/>
  <c r="I8" i="27"/>
  <c r="I10" i="27"/>
  <c r="O38" i="25"/>
  <c r="Q39" i="28"/>
  <c r="AJ8" i="27"/>
  <c r="AI8" i="27"/>
  <c r="I9" i="25"/>
  <c r="I37" i="25"/>
  <c r="Q40" i="24"/>
  <c r="AG8" i="27"/>
  <c r="AE10" i="27"/>
  <c r="AG10" i="27"/>
  <c r="AG38" i="27"/>
  <c r="O43" i="25"/>
  <c r="O42" i="25"/>
  <c r="P42" i="25"/>
  <c r="R2" i="26"/>
  <c r="O44" i="26"/>
  <c r="Q9" i="26"/>
  <c r="Q10" i="26"/>
  <c r="Q38" i="26"/>
  <c r="I39" i="27"/>
  <c r="G44" i="28"/>
  <c r="I9" i="28"/>
  <c r="I10" i="28"/>
  <c r="I38" i="28"/>
  <c r="G10" i="28"/>
  <c r="G38" i="28"/>
  <c r="O10" i="26"/>
  <c r="O38" i="26"/>
  <c r="AE10" i="28"/>
  <c r="AG39" i="28"/>
  <c r="Y8" i="27"/>
  <c r="W10" i="27"/>
  <c r="W38" i="27"/>
  <c r="AG38" i="25"/>
  <c r="K37" i="25"/>
  <c r="AE38" i="27"/>
  <c r="AG10" i="28"/>
  <c r="AE38" i="28"/>
  <c r="Y10" i="27"/>
  <c r="Y41" i="27"/>
  <c r="AG38" i="28"/>
  <c r="Y38" i="27"/>
  <c r="Q41" i="28"/>
  <c r="Q38" i="28"/>
  <c r="AL34" i="24"/>
  <c r="AK34" i="24"/>
  <c r="P38" i="24"/>
  <c r="S38" i="28"/>
  <c r="X10" i="28"/>
  <c r="X38" i="28"/>
  <c r="Q38" i="27"/>
  <c r="Q41" i="27"/>
  <c r="P42" i="24"/>
  <c r="Q38" i="25"/>
  <c r="G37" i="24"/>
  <c r="I9" i="24"/>
  <c r="I37" i="24"/>
  <c r="AG39" i="26"/>
  <c r="AG41" i="26"/>
  <c r="I38" i="24"/>
  <c r="I40" i="24"/>
  <c r="AG38" i="24"/>
  <c r="I38" i="27"/>
  <c r="I41" i="27"/>
  <c r="AG37" i="25"/>
  <c r="AG40" i="25"/>
  <c r="I39" i="28"/>
  <c r="I41" i="28"/>
  <c r="I39" i="26"/>
  <c r="I41" i="26"/>
  <c r="W37" i="24"/>
  <c r="Y9" i="24"/>
  <c r="Y37" i="24"/>
  <c r="Y38" i="24"/>
  <c r="O42" i="24"/>
  <c r="I8" i="24"/>
  <c r="G43" i="24"/>
  <c r="O9" i="25"/>
  <c r="I34" i="25"/>
  <c r="AI34" i="24"/>
  <c r="P10" i="26"/>
  <c r="P38" i="26"/>
  <c r="W10" i="26"/>
  <c r="G43" i="25"/>
  <c r="H35" i="28"/>
  <c r="AE9" i="24"/>
  <c r="AK41" i="26"/>
  <c r="Q35" i="26"/>
  <c r="W38" i="25"/>
  <c r="AK8" i="27"/>
  <c r="P9" i="24"/>
  <c r="P37" i="24"/>
  <c r="G39" i="28"/>
  <c r="I7" i="24"/>
  <c r="J38" i="24"/>
  <c r="Y35" i="28"/>
  <c r="W39" i="28"/>
  <c r="X10" i="27"/>
  <c r="X38" i="27"/>
  <c r="R2" i="25"/>
  <c r="H38" i="24"/>
  <c r="W38" i="24"/>
  <c r="AF9" i="24"/>
  <c r="AF37" i="24"/>
  <c r="AE37" i="25"/>
  <c r="X35" i="27"/>
  <c r="AE39" i="26"/>
  <c r="H10" i="28"/>
  <c r="H38" i="28"/>
  <c r="W10" i="28"/>
  <c r="G38" i="24"/>
  <c r="AG35" i="27"/>
  <c r="X8" i="28"/>
  <c r="AJ8" i="28"/>
  <c r="P10" i="27"/>
  <c r="P38" i="27"/>
  <c r="K43" i="28"/>
  <c r="O43" i="28"/>
  <c r="O42" i="28"/>
  <c r="P9" i="25"/>
  <c r="P37" i="25"/>
  <c r="AF10" i="27"/>
  <c r="AF38" i="27"/>
  <c r="X9" i="24"/>
  <c r="X37" i="24"/>
  <c r="X34" i="24"/>
  <c r="X38" i="24"/>
  <c r="P41" i="24"/>
  <c r="P42" i="28"/>
  <c r="X35" i="28"/>
  <c r="X39" i="28"/>
  <c r="AF35" i="27"/>
  <c r="AK8" i="26"/>
  <c r="X9" i="25"/>
  <c r="X37" i="25"/>
  <c r="X35" i="26"/>
  <c r="H39" i="28"/>
  <c r="AI35" i="28"/>
  <c r="AJ35" i="28"/>
  <c r="AF39" i="27"/>
  <c r="AL35" i="27"/>
  <c r="AG39" i="27"/>
  <c r="AG41" i="27"/>
  <c r="Q39" i="26"/>
  <c r="Q41" i="26"/>
  <c r="I38" i="25"/>
  <c r="I40" i="25"/>
  <c r="P43" i="28"/>
  <c r="X39" i="26"/>
  <c r="AJ35" i="26"/>
  <c r="AJ35" i="27"/>
  <c r="X39" i="27"/>
  <c r="Y39" i="28"/>
  <c r="Y10" i="26"/>
  <c r="W38" i="26"/>
  <c r="Q9" i="25"/>
  <c r="O37" i="25"/>
  <c r="W38" i="28"/>
  <c r="Y10" i="28"/>
  <c r="Y38" i="28"/>
  <c r="AE37" i="24"/>
  <c r="AG9" i="24"/>
  <c r="Y40" i="24"/>
  <c r="AJ34" i="24"/>
  <c r="Y41" i="26"/>
  <c r="Y38" i="26"/>
  <c r="AG37" i="24"/>
  <c r="AG40" i="24"/>
  <c r="Q37" i="25"/>
  <c r="Q40" i="25"/>
  <c r="Y41" i="28"/>
</calcChain>
</file>

<file path=xl/sharedStrings.xml><?xml version="1.0" encoding="utf-8"?>
<sst xmlns="http://schemas.openxmlformats.org/spreadsheetml/2006/main" count="459" uniqueCount="102">
  <si>
    <t>Điện Nhận</t>
  </si>
  <si>
    <t>TT%</t>
  </si>
  <si>
    <t>ĐTP</t>
  </si>
  <si>
    <t>Tổn Thất</t>
  </si>
  <si>
    <t>Giao Ngay_EVN</t>
  </si>
  <si>
    <t>Điện Giao</t>
  </si>
  <si>
    <t>Lũy Kế 8 Tháng 2014</t>
  </si>
  <si>
    <t>Lũy Kế 9 Tháng 2014</t>
  </si>
  <si>
    <t>Tháng 10/2014</t>
  </si>
  <si>
    <t>Lũy Kế 10 Tháng 2014</t>
  </si>
  <si>
    <t>Tháng 11/2014</t>
  </si>
  <si>
    <t>Lũy Kế 11 Tháng 2014</t>
  </si>
  <si>
    <t>Tháng 12/2014</t>
  </si>
  <si>
    <t>Lũy Kế 12 Tháng 2014</t>
  </si>
  <si>
    <t>Cty Điện Lực</t>
  </si>
  <si>
    <t>KH TT</t>
  </si>
  <si>
    <t>So Sánh Tháng</t>
  </si>
  <si>
    <t>So Sánh LK</t>
  </si>
  <si>
    <t>SSTN</t>
  </si>
  <si>
    <t>Giao Ngay_Cty</t>
  </si>
  <si>
    <t>%</t>
  </si>
  <si>
    <t>KH</t>
  </si>
  <si>
    <t>CK</t>
  </si>
  <si>
    <t>kWh</t>
  </si>
  <si>
    <t>Bình Phước</t>
  </si>
  <si>
    <t>Bình Thuận</t>
  </si>
  <si>
    <t>Lâm Đồng</t>
  </si>
  <si>
    <t>Bình Dương</t>
  </si>
  <si>
    <t>Tây Ninh</t>
  </si>
  <si>
    <t>Long An</t>
  </si>
  <si>
    <t>Đồng Tháp</t>
  </si>
  <si>
    <t>Tiền Giang</t>
  </si>
  <si>
    <t>Bến Tre</t>
  </si>
  <si>
    <t>Vĩnh Long</t>
  </si>
  <si>
    <t>Cần Thơ</t>
  </si>
  <si>
    <t>An Giang</t>
  </si>
  <si>
    <t>Kiên Giang</t>
  </si>
  <si>
    <t>Cà Mau</t>
  </si>
  <si>
    <t>Vũng Tàu</t>
  </si>
  <si>
    <t>Trà Vinh</t>
  </si>
  <si>
    <t>Sóc Trăng</t>
  </si>
  <si>
    <t>Ninh Thuận</t>
  </si>
  <si>
    <t>Bạc Liêu</t>
  </si>
  <si>
    <t>Hậu Giang</t>
  </si>
  <si>
    <t>Đồng Nai</t>
  </si>
  <si>
    <t>EVNSPC</t>
  </si>
  <si>
    <t>T12</t>
  </si>
  <si>
    <t>A-Hệ Thống 110kV</t>
  </si>
  <si>
    <t>CTLĐCTMN</t>
  </si>
  <si>
    <t>Tổng tổn thất 110kV</t>
  </si>
  <si>
    <t>B-Hệ Thống Phân Phối</t>
  </si>
  <si>
    <t>Tổng tổn thất phân phối</t>
  </si>
  <si>
    <t>C-Tổng Hợp</t>
  </si>
  <si>
    <t>TT% quy về ĐN SPC</t>
  </si>
  <si>
    <t xml:space="preserve"> -Hệ Thống 110kV</t>
  </si>
  <si>
    <t xml:space="preserve"> -Hệ Thống Phân Phối</t>
  </si>
  <si>
    <t xml:space="preserve">  VP-EVNSPC</t>
  </si>
  <si>
    <t>TTDN</t>
  </si>
  <si>
    <t>Tháng 8/2014</t>
  </si>
  <si>
    <t>Tháng 08/2015</t>
  </si>
  <si>
    <t>Lũy Kế 8 Tháng 2015</t>
  </si>
  <si>
    <t>BÁO CÁO TỔN THẤT THÁNG 08/2015</t>
  </si>
  <si>
    <t>Tháng 09/2015</t>
  </si>
  <si>
    <t>Lũy Kế 9 Tháng 2015</t>
  </si>
  <si>
    <t>Tháng 9/2014</t>
  </si>
  <si>
    <t>BÁO CÁO TỔN THẤT THÁNG 09/2015</t>
  </si>
  <si>
    <t>BÁO CÁO TỔN THẤT THÁNG 10/2015</t>
  </si>
  <si>
    <t>Tháng 10/2015</t>
  </si>
  <si>
    <t>Lũy Kế 10 Tháng 2015</t>
  </si>
  <si>
    <t>Tổng 110kV</t>
  </si>
  <si>
    <t>Tổng phân phối</t>
  </si>
  <si>
    <t>Truyền tải hộ</t>
  </si>
  <si>
    <t>Thương Phẩm</t>
  </si>
  <si>
    <t>Điện Giao Ngay</t>
  </si>
  <si>
    <t>SPC</t>
  </si>
  <si>
    <t>EVN</t>
  </si>
  <si>
    <t>Tháng 11/2015</t>
  </si>
  <si>
    <t>Lũy Kế 11 Tháng 2015</t>
  </si>
  <si>
    <t>BÁO CÁO TỔN THẤT THÁNG 11/2015</t>
  </si>
  <si>
    <t>BÁO CÁO TỔN THẤT THÁNG 12/2015</t>
  </si>
  <si>
    <t>Tháng 12/2015</t>
  </si>
  <si>
    <t>Lũy Kế 12 Tháng 2015</t>
  </si>
  <si>
    <t>Điện lực</t>
  </si>
  <si>
    <t>Điện Lực Đà Lạt</t>
  </si>
  <si>
    <t>Điện Lực Bảo Lộc</t>
  </si>
  <si>
    <t>Điện Lực Đơn Dương</t>
  </si>
  <si>
    <t>Điện Lực Di Linh</t>
  </si>
  <si>
    <t>Điện Lực Đức Trọng</t>
  </si>
  <si>
    <t>Điện Lực Lâm Hà</t>
  </si>
  <si>
    <t>Điện lực Đạ Huoai</t>
  </si>
  <si>
    <t>Điện lực Đạ Tẻh</t>
  </si>
  <si>
    <t>Điện Lực Cát Tiên</t>
  </si>
  <si>
    <t>Điện Lực Bảo Lâm</t>
  </si>
  <si>
    <t>Điện Lực Lạc Dương</t>
  </si>
  <si>
    <t>Điện Lực Đam Rông</t>
  </si>
  <si>
    <t>Tổng cộng</t>
  </si>
  <si>
    <t>Stt</t>
  </si>
  <si>
    <t>So sánh KH</t>
  </si>
  <si>
    <t>So sánh cùng kỳ</t>
  </si>
  <si>
    <t>KH 2025</t>
  </si>
  <si>
    <t>Lũy kế 6T/2024</t>
  </si>
  <si>
    <t>Lũy kế 6T/2025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</si>
</sst>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9" formatCode="_-* #,##0.00\ _₫_-;\-* #,##0.00\ _₫_-;_-* &quot;-&quot;??\ _₫_-;_-@_-"/>
    <numFmt numFmtId="188" formatCode="#\ ###\ ###\ ###"/>
    <numFmt numFmtId="200" formatCode="#\ ###\ ###"/>
  </numFmts>
  <fonts count="2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8"/>
      <color rgb="FFFF0000"/>
      <name val="Times New Roman"/>
      <family val="1"/>
    </font>
    <font>
      <sz val="8"/>
      <color rgb="FF0066FF"/>
      <name val="Times New Roman"/>
      <family val="1"/>
    </font>
    <font>
      <sz val="8"/>
      <color rgb="FF0066FF"/>
      <name val="Arial"/>
      <family val="2"/>
    </font>
    <font>
      <b/>
      <sz val="8"/>
      <color rgb="FF0066FF"/>
      <name val="Times New Roman"/>
      <family val="1"/>
    </font>
    <font>
      <b/>
      <sz val="8"/>
      <color rgb="FF0066FF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179" fontId="9" fillId="0" borderId="0" applyFont="0" applyFill="0" applyBorder="0" applyAlignment="0" applyProtection="0"/>
    <xf numFmtId="0" fontId="13" fillId="0" borderId="0"/>
    <xf numFmtId="0" fontId="8" fillId="0" borderId="0"/>
    <xf numFmtId="9" fontId="10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0" xfId="0" applyFont="1"/>
    <xf numFmtId="188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188" fontId="6" fillId="0" borderId="1" xfId="0" applyNumberFormat="1" applyFont="1" applyBorder="1"/>
    <xf numFmtId="188" fontId="2" fillId="0" borderId="1" xfId="0" applyNumberFormat="1" applyFont="1" applyBorder="1"/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2" fontId="1" fillId="0" borderId="0" xfId="0" applyNumberFormat="1" applyFont="1" applyAlignment="1">
      <alignment horizontal="centerContinuous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Continuous" vertical="center"/>
    </xf>
    <xf numFmtId="2" fontId="1" fillId="0" borderId="1" xfId="0" applyNumberFormat="1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188" fontId="1" fillId="0" borderId="2" xfId="0" applyNumberFormat="1" applyFont="1" applyBorder="1"/>
    <xf numFmtId="0" fontId="7" fillId="0" borderId="1" xfId="0" applyFont="1" applyBorder="1"/>
    <xf numFmtId="0" fontId="1" fillId="0" borderId="1" xfId="0" applyFont="1" applyBorder="1"/>
    <xf numFmtId="2" fontId="7" fillId="0" borderId="1" xfId="0" applyNumberFormat="1" applyFont="1" applyBorder="1"/>
    <xf numFmtId="2" fontId="14" fillId="0" borderId="1" xfId="0" applyNumberFormat="1" applyFont="1" applyBorder="1"/>
    <xf numFmtId="0" fontId="4" fillId="0" borderId="1" xfId="0" applyFont="1" applyBorder="1"/>
    <xf numFmtId="0" fontId="3" fillId="0" borderId="3" xfId="0" applyFont="1" applyBorder="1"/>
    <xf numFmtId="188" fontId="1" fillId="0" borderId="4" xfId="0" applyNumberFormat="1" applyFont="1" applyBorder="1"/>
    <xf numFmtId="188" fontId="1" fillId="0" borderId="5" xfId="0" applyNumberFormat="1" applyFont="1" applyBorder="1"/>
    <xf numFmtId="2" fontId="2" fillId="0" borderId="4" xfId="0" applyNumberFormat="1" applyFont="1" applyBorder="1" applyAlignment="1">
      <alignment horizontal="right"/>
    </xf>
    <xf numFmtId="2" fontId="2" fillId="0" borderId="4" xfId="0" applyNumberFormat="1" applyFont="1" applyBorder="1"/>
    <xf numFmtId="2" fontId="1" fillId="0" borderId="4" xfId="0" applyNumberFormat="1" applyFont="1" applyBorder="1"/>
    <xf numFmtId="2" fontId="1" fillId="0" borderId="6" xfId="0" applyNumberFormat="1" applyFont="1" applyBorder="1"/>
    <xf numFmtId="188" fontId="1" fillId="0" borderId="0" xfId="0" applyNumberFormat="1" applyFont="1"/>
    <xf numFmtId="200" fontId="1" fillId="0" borderId="0" xfId="0" applyNumberFormat="1" applyFont="1"/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188" fontId="2" fillId="0" borderId="2" xfId="0" applyNumberFormat="1" applyFont="1" applyBorder="1"/>
    <xf numFmtId="0" fontId="5" fillId="0" borderId="1" xfId="0" applyFont="1" applyBorder="1"/>
    <xf numFmtId="0" fontId="2" fillId="0" borderId="0" xfId="0" applyFont="1"/>
    <xf numFmtId="2" fontId="2" fillId="0" borderId="0" xfId="0" applyNumberFormat="1" applyFont="1"/>
    <xf numFmtId="0" fontId="15" fillId="0" borderId="1" xfId="0" applyFont="1" applyBorder="1"/>
    <xf numFmtId="188" fontId="14" fillId="0" borderId="1" xfId="0" applyNumberFormat="1" applyFont="1" applyBorder="1"/>
    <xf numFmtId="2" fontId="14" fillId="0" borderId="1" xfId="0" applyNumberFormat="1" applyFont="1" applyBorder="1"/>
    <xf numFmtId="0" fontId="14" fillId="0" borderId="1" xfId="0" applyFont="1" applyBorder="1"/>
    <xf numFmtId="188" fontId="14" fillId="0" borderId="2" xfId="0" applyNumberFormat="1" applyFont="1" applyBorder="1"/>
    <xf numFmtId="0" fontId="14" fillId="0" borderId="1" xfId="0" applyFont="1" applyBorder="1"/>
    <xf numFmtId="0" fontId="14" fillId="0" borderId="0" xfId="0" applyFont="1"/>
    <xf numFmtId="2" fontId="14" fillId="0" borderId="0" xfId="0" applyNumberFormat="1" applyFont="1"/>
    <xf numFmtId="0" fontId="16" fillId="0" borderId="1" xfId="0" applyFont="1" applyBorder="1"/>
    <xf numFmtId="188" fontId="17" fillId="0" borderId="1" xfId="0" applyNumberFormat="1" applyFont="1" applyBorder="1"/>
    <xf numFmtId="2" fontId="17" fillId="0" borderId="1" xfId="0" applyNumberFormat="1" applyFont="1" applyBorder="1"/>
    <xf numFmtId="2" fontId="17" fillId="0" borderId="1" xfId="0" applyNumberFormat="1" applyFont="1" applyBorder="1"/>
    <xf numFmtId="188" fontId="17" fillId="0" borderId="2" xfId="0" applyNumberFormat="1" applyFont="1" applyBorder="1"/>
    <xf numFmtId="0" fontId="17" fillId="0" borderId="0" xfId="0" applyFont="1"/>
    <xf numFmtId="2" fontId="17" fillId="0" borderId="0" xfId="0" applyNumberFormat="1" applyFont="1"/>
    <xf numFmtId="0" fontId="18" fillId="0" borderId="1" xfId="0" applyFont="1" applyBorder="1"/>
    <xf numFmtId="188" fontId="19" fillId="0" borderId="1" xfId="0" applyNumberFormat="1" applyFont="1" applyBorder="1"/>
    <xf numFmtId="2" fontId="19" fillId="0" borderId="1" xfId="0" applyNumberFormat="1" applyFont="1" applyBorder="1"/>
    <xf numFmtId="2" fontId="19" fillId="0" borderId="1" xfId="0" applyNumberFormat="1" applyFont="1" applyBorder="1"/>
    <xf numFmtId="188" fontId="19" fillId="0" borderId="2" xfId="0" applyNumberFormat="1" applyFont="1" applyBorder="1"/>
    <xf numFmtId="0" fontId="19" fillId="0" borderId="0" xfId="0" applyFont="1"/>
    <xf numFmtId="2" fontId="19" fillId="0" borderId="0" xfId="0" applyNumberFormat="1" applyFont="1"/>
    <xf numFmtId="188" fontId="2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2" fontId="12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8">
    <cellStyle name="Comma 2" xfId="1" xr:uid="{B812DDE5-B7D8-46DA-B273-F24ED4A7A35E}"/>
    <cellStyle name="Comma 2 2" xfId="2" xr:uid="{571D7AAE-B6FB-4035-841B-96705ADD2A3C}"/>
    <cellStyle name="Comma 3" xfId="3" xr:uid="{35AA3D50-CA9D-456A-AB32-22991DE747A0}"/>
    <cellStyle name="Normal" xfId="0" builtinId="0"/>
    <cellStyle name="Normal 2" xfId="4" xr:uid="{2E6D25C3-7D27-45CA-8C7B-0450F9D4D14C}"/>
    <cellStyle name="Normal 3" xfId="5" xr:uid="{923AF7F8-0683-415F-B20B-41B15CE99B5C}"/>
    <cellStyle name="Percent 2" xfId="6" xr:uid="{0300AB0E-E4C6-4B92-AFE8-3EEB73480028}"/>
    <cellStyle name="Percent 2 2" xfId="7" xr:uid="{E0E4B5E6-7331-4C55-80DE-B19AD4637D8E}"/>
  </cellStyles>
  <dxfs count="381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/>
        <strike val="0"/>
        <condense val="0"/>
        <extend val="0"/>
        <color indexed="10"/>
      </font>
    </dxf>
    <dxf>
      <font>
        <b val="0"/>
        <i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BF353-5FF6-4D15-A0CA-DEAEC09F15A7}">
  <dimension ref="A1:G14"/>
  <sheetViews>
    <sheetView tabSelected="1" workbookViewId="0">
      <selection activeCell="D15" sqref="D15"/>
    </sheetView>
  </sheetViews>
  <sheetFormatPr defaultRowHeight="12.75" x14ac:dyDescent="0.2"/>
  <cols>
    <col min="2" max="2" width="22.7109375" bestFit="1" customWidth="1"/>
    <col min="3" max="7" width="15.7109375" customWidth="1"/>
  </cols>
  <sheetData>
    <row r="1" spans="1:7" ht="33" x14ac:dyDescent="0.2">
      <c r="A1" s="67" t="s">
        <v>96</v>
      </c>
      <c r="B1" s="67" t="s">
        <v>82</v>
      </c>
      <c r="C1" s="67" t="s">
        <v>99</v>
      </c>
      <c r="D1" s="69" t="s">
        <v>100</v>
      </c>
      <c r="E1" s="69" t="s">
        <v>101</v>
      </c>
      <c r="F1" s="69" t="s">
        <v>98</v>
      </c>
      <c r="G1" s="67" t="s">
        <v>97</v>
      </c>
    </row>
    <row r="2" spans="1:7" ht="16.5" x14ac:dyDescent="0.25">
      <c r="A2" s="64">
        <v>1</v>
      </c>
      <c r="B2" s="65" t="s">
        <v>83</v>
      </c>
      <c r="C2" s="68">
        <v>1.21</v>
      </c>
      <c r="D2" s="68">
        <v>1.31</v>
      </c>
      <c r="E2" s="68">
        <v>1.1399999999999999</v>
      </c>
      <c r="F2" s="68">
        <v>-0.17000000000000015</v>
      </c>
      <c r="G2" s="68">
        <v>-7.0000000000000062E-2</v>
      </c>
    </row>
    <row r="3" spans="1:7" ht="16.5" x14ac:dyDescent="0.25">
      <c r="A3" s="64">
        <v>2</v>
      </c>
      <c r="B3" s="65" t="s">
        <v>84</v>
      </c>
      <c r="C3" s="68">
        <v>1.7</v>
      </c>
      <c r="D3" s="68">
        <v>1.74</v>
      </c>
      <c r="E3" s="68">
        <v>1.57</v>
      </c>
      <c r="F3" s="68">
        <v>-0.16999999999999993</v>
      </c>
      <c r="G3" s="68">
        <v>-0.12999999999999989</v>
      </c>
    </row>
    <row r="4" spans="1:7" ht="16.5" x14ac:dyDescent="0.25">
      <c r="A4" s="64">
        <v>3</v>
      </c>
      <c r="B4" s="65" t="s">
        <v>85</v>
      </c>
      <c r="C4" s="68">
        <v>1.61</v>
      </c>
      <c r="D4" s="68">
        <v>1.65</v>
      </c>
      <c r="E4" s="68">
        <v>1.63</v>
      </c>
      <c r="F4" s="68">
        <v>-2.0000000000000018E-2</v>
      </c>
      <c r="G4" s="68">
        <v>1.9999999999999796E-2</v>
      </c>
    </row>
    <row r="5" spans="1:7" ht="16.5" x14ac:dyDescent="0.25">
      <c r="A5" s="64">
        <v>4</v>
      </c>
      <c r="B5" s="65" t="s">
        <v>86</v>
      </c>
      <c r="C5" s="68">
        <v>1.48</v>
      </c>
      <c r="D5" s="68">
        <v>1.53</v>
      </c>
      <c r="E5" s="68">
        <v>2.42</v>
      </c>
      <c r="F5" s="68">
        <v>0.8899999999999999</v>
      </c>
      <c r="G5" s="68">
        <v>0.94</v>
      </c>
    </row>
    <row r="6" spans="1:7" ht="16.5" x14ac:dyDescent="0.25">
      <c r="A6" s="64">
        <v>5</v>
      </c>
      <c r="B6" s="65" t="s">
        <v>87</v>
      </c>
      <c r="C6" s="68">
        <v>1.59</v>
      </c>
      <c r="D6" s="68">
        <v>1.55</v>
      </c>
      <c r="E6" s="68">
        <v>1.76</v>
      </c>
      <c r="F6" s="68">
        <v>0.20999999999999996</v>
      </c>
      <c r="G6" s="68">
        <v>0.16999999999999993</v>
      </c>
    </row>
    <row r="7" spans="1:7" ht="16.5" x14ac:dyDescent="0.25">
      <c r="A7" s="64">
        <v>6</v>
      </c>
      <c r="B7" s="65" t="s">
        <v>88</v>
      </c>
      <c r="C7" s="68">
        <v>1.57</v>
      </c>
      <c r="D7" s="68">
        <v>1.63</v>
      </c>
      <c r="E7" s="68">
        <v>2</v>
      </c>
      <c r="F7" s="68">
        <v>0.37000000000000011</v>
      </c>
      <c r="G7" s="68">
        <v>0.42999999999999994</v>
      </c>
    </row>
    <row r="8" spans="1:7" ht="16.5" x14ac:dyDescent="0.25">
      <c r="A8" s="64">
        <v>7</v>
      </c>
      <c r="B8" s="65" t="s">
        <v>89</v>
      </c>
      <c r="C8" s="68">
        <v>2.84</v>
      </c>
      <c r="D8" s="68">
        <v>2.89</v>
      </c>
      <c r="E8" s="68">
        <v>2.88</v>
      </c>
      <c r="F8" s="68">
        <v>-1.0000000000000231E-2</v>
      </c>
      <c r="G8" s="68">
        <v>4.0000000000000036E-2</v>
      </c>
    </row>
    <row r="9" spans="1:7" ht="16.5" x14ac:dyDescent="0.25">
      <c r="A9" s="64">
        <v>8</v>
      </c>
      <c r="B9" s="65" t="s">
        <v>90</v>
      </c>
      <c r="C9" s="68">
        <v>1.26</v>
      </c>
      <c r="D9" s="68">
        <v>1.2</v>
      </c>
      <c r="E9" s="68">
        <v>1.68</v>
      </c>
      <c r="F9" s="68">
        <v>0.48</v>
      </c>
      <c r="G9" s="68">
        <v>0.41999999999999993</v>
      </c>
    </row>
    <row r="10" spans="1:7" ht="16.5" x14ac:dyDescent="0.25">
      <c r="A10" s="64">
        <v>9</v>
      </c>
      <c r="B10" s="65" t="s">
        <v>91</v>
      </c>
      <c r="C10" s="68">
        <v>1.18</v>
      </c>
      <c r="D10" s="68">
        <v>1.44</v>
      </c>
      <c r="E10" s="68">
        <v>1.83</v>
      </c>
      <c r="F10" s="68">
        <v>0.39000000000000012</v>
      </c>
      <c r="G10" s="68">
        <v>0.65000000000000013</v>
      </c>
    </row>
    <row r="11" spans="1:7" ht="16.5" x14ac:dyDescent="0.25">
      <c r="A11" s="64">
        <v>10</v>
      </c>
      <c r="B11" s="65" t="s">
        <v>92</v>
      </c>
      <c r="C11" s="68">
        <v>1.55</v>
      </c>
      <c r="D11" s="68">
        <v>2.2999999999999998</v>
      </c>
      <c r="E11" s="68">
        <v>1.86</v>
      </c>
      <c r="F11" s="68">
        <v>-0.43999999999999972</v>
      </c>
      <c r="G11" s="68">
        <v>0.31000000000000005</v>
      </c>
    </row>
    <row r="12" spans="1:7" ht="16.5" x14ac:dyDescent="0.25">
      <c r="A12" s="64">
        <v>11</v>
      </c>
      <c r="B12" s="65" t="s">
        <v>93</v>
      </c>
      <c r="C12" s="68">
        <v>1.29</v>
      </c>
      <c r="D12" s="68">
        <v>1.75</v>
      </c>
      <c r="E12" s="68">
        <v>1.06</v>
      </c>
      <c r="F12" s="68">
        <v>-0.69</v>
      </c>
      <c r="G12" s="68">
        <v>-0.22999999999999998</v>
      </c>
    </row>
    <row r="13" spans="1:7" ht="16.5" x14ac:dyDescent="0.25">
      <c r="A13" s="64">
        <v>12</v>
      </c>
      <c r="B13" s="65" t="s">
        <v>94</v>
      </c>
      <c r="C13" s="68">
        <v>2.02</v>
      </c>
      <c r="D13" s="68">
        <v>1.92</v>
      </c>
      <c r="E13" s="68">
        <v>1.46</v>
      </c>
      <c r="F13" s="68">
        <v>-0.45999999999999996</v>
      </c>
      <c r="G13" s="68">
        <v>-0.56000000000000005</v>
      </c>
    </row>
    <row r="14" spans="1:7" ht="16.5" x14ac:dyDescent="0.25">
      <c r="A14" s="66"/>
      <c r="B14" s="65" t="s">
        <v>95</v>
      </c>
      <c r="C14" s="68">
        <v>1.6</v>
      </c>
      <c r="D14" s="68">
        <v>1.68</v>
      </c>
      <c r="E14" s="68">
        <v>1.75</v>
      </c>
      <c r="F14" s="68">
        <v>7.0000000000000062E-2</v>
      </c>
      <c r="G14" s="68">
        <v>0.14999999999999991</v>
      </c>
    </row>
  </sheetData>
  <conditionalFormatting sqref="G2:G14">
    <cfRule type="cellIs" dxfId="380" priority="2" stopIfTrue="1" operator="greaterThan">
      <formula>0</formula>
    </cfRule>
  </conditionalFormatting>
  <conditionalFormatting sqref="F2:G14">
    <cfRule type="cellIs" dxfId="379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7FA8-5A72-47C4-A0CB-A3FE59748894}">
  <dimension ref="A1:AP50"/>
  <sheetViews>
    <sheetView workbookViewId="0">
      <pane xSplit="1" ySplit="6" topLeftCell="B19" activePane="bottomRight" state="frozen"/>
      <selection activeCell="L33" sqref="L33"/>
      <selection pane="topRight" activeCell="L33" sqref="L33"/>
      <selection pane="bottomLeft" activeCell="L33" sqref="L33"/>
      <selection pane="bottomRight" activeCell="L33" sqref="L33"/>
    </sheetView>
  </sheetViews>
  <sheetFormatPr defaultRowHeight="11.25" outlineLevelCol="1" x14ac:dyDescent="0.2"/>
  <cols>
    <col min="1" max="1" width="18.28515625" style="1" bestFit="1" customWidth="1"/>
    <col min="2" max="4" width="10.85546875" style="1" customWidth="1"/>
    <col min="5" max="5" width="9.140625" style="1" bestFit="1" customWidth="1"/>
    <col min="6" max="6" width="10" style="1" bestFit="1" customWidth="1"/>
    <col min="7" max="7" width="10.5703125" style="1" bestFit="1" customWidth="1"/>
    <col min="8" max="8" width="5.42578125" style="1" customWidth="1"/>
    <col min="9" max="9" width="6.140625" style="1" bestFit="1" customWidth="1"/>
    <col min="10" max="12" width="13.85546875" style="1" bestFit="1" customWidth="1"/>
    <col min="13" max="13" width="10.7109375" style="1" bestFit="1" customWidth="1"/>
    <col min="14" max="14" width="11.7109375" style="1" bestFit="1" customWidth="1"/>
    <col min="15" max="15" width="12.7109375" style="1" bestFit="1" customWidth="1"/>
    <col min="16" max="16" width="6.5703125" style="12" bestFit="1" customWidth="1"/>
    <col min="17" max="17" width="5.42578125" style="1" customWidth="1"/>
    <col min="18" max="20" width="10.85546875" style="1" customWidth="1" outlineLevel="1"/>
    <col min="21" max="21" width="10" style="1" customWidth="1" outlineLevel="1"/>
    <col min="22" max="22" width="9.140625" style="1" customWidth="1" outlineLevel="1"/>
    <col min="23" max="23" width="10" style="1" customWidth="1" outlineLevel="1"/>
    <col min="24" max="24" width="5.140625" style="1" customWidth="1" outlineLevel="1"/>
    <col min="25" max="25" width="5.42578125" style="1" customWidth="1"/>
    <col min="26" max="28" width="11.7109375" style="1" customWidth="1" outlineLevel="1"/>
    <col min="29" max="29" width="11.28515625" style="1" customWidth="1" outlineLevel="1"/>
    <col min="30" max="30" width="10.140625" style="1" customWidth="1" outlineLevel="1"/>
    <col min="31" max="31" width="10.85546875" style="1" customWidth="1" outlineLevel="1"/>
    <col min="32" max="32" width="5.140625" style="1" customWidth="1" outlineLevel="1"/>
    <col min="33" max="33" width="5.42578125" style="1" customWidth="1"/>
    <col min="34" max="34" width="5.140625" style="1" hidden="1" customWidth="1"/>
    <col min="35" max="36" width="5.85546875" style="1" hidden="1" customWidth="1"/>
    <col min="37" max="37" width="5.7109375" style="1" hidden="1" customWidth="1"/>
    <col min="38" max="38" width="5.85546875" style="1" hidden="1" customWidth="1"/>
    <col min="39" max="39" width="10.85546875" style="1" hidden="1" customWidth="1"/>
    <col min="40" max="40" width="9.140625" style="1" hidden="1" customWidth="1"/>
    <col min="41" max="16384" width="9.140625" style="1"/>
  </cols>
  <sheetData>
    <row r="1" spans="1:42" x14ac:dyDescent="0.2">
      <c r="A1" s="9" t="s">
        <v>61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10"/>
      <c r="R1" s="9"/>
      <c r="S1" s="10"/>
      <c r="T1" s="10"/>
      <c r="U1" s="10"/>
      <c r="V1" s="10"/>
      <c r="W1" s="10"/>
      <c r="X1" s="10"/>
      <c r="Y1" s="10"/>
      <c r="Z1" s="9"/>
      <c r="AA1" s="10"/>
      <c r="AB1" s="10"/>
      <c r="AC1" s="10"/>
      <c r="AD1" s="10"/>
      <c r="AE1" s="10"/>
      <c r="AF1" s="10"/>
      <c r="AG1" s="10"/>
    </row>
    <row r="3" spans="1:42" x14ac:dyDescent="0.2">
      <c r="A3" s="70" t="s">
        <v>14</v>
      </c>
      <c r="B3" s="13" t="s">
        <v>59</v>
      </c>
      <c r="C3" s="13"/>
      <c r="D3" s="13"/>
      <c r="E3" s="13"/>
      <c r="F3" s="13"/>
      <c r="G3" s="13"/>
      <c r="H3" s="13"/>
      <c r="I3" s="13"/>
      <c r="J3" s="13" t="s">
        <v>60</v>
      </c>
      <c r="K3" s="13"/>
      <c r="L3" s="13"/>
      <c r="M3" s="13"/>
      <c r="N3" s="13"/>
      <c r="O3" s="13"/>
      <c r="P3" s="14"/>
      <c r="Q3" s="13"/>
      <c r="R3" s="13" t="s">
        <v>58</v>
      </c>
      <c r="S3" s="13"/>
      <c r="T3" s="13"/>
      <c r="U3" s="13"/>
      <c r="V3" s="13"/>
      <c r="W3" s="13"/>
      <c r="X3" s="13"/>
      <c r="Y3" s="13"/>
      <c r="Z3" s="13" t="s">
        <v>6</v>
      </c>
      <c r="AA3" s="13"/>
      <c r="AB3" s="13"/>
      <c r="AC3" s="13"/>
      <c r="AD3" s="13"/>
      <c r="AE3" s="13"/>
      <c r="AF3" s="14"/>
      <c r="AG3" s="13"/>
      <c r="AH3" s="6" t="s">
        <v>15</v>
      </c>
      <c r="AI3" s="13" t="s">
        <v>16</v>
      </c>
      <c r="AJ3" s="13"/>
      <c r="AK3" s="13" t="s">
        <v>17</v>
      </c>
      <c r="AL3" s="13"/>
      <c r="AM3" s="15" t="s">
        <v>18</v>
      </c>
      <c r="AN3" s="13"/>
    </row>
    <row r="4" spans="1:42" ht="45" x14ac:dyDescent="0.2">
      <c r="A4" s="70"/>
      <c r="B4" s="4" t="s">
        <v>0</v>
      </c>
      <c r="C4" s="4" t="s">
        <v>5</v>
      </c>
      <c r="D4" s="4" t="s">
        <v>2</v>
      </c>
      <c r="E4" s="4" t="s">
        <v>19</v>
      </c>
      <c r="F4" s="4" t="s">
        <v>4</v>
      </c>
      <c r="G4" s="4" t="s">
        <v>3</v>
      </c>
      <c r="H4" s="4" t="s">
        <v>1</v>
      </c>
      <c r="I4" s="4" t="s">
        <v>53</v>
      </c>
      <c r="J4" s="4" t="s">
        <v>0</v>
      </c>
      <c r="K4" s="4" t="s">
        <v>5</v>
      </c>
      <c r="L4" s="4" t="s">
        <v>2</v>
      </c>
      <c r="M4" s="4" t="s">
        <v>19</v>
      </c>
      <c r="N4" s="4" t="s">
        <v>4</v>
      </c>
      <c r="O4" s="4" t="s">
        <v>3</v>
      </c>
      <c r="P4" s="16" t="s">
        <v>1</v>
      </c>
      <c r="Q4" s="4" t="s">
        <v>53</v>
      </c>
      <c r="R4" s="4" t="s">
        <v>0</v>
      </c>
      <c r="S4" s="4" t="s">
        <v>5</v>
      </c>
      <c r="T4" s="4" t="s">
        <v>2</v>
      </c>
      <c r="U4" s="4" t="s">
        <v>19</v>
      </c>
      <c r="V4" s="4" t="s">
        <v>4</v>
      </c>
      <c r="W4" s="4" t="s">
        <v>3</v>
      </c>
      <c r="X4" s="4" t="s">
        <v>1</v>
      </c>
      <c r="Y4" s="4" t="s">
        <v>53</v>
      </c>
      <c r="Z4" s="4" t="s">
        <v>0</v>
      </c>
      <c r="AA4" s="4" t="s">
        <v>5</v>
      </c>
      <c r="AB4" s="4" t="s">
        <v>2</v>
      </c>
      <c r="AC4" s="4" t="s">
        <v>19</v>
      </c>
      <c r="AD4" s="4" t="s">
        <v>4</v>
      </c>
      <c r="AE4" s="4" t="s">
        <v>3</v>
      </c>
      <c r="AF4" s="16" t="s">
        <v>1</v>
      </c>
      <c r="AG4" s="4" t="s">
        <v>53</v>
      </c>
      <c r="AH4" s="4" t="s">
        <v>20</v>
      </c>
      <c r="AI4" s="4" t="s">
        <v>21</v>
      </c>
      <c r="AJ4" s="4" t="s">
        <v>22</v>
      </c>
      <c r="AK4" s="4" t="s">
        <v>21</v>
      </c>
      <c r="AL4" s="4" t="s">
        <v>22</v>
      </c>
      <c r="AM4" s="17" t="s">
        <v>23</v>
      </c>
      <c r="AN4" s="18" t="s">
        <v>20</v>
      </c>
    </row>
    <row r="5" spans="1:42" x14ac:dyDescent="0.2">
      <c r="A5" s="25" t="s">
        <v>47</v>
      </c>
      <c r="B5" s="4"/>
      <c r="C5" s="4"/>
      <c r="D5" s="4"/>
      <c r="E5" s="4"/>
      <c r="F5" s="4"/>
      <c r="G5" s="4"/>
      <c r="H5" s="4"/>
      <c r="I5" s="36"/>
      <c r="J5" s="36"/>
      <c r="K5" s="36"/>
      <c r="L5" s="36"/>
      <c r="M5" s="36"/>
      <c r="N5" s="36"/>
      <c r="O5" s="4"/>
      <c r="P5" s="16"/>
      <c r="Q5" s="36"/>
      <c r="R5" s="4"/>
      <c r="S5" s="4"/>
      <c r="T5" s="4"/>
      <c r="U5" s="4"/>
      <c r="V5" s="4"/>
      <c r="W5" s="4"/>
      <c r="X5" s="4"/>
      <c r="Y5" s="36"/>
      <c r="Z5" s="36"/>
      <c r="AA5" s="36"/>
      <c r="AB5" s="36"/>
      <c r="AC5" s="36"/>
      <c r="AD5" s="36"/>
      <c r="AE5" s="4"/>
      <c r="AF5" s="16"/>
      <c r="AG5" s="36"/>
      <c r="AH5" s="4"/>
      <c r="AI5" s="4"/>
      <c r="AJ5" s="4"/>
      <c r="AK5" s="4"/>
      <c r="AL5" s="4"/>
      <c r="AM5" s="17"/>
      <c r="AN5" s="18"/>
    </row>
    <row r="6" spans="1:42" x14ac:dyDescent="0.2">
      <c r="A6" s="6"/>
      <c r="B6" s="4"/>
      <c r="C6" s="4"/>
      <c r="D6" s="4"/>
      <c r="E6" s="4"/>
      <c r="F6" s="4"/>
      <c r="G6" s="4"/>
      <c r="H6" s="4"/>
      <c r="I6" s="36"/>
      <c r="J6" s="36"/>
      <c r="K6" s="36"/>
      <c r="L6" s="36"/>
      <c r="M6" s="36"/>
      <c r="N6" s="36"/>
      <c r="O6" s="4"/>
      <c r="P6" s="16"/>
      <c r="Q6" s="36"/>
      <c r="R6" s="4"/>
      <c r="S6" s="4"/>
      <c r="T6" s="4"/>
      <c r="U6" s="4"/>
      <c r="V6" s="4"/>
      <c r="W6" s="4"/>
      <c r="X6" s="4"/>
      <c r="Y6" s="36"/>
      <c r="Z6" s="36"/>
      <c r="AA6" s="36"/>
      <c r="AB6" s="36"/>
      <c r="AC6" s="36"/>
      <c r="AD6" s="36"/>
      <c r="AE6" s="4"/>
      <c r="AF6" s="16"/>
      <c r="AG6" s="36"/>
      <c r="AH6" s="4"/>
      <c r="AI6" s="4"/>
      <c r="AJ6" s="4"/>
      <c r="AK6" s="4"/>
      <c r="AL6" s="4"/>
      <c r="AM6" s="17"/>
      <c r="AN6" s="18"/>
    </row>
    <row r="7" spans="1:42" s="47" customFormat="1" x14ac:dyDescent="0.2">
      <c r="A7" s="41" t="s">
        <v>48</v>
      </c>
      <c r="B7" s="42">
        <v>3891677462</v>
      </c>
      <c r="C7" s="42">
        <v>3850171927</v>
      </c>
      <c r="D7" s="42">
        <v>0</v>
      </c>
      <c r="E7" s="42">
        <v>0</v>
      </c>
      <c r="F7" s="42">
        <v>0</v>
      </c>
      <c r="G7" s="42">
        <f>(B7-C7-D7)</f>
        <v>41505535</v>
      </c>
      <c r="H7" s="43">
        <f>(B7-C7-D7)*100/(B7-E7-F7)</f>
        <v>1.066520424811094</v>
      </c>
      <c r="I7" s="43">
        <f>G7*100/(B$40)</f>
        <v>0.86498747199805093</v>
      </c>
      <c r="J7" s="42">
        <v>28817037071</v>
      </c>
      <c r="K7" s="42">
        <v>28459854453</v>
      </c>
      <c r="L7" s="42">
        <v>0</v>
      </c>
      <c r="M7" s="42">
        <v>0</v>
      </c>
      <c r="N7" s="42">
        <v>0</v>
      </c>
      <c r="O7" s="42">
        <f>(J7-K7-L7)</f>
        <v>357182618</v>
      </c>
      <c r="P7" s="43">
        <f>(J7-K7-L7)*100/(J7-M7-N7)</f>
        <v>1.239484188190362</v>
      </c>
      <c r="Q7" s="43">
        <f>O7*100/(J$40)</f>
        <v>1.0045027555255579</v>
      </c>
      <c r="R7" s="42">
        <v>3444132032</v>
      </c>
      <c r="S7" s="42">
        <v>3399293510</v>
      </c>
      <c r="T7" s="42">
        <v>0</v>
      </c>
      <c r="U7" s="42">
        <v>0</v>
      </c>
      <c r="V7" s="42">
        <v>0</v>
      </c>
      <c r="W7" s="42">
        <f>(R7-S7-T7)</f>
        <v>44838522</v>
      </c>
      <c r="X7" s="43">
        <f>(R7-S7-T7)*100/(R7-U7-V7)</f>
        <v>1.3018816231026535</v>
      </c>
      <c r="Y7" s="43">
        <f>W7*100/(R$40)</f>
        <v>1.0462068700936515</v>
      </c>
      <c r="Z7" s="42">
        <v>25764920389</v>
      </c>
      <c r="AA7" s="42">
        <v>25436975093</v>
      </c>
      <c r="AB7" s="42">
        <v>0</v>
      </c>
      <c r="AC7" s="42">
        <v>0</v>
      </c>
      <c r="AD7" s="42">
        <v>0</v>
      </c>
      <c r="AE7" s="42">
        <f>(Z7-AA7-AB7)</f>
        <v>327945296</v>
      </c>
      <c r="AF7" s="43">
        <f>(Z7-AA7-AB7)*100/(Z7-AC7-AD7)</f>
        <v>1.2728364421417424</v>
      </c>
      <c r="AG7" s="43">
        <f>AE7*100/(Z$40)</f>
        <v>1.0218050898737774</v>
      </c>
      <c r="AH7" s="44">
        <v>1.24</v>
      </c>
      <c r="AI7" s="24">
        <f>H7-AH7</f>
        <v>-0.173479575188906</v>
      </c>
      <c r="AJ7" s="24">
        <f>H7-X7</f>
        <v>-0.23536119829155955</v>
      </c>
      <c r="AK7" s="24">
        <f>P7-AH7</f>
        <v>-5.1581180963800044E-4</v>
      </c>
      <c r="AL7" s="24">
        <f>P7-AF7</f>
        <v>-3.3352253951380417E-2</v>
      </c>
      <c r="AM7" s="45"/>
      <c r="AN7" s="46"/>
      <c r="AP7" s="48"/>
    </row>
    <row r="8" spans="1:42" s="47" customFormat="1" x14ac:dyDescent="0.2">
      <c r="A8" s="41" t="s">
        <v>44</v>
      </c>
      <c r="B8" s="42">
        <v>954575443</v>
      </c>
      <c r="C8" s="42">
        <f>951619120-D8</f>
        <v>706225300</v>
      </c>
      <c r="D8" s="2">
        <v>245393820</v>
      </c>
      <c r="E8" s="42"/>
      <c r="F8" s="42">
        <v>91800</v>
      </c>
      <c r="G8" s="42">
        <f>(B8-C8-D8)</f>
        <v>2956323</v>
      </c>
      <c r="H8" s="43">
        <f>(B8-C8-D8)*100/(B8-E8-F8)</f>
        <v>0.30973008512834199</v>
      </c>
      <c r="I8" s="43">
        <f>G8*100/(B$40)</f>
        <v>6.1610634778703467E-2</v>
      </c>
      <c r="J8" s="42">
        <v>7276472931</v>
      </c>
      <c r="K8" s="42">
        <f>7253129251-L8</f>
        <v>5372828431</v>
      </c>
      <c r="L8" s="42">
        <v>1880300820</v>
      </c>
      <c r="M8" s="42"/>
      <c r="N8" s="42">
        <v>2313500</v>
      </c>
      <c r="O8" s="42">
        <f>(J8-K8-L8)</f>
        <v>23343680</v>
      </c>
      <c r="P8" s="43">
        <f>(J8-K8-L8)*100/(J8-M8-N8)</f>
        <v>0.32091240536352772</v>
      </c>
      <c r="Q8" s="43">
        <f>O8*100/(J$40)</f>
        <v>6.5649305712034561E-2</v>
      </c>
      <c r="R8" s="42">
        <v>901707208</v>
      </c>
      <c r="S8" s="42">
        <v>898677900</v>
      </c>
      <c r="T8" s="42"/>
      <c r="U8" s="42"/>
      <c r="V8" s="42">
        <v>2700</v>
      </c>
      <c r="W8" s="42">
        <f>(R8-S8-T8)</f>
        <v>3029308</v>
      </c>
      <c r="X8" s="43">
        <f>(R8-S8-T8)*100/(R8-U8-V8)</f>
        <v>0.33595351616008556</v>
      </c>
      <c r="Y8" s="43">
        <f>W8*100/(R$40)</f>
        <v>7.0682143386208388E-2</v>
      </c>
      <c r="Z8" s="42">
        <v>6862409843</v>
      </c>
      <c r="AA8" s="42">
        <v>6849488244</v>
      </c>
      <c r="AB8" s="42"/>
      <c r="AC8" s="42"/>
      <c r="AD8" s="42">
        <v>16673800</v>
      </c>
      <c r="AE8" s="42">
        <f>(Z8-AA8-AB8)</f>
        <v>12921599</v>
      </c>
      <c r="AF8" s="43">
        <f>(Z8-AA8-AB8)*100/(Z8-AC8-AD8)</f>
        <v>0.18875397647288458</v>
      </c>
      <c r="AG8" s="43">
        <f>AE8*100/(Z$40)</f>
        <v>4.0260847734519455E-2</v>
      </c>
      <c r="AH8" s="44"/>
      <c r="AI8" s="24"/>
      <c r="AJ8" s="24"/>
      <c r="AK8" s="24"/>
      <c r="AL8" s="24"/>
      <c r="AM8" s="45"/>
      <c r="AN8" s="46"/>
      <c r="AP8" s="48"/>
    </row>
    <row r="9" spans="1:42" s="39" customFormat="1" x14ac:dyDescent="0.2">
      <c r="A9" s="25" t="s">
        <v>49</v>
      </c>
      <c r="B9" s="8">
        <f>SUM(B7:B8)</f>
        <v>4846252905</v>
      </c>
      <c r="C9" s="8">
        <f>SUM(C7:C8)</f>
        <v>4556397227</v>
      </c>
      <c r="D9" s="8">
        <f>SUM(D7:D8)</f>
        <v>245393820</v>
      </c>
      <c r="E9" s="7">
        <f>69136000+8066500</f>
        <v>77202500</v>
      </c>
      <c r="F9" s="63"/>
      <c r="G9" s="8">
        <f>SUM(G7:G8)</f>
        <v>44461858</v>
      </c>
      <c r="H9" s="5">
        <f>(B9-C9-D9)*100/(B9-E9-F9)</f>
        <v>0.93230002252408573</v>
      </c>
      <c r="I9" s="5">
        <f>G9*100/(B$40)</f>
        <v>0.92659810677675447</v>
      </c>
      <c r="J9" s="8">
        <f>SUM(J7:J8)</f>
        <v>36093510002</v>
      </c>
      <c r="K9" s="8">
        <f>SUM(K7:K8)</f>
        <v>33832682884</v>
      </c>
      <c r="L9" s="8">
        <f>SUM(L7:L8)</f>
        <v>1880300820</v>
      </c>
      <c r="M9" s="7">
        <f>576360827.6+121865900</f>
        <v>698226727.60000002</v>
      </c>
      <c r="N9" s="63">
        <f>SUM(N7:N8)</f>
        <v>2313500</v>
      </c>
      <c r="O9" s="8">
        <f>SUM(O7:O8)</f>
        <v>380526298</v>
      </c>
      <c r="P9" s="5">
        <f>(J9-K9-L9)*100/(J9-M9-N9)</f>
        <v>1.0751465627934886</v>
      </c>
      <c r="Q9" s="5">
        <f>O9*100/(J$40)</f>
        <v>1.0701520612375925</v>
      </c>
      <c r="R9" s="8">
        <f>SUM(R7:R8)</f>
        <v>4345839240</v>
      </c>
      <c r="S9" s="8">
        <f>SUM(S7:S8)</f>
        <v>4297971410</v>
      </c>
      <c r="T9" s="8"/>
      <c r="U9" s="7">
        <f>72970100
+15510496</f>
        <v>88480596</v>
      </c>
      <c r="V9" s="8">
        <f>SUM(V7:V8)</f>
        <v>2700</v>
      </c>
      <c r="W9" s="8">
        <f>SUM(W7:W8)</f>
        <v>47867830</v>
      </c>
      <c r="X9" s="5">
        <f>(R9-S9-T9)*100/(R9-U9-V9)</f>
        <v>1.1243558356322392</v>
      </c>
      <c r="Y9" s="5">
        <f>W9*100/(R$40)</f>
        <v>1.1168890134798599</v>
      </c>
      <c r="Z9" s="8">
        <f>SUM(Z7:Z8)</f>
        <v>32627330232</v>
      </c>
      <c r="AA9" s="8">
        <f>SUM(AA7:AA8)</f>
        <v>32286463337</v>
      </c>
      <c r="AB9" s="8">
        <f>SUM(AB7:AB8)</f>
        <v>0</v>
      </c>
      <c r="AC9" s="7">
        <f>39347796
+647326800</f>
        <v>686674596</v>
      </c>
      <c r="AD9" s="8">
        <f>SUM(AD7:AD8)</f>
        <v>16673800</v>
      </c>
      <c r="AE9" s="8">
        <f>SUM(AE7:AE8)</f>
        <v>340866895</v>
      </c>
      <c r="AF9" s="5">
        <f>(Z9-AA9-AB9)*100/(Z9-AC9-AD9)</f>
        <v>1.0677455486320682</v>
      </c>
      <c r="AG9" s="5">
        <f>AE9*100/(Z$40)</f>
        <v>1.0620659376082968</v>
      </c>
      <c r="AH9" s="38"/>
      <c r="AI9" s="5"/>
      <c r="AJ9" s="5"/>
      <c r="AK9" s="5"/>
      <c r="AL9" s="5"/>
      <c r="AM9" s="37"/>
      <c r="AN9" s="35"/>
      <c r="AP9" s="40"/>
    </row>
    <row r="10" spans="1:42" x14ac:dyDescent="0.2">
      <c r="A10" s="19"/>
      <c r="B10" s="2"/>
      <c r="C10" s="2"/>
      <c r="D10" s="2"/>
      <c r="E10" s="2"/>
      <c r="F10" s="2"/>
      <c r="G10" s="2"/>
      <c r="H10" s="3"/>
      <c r="I10" s="3"/>
      <c r="J10" s="20"/>
      <c r="K10" s="20"/>
      <c r="L10" s="20"/>
      <c r="M10" s="20"/>
      <c r="N10" s="20"/>
      <c r="O10" s="2"/>
      <c r="P10" s="3"/>
      <c r="Q10" s="3"/>
      <c r="R10" s="2"/>
      <c r="S10" s="2"/>
      <c r="T10" s="2"/>
      <c r="U10" s="2"/>
      <c r="V10" s="2"/>
      <c r="W10" s="2"/>
      <c r="X10" s="3"/>
      <c r="Y10" s="3"/>
      <c r="Z10" s="20"/>
      <c r="AA10" s="20"/>
      <c r="AB10" s="20"/>
      <c r="AC10" s="20"/>
      <c r="AD10" s="20"/>
      <c r="AE10" s="2"/>
      <c r="AF10" s="3"/>
      <c r="AG10" s="3"/>
      <c r="AH10" s="21"/>
      <c r="AI10" s="3"/>
      <c r="AJ10" s="3"/>
      <c r="AK10" s="3"/>
      <c r="AL10" s="3"/>
      <c r="AM10" s="20"/>
      <c r="AN10" s="22"/>
      <c r="AP10" s="12"/>
    </row>
    <row r="11" spans="1:42" x14ac:dyDescent="0.2">
      <c r="A11" s="25" t="s">
        <v>50</v>
      </c>
      <c r="B11" s="2"/>
      <c r="C11" s="2"/>
      <c r="D11" s="2"/>
      <c r="E11" s="2"/>
      <c r="F11" s="2"/>
      <c r="G11" s="2"/>
      <c r="H11" s="3"/>
      <c r="I11" s="3"/>
      <c r="J11" s="20"/>
      <c r="K11" s="20"/>
      <c r="L11" s="20"/>
      <c r="M11" s="20"/>
      <c r="N11" s="20"/>
      <c r="O11" s="2"/>
      <c r="P11" s="3"/>
      <c r="Q11" s="3"/>
      <c r="R11" s="2"/>
      <c r="S11" s="2"/>
      <c r="T11" s="2"/>
      <c r="U11" s="2"/>
      <c r="V11" s="2"/>
      <c r="W11" s="2"/>
      <c r="X11" s="3"/>
      <c r="Y11" s="3"/>
      <c r="Z11" s="20"/>
      <c r="AA11" s="20"/>
      <c r="AB11" s="20"/>
      <c r="AC11" s="20"/>
      <c r="AD11" s="20"/>
      <c r="AE11" s="2"/>
      <c r="AF11" s="3"/>
      <c r="AG11" s="3"/>
      <c r="AH11" s="21"/>
      <c r="AI11" s="3"/>
      <c r="AJ11" s="3"/>
      <c r="AK11" s="3"/>
      <c r="AL11" s="3"/>
      <c r="AM11" s="20"/>
      <c r="AN11" s="22"/>
      <c r="AP11" s="12"/>
    </row>
    <row r="12" spans="1:42" x14ac:dyDescent="0.2">
      <c r="A12" s="19"/>
      <c r="B12" s="2"/>
      <c r="C12" s="2"/>
      <c r="D12" s="2"/>
      <c r="E12" s="2"/>
      <c r="F12" s="2"/>
      <c r="G12" s="2"/>
      <c r="H12" s="3"/>
      <c r="I12" s="3"/>
      <c r="J12" s="20"/>
      <c r="K12" s="20"/>
      <c r="L12" s="20"/>
      <c r="M12" s="20"/>
      <c r="N12" s="20"/>
      <c r="O12" s="2"/>
      <c r="P12" s="3"/>
      <c r="Q12" s="3"/>
      <c r="R12" s="2"/>
      <c r="S12" s="2"/>
      <c r="T12" s="2"/>
      <c r="U12" s="2"/>
      <c r="V12" s="2"/>
      <c r="W12" s="2"/>
      <c r="X12" s="3"/>
      <c r="Y12" s="3"/>
      <c r="Z12" s="20"/>
      <c r="AA12" s="20"/>
      <c r="AB12" s="20"/>
      <c r="AC12" s="20"/>
      <c r="AD12" s="20"/>
      <c r="AE12" s="2"/>
      <c r="AF12" s="3"/>
      <c r="AG12" s="3"/>
      <c r="AH12" s="21"/>
      <c r="AI12" s="3"/>
      <c r="AJ12" s="3"/>
      <c r="AK12" s="3"/>
      <c r="AL12" s="3"/>
      <c r="AM12" s="20"/>
      <c r="AN12" s="22"/>
      <c r="AP12" s="12"/>
    </row>
    <row r="13" spans="1:42" x14ac:dyDescent="0.2">
      <c r="A13" s="19" t="s">
        <v>24</v>
      </c>
      <c r="B13" s="2">
        <v>114360323</v>
      </c>
      <c r="C13" s="2">
        <v>8908838</v>
      </c>
      <c r="D13" s="2">
        <v>98270037</v>
      </c>
      <c r="E13" s="2">
        <v>81700</v>
      </c>
      <c r="F13" s="2">
        <v>0</v>
      </c>
      <c r="G13" s="2">
        <v>7181448</v>
      </c>
      <c r="H13" s="3">
        <v>6.28</v>
      </c>
      <c r="I13" s="3"/>
      <c r="J13" s="20">
        <v>834788620</v>
      </c>
      <c r="K13" s="20">
        <v>43708592</v>
      </c>
      <c r="L13" s="20">
        <v>742457050</v>
      </c>
      <c r="M13" s="20">
        <v>932900</v>
      </c>
      <c r="N13" s="20">
        <v>0</v>
      </c>
      <c r="O13" s="2">
        <v>48622978</v>
      </c>
      <c r="P13" s="3">
        <v>5.83</v>
      </c>
      <c r="Q13" s="3"/>
      <c r="R13" s="2">
        <v>94737380</v>
      </c>
      <c r="S13" s="2">
        <v>4427659</v>
      </c>
      <c r="T13" s="2">
        <v>83543447</v>
      </c>
      <c r="U13" s="2">
        <v>2200</v>
      </c>
      <c r="V13" s="2">
        <v>0</v>
      </c>
      <c r="W13" s="2">
        <v>6766274</v>
      </c>
      <c r="X13" s="3">
        <v>7.1399999999999899</v>
      </c>
      <c r="Y13" s="3"/>
      <c r="Z13" s="20">
        <v>717569580</v>
      </c>
      <c r="AA13" s="20">
        <v>33665382</v>
      </c>
      <c r="AB13" s="20">
        <v>636979228</v>
      </c>
      <c r="AC13" s="20">
        <v>676400</v>
      </c>
      <c r="AD13" s="20">
        <v>0</v>
      </c>
      <c r="AE13" s="2">
        <v>46924970</v>
      </c>
      <c r="AF13" s="3">
        <v>6.5499999999999901</v>
      </c>
      <c r="AG13" s="3"/>
      <c r="AH13" s="21">
        <v>6.95</v>
      </c>
      <c r="AI13" s="3">
        <f t="shared" ref="AI13:AI32" si="0">H13-AH13</f>
        <v>-0.66999999999999993</v>
      </c>
      <c r="AJ13" s="3">
        <f t="shared" ref="AJ13:AJ32" si="1">H13-X13</f>
        <v>-0.85999999999998966</v>
      </c>
      <c r="AK13" s="3">
        <f t="shared" ref="AK13:AK34" si="2">P13-AH13</f>
        <v>-1.1200000000000001</v>
      </c>
      <c r="AL13" s="3">
        <f t="shared" ref="AL13:AL32" si="3">P13-AF13</f>
        <v>-0.71999999999998998</v>
      </c>
      <c r="AM13" s="20" t="e">
        <f>#REF!-#REF!</f>
        <v>#REF!</v>
      </c>
      <c r="AN13" s="3" t="e">
        <f>AM13*100/#REF!</f>
        <v>#REF!</v>
      </c>
      <c r="AP13" s="12"/>
    </row>
    <row r="14" spans="1:42" x14ac:dyDescent="0.2">
      <c r="A14" s="19" t="s">
        <v>25</v>
      </c>
      <c r="B14" s="2">
        <v>136248244</v>
      </c>
      <c r="C14" s="2">
        <v>58635</v>
      </c>
      <c r="D14" s="2">
        <v>108730918</v>
      </c>
      <c r="E14" s="2">
        <v>36100</v>
      </c>
      <c r="F14" s="2">
        <v>0</v>
      </c>
      <c r="G14" s="2">
        <v>27458691</v>
      </c>
      <c r="H14" s="3">
        <v>20.16</v>
      </c>
      <c r="I14" s="3"/>
      <c r="J14" s="20">
        <v>1189872572</v>
      </c>
      <c r="K14" s="20">
        <v>413979</v>
      </c>
      <c r="L14" s="20">
        <v>1113152926</v>
      </c>
      <c r="M14" s="20">
        <v>149100</v>
      </c>
      <c r="N14" s="20">
        <v>0</v>
      </c>
      <c r="O14" s="2">
        <v>76305667</v>
      </c>
      <c r="P14" s="3">
        <v>6.41</v>
      </c>
      <c r="Q14" s="3"/>
      <c r="R14" s="2">
        <v>112930433</v>
      </c>
      <c r="S14" s="2">
        <v>46691</v>
      </c>
      <c r="T14" s="2">
        <v>96543518</v>
      </c>
      <c r="U14" s="2">
        <v>0</v>
      </c>
      <c r="V14" s="2">
        <v>0</v>
      </c>
      <c r="W14" s="2">
        <v>16340224</v>
      </c>
      <c r="X14" s="3">
        <v>14.47</v>
      </c>
      <c r="Y14" s="3"/>
      <c r="Z14" s="20">
        <v>1044971936</v>
      </c>
      <c r="AA14" s="20">
        <v>398844</v>
      </c>
      <c r="AB14" s="20">
        <v>992037960</v>
      </c>
      <c r="AC14" s="20">
        <v>0</v>
      </c>
      <c r="AD14" s="20">
        <v>0</v>
      </c>
      <c r="AE14" s="2">
        <v>52535132</v>
      </c>
      <c r="AF14" s="3">
        <v>5.03</v>
      </c>
      <c r="AG14" s="3"/>
      <c r="AH14" s="23">
        <v>6.75</v>
      </c>
      <c r="AI14" s="3">
        <f t="shared" si="0"/>
        <v>13.41</v>
      </c>
      <c r="AJ14" s="3">
        <f t="shared" si="1"/>
        <v>5.6899999999999995</v>
      </c>
      <c r="AK14" s="3">
        <f t="shared" si="2"/>
        <v>-0.33999999999999986</v>
      </c>
      <c r="AL14" s="3">
        <f t="shared" si="3"/>
        <v>1.38</v>
      </c>
      <c r="AM14" s="20" t="e">
        <f>#REF!-#REF!</f>
        <v>#REF!</v>
      </c>
      <c r="AN14" s="3" t="e">
        <f>AM14*100/#REF!</f>
        <v>#REF!</v>
      </c>
      <c r="AP14" s="12"/>
    </row>
    <row r="15" spans="1:42" x14ac:dyDescent="0.2">
      <c r="A15" s="19" t="s">
        <v>26</v>
      </c>
      <c r="B15" s="2">
        <v>81922512</v>
      </c>
      <c r="C15" s="2">
        <v>2239324</v>
      </c>
      <c r="D15" s="2">
        <v>74739985</v>
      </c>
      <c r="E15" s="2">
        <v>900</v>
      </c>
      <c r="F15" s="2">
        <v>13316</v>
      </c>
      <c r="G15" s="2">
        <v>4943203</v>
      </c>
      <c r="H15" s="3">
        <v>6.04</v>
      </c>
      <c r="I15" s="3"/>
      <c r="J15" s="20">
        <v>670212601</v>
      </c>
      <c r="K15" s="20">
        <v>13421574</v>
      </c>
      <c r="L15" s="20">
        <v>612792468</v>
      </c>
      <c r="M15" s="20">
        <v>517719</v>
      </c>
      <c r="N15" s="20">
        <v>104584</v>
      </c>
      <c r="O15" s="2">
        <v>43998559</v>
      </c>
      <c r="P15" s="3">
        <v>6.57</v>
      </c>
      <c r="Q15" s="3"/>
      <c r="R15" s="2">
        <v>77042778</v>
      </c>
      <c r="S15" s="2">
        <v>2396373</v>
      </c>
      <c r="T15" s="2">
        <v>68093470</v>
      </c>
      <c r="U15" s="2">
        <v>1500</v>
      </c>
      <c r="V15" s="2">
        <v>1090</v>
      </c>
      <c r="W15" s="2">
        <v>6552935</v>
      </c>
      <c r="X15" s="3">
        <v>8.5099999999999891</v>
      </c>
      <c r="Y15" s="3"/>
      <c r="Z15" s="20">
        <v>613917812</v>
      </c>
      <c r="AA15" s="20">
        <v>17012300</v>
      </c>
      <c r="AB15" s="20">
        <v>556166489</v>
      </c>
      <c r="AC15" s="20">
        <v>493300</v>
      </c>
      <c r="AD15" s="20">
        <v>9956</v>
      </c>
      <c r="AE15" s="2">
        <v>40739023</v>
      </c>
      <c r="AF15" s="3">
        <v>6.6399999999999899</v>
      </c>
      <c r="AG15" s="3"/>
      <c r="AH15" s="23">
        <v>7.1</v>
      </c>
      <c r="AI15" s="3">
        <f t="shared" si="0"/>
        <v>-1.0599999999999996</v>
      </c>
      <c r="AJ15" s="3">
        <f t="shared" si="1"/>
        <v>-2.4699999999999891</v>
      </c>
      <c r="AK15" s="3">
        <f t="shared" si="2"/>
        <v>-0.52999999999999936</v>
      </c>
      <c r="AL15" s="3">
        <f t="shared" si="3"/>
        <v>-6.9999999999989626E-2</v>
      </c>
      <c r="AM15" s="20" t="e">
        <f>#REF!-#REF!</f>
        <v>#REF!</v>
      </c>
      <c r="AN15" s="3" t="e">
        <f>AM15*100/#REF!</f>
        <v>#REF!</v>
      </c>
      <c r="AP15" s="12"/>
    </row>
    <row r="16" spans="1:42" x14ac:dyDescent="0.2">
      <c r="A16" s="19" t="s">
        <v>27</v>
      </c>
      <c r="B16" s="2">
        <v>736773341</v>
      </c>
      <c r="C16" s="2">
        <v>3798593</v>
      </c>
      <c r="D16" s="2">
        <v>713986318</v>
      </c>
      <c r="E16" s="2">
        <v>0</v>
      </c>
      <c r="F16" s="2">
        <v>32785</v>
      </c>
      <c r="G16" s="2">
        <v>18988430</v>
      </c>
      <c r="H16" s="3">
        <v>2.58</v>
      </c>
      <c r="I16" s="3"/>
      <c r="J16" s="20">
        <v>5372714544</v>
      </c>
      <c r="K16" s="20">
        <v>26195599</v>
      </c>
      <c r="L16" s="20">
        <v>5157918411</v>
      </c>
      <c r="M16" s="20">
        <v>0</v>
      </c>
      <c r="N16" s="20">
        <v>308134</v>
      </c>
      <c r="O16" s="2">
        <v>188600534</v>
      </c>
      <c r="P16" s="3">
        <v>3.51</v>
      </c>
      <c r="Q16" s="3"/>
      <c r="R16" s="2">
        <v>657666166</v>
      </c>
      <c r="S16" s="2">
        <v>3733350</v>
      </c>
      <c r="T16" s="2">
        <v>626425349</v>
      </c>
      <c r="U16" s="2">
        <v>0</v>
      </c>
      <c r="V16" s="2">
        <v>40862</v>
      </c>
      <c r="W16" s="2">
        <v>27507467</v>
      </c>
      <c r="X16" s="3">
        <v>4.1799999999999899</v>
      </c>
      <c r="Y16" s="3"/>
      <c r="Z16" s="20">
        <v>4753737055</v>
      </c>
      <c r="AA16" s="20">
        <v>13598970</v>
      </c>
      <c r="AB16" s="20">
        <v>4567385963</v>
      </c>
      <c r="AC16" s="20">
        <v>0</v>
      </c>
      <c r="AD16" s="20">
        <v>264850</v>
      </c>
      <c r="AE16" s="2">
        <v>172752122</v>
      </c>
      <c r="AF16" s="3">
        <v>3.6299999999999901</v>
      </c>
      <c r="AG16" s="3"/>
      <c r="AH16" s="23">
        <v>3.71</v>
      </c>
      <c r="AI16" s="3">
        <f t="shared" si="0"/>
        <v>-1.1299999999999999</v>
      </c>
      <c r="AJ16" s="3">
        <f t="shared" si="1"/>
        <v>-1.5999999999999899</v>
      </c>
      <c r="AK16" s="3">
        <f t="shared" si="2"/>
        <v>-0.20000000000000018</v>
      </c>
      <c r="AL16" s="3">
        <f t="shared" si="3"/>
        <v>-0.11999999999999034</v>
      </c>
      <c r="AM16" s="20" t="e">
        <f>#REF!-#REF!</f>
        <v>#REF!</v>
      </c>
      <c r="AN16" s="3" t="e">
        <f>AM16*100/#REF!</f>
        <v>#REF!</v>
      </c>
      <c r="AP16" s="12"/>
    </row>
    <row r="17" spans="1:42" x14ac:dyDescent="0.2">
      <c r="A17" s="19" t="s">
        <v>28</v>
      </c>
      <c r="B17" s="2">
        <v>229344700</v>
      </c>
      <c r="C17" s="2">
        <v>16244549</v>
      </c>
      <c r="D17" s="2">
        <v>202415625</v>
      </c>
      <c r="E17" s="2">
        <v>0</v>
      </c>
      <c r="F17" s="2">
        <v>0</v>
      </c>
      <c r="G17" s="2">
        <v>10684526</v>
      </c>
      <c r="H17" s="3">
        <v>4.66</v>
      </c>
      <c r="I17" s="3"/>
      <c r="J17" s="20">
        <v>1637850500</v>
      </c>
      <c r="K17" s="20">
        <v>122226879</v>
      </c>
      <c r="L17" s="20">
        <v>1423389704</v>
      </c>
      <c r="M17" s="20">
        <v>56200</v>
      </c>
      <c r="N17" s="20">
        <v>0</v>
      </c>
      <c r="O17" s="2">
        <v>92233917</v>
      </c>
      <c r="P17" s="3">
        <v>5.63</v>
      </c>
      <c r="Q17" s="3"/>
      <c r="R17" s="2">
        <v>184251600</v>
      </c>
      <c r="S17" s="2">
        <v>14182060</v>
      </c>
      <c r="T17" s="2">
        <v>155109087</v>
      </c>
      <c r="U17" s="2">
        <v>0</v>
      </c>
      <c r="V17" s="2">
        <v>0</v>
      </c>
      <c r="W17" s="2">
        <v>14960453</v>
      </c>
      <c r="X17" s="3">
        <v>8.1199999999999903</v>
      </c>
      <c r="Y17" s="3"/>
      <c r="Z17" s="20">
        <v>1306804900</v>
      </c>
      <c r="AA17" s="20">
        <v>114307304</v>
      </c>
      <c r="AB17" s="20">
        <v>1106656452</v>
      </c>
      <c r="AC17" s="20">
        <v>43400</v>
      </c>
      <c r="AD17" s="20">
        <v>0</v>
      </c>
      <c r="AE17" s="2">
        <v>85841144</v>
      </c>
      <c r="AF17" s="3">
        <v>6.57</v>
      </c>
      <c r="AG17" s="3"/>
      <c r="AH17" s="23">
        <v>5.85</v>
      </c>
      <c r="AI17" s="3">
        <f t="shared" si="0"/>
        <v>-1.1899999999999995</v>
      </c>
      <c r="AJ17" s="3">
        <f t="shared" si="1"/>
        <v>-3.4599999999999902</v>
      </c>
      <c r="AK17" s="3">
        <f t="shared" si="2"/>
        <v>-0.21999999999999975</v>
      </c>
      <c r="AL17" s="3">
        <f t="shared" si="3"/>
        <v>-0.94000000000000039</v>
      </c>
      <c r="AM17" s="20" t="e">
        <f>#REF!-#REF!</f>
        <v>#REF!</v>
      </c>
      <c r="AN17" s="3" t="e">
        <f>AM17*100/#REF!</f>
        <v>#REF!</v>
      </c>
      <c r="AP17" s="12"/>
    </row>
    <row r="18" spans="1:42" x14ac:dyDescent="0.2">
      <c r="A18" s="19" t="s">
        <v>29</v>
      </c>
      <c r="B18" s="2">
        <v>309027225</v>
      </c>
      <c r="C18" s="2">
        <v>4630370</v>
      </c>
      <c r="D18" s="2">
        <v>291127745</v>
      </c>
      <c r="E18" s="2">
        <v>0</v>
      </c>
      <c r="F18" s="2">
        <v>7225</v>
      </c>
      <c r="G18" s="2">
        <v>13269110</v>
      </c>
      <c r="H18" s="3">
        <v>4.29</v>
      </c>
      <c r="I18" s="3"/>
      <c r="J18" s="20">
        <v>2253867450</v>
      </c>
      <c r="K18" s="20">
        <v>35248766</v>
      </c>
      <c r="L18" s="20">
        <v>2106210831</v>
      </c>
      <c r="M18" s="20">
        <v>0</v>
      </c>
      <c r="N18" s="20">
        <v>51350</v>
      </c>
      <c r="O18" s="2">
        <v>112407853</v>
      </c>
      <c r="P18" s="3">
        <v>4.99</v>
      </c>
      <c r="Q18" s="3"/>
      <c r="R18" s="2">
        <v>272701385</v>
      </c>
      <c r="S18" s="2">
        <v>4359213</v>
      </c>
      <c r="T18" s="2">
        <v>252540053</v>
      </c>
      <c r="U18" s="2">
        <v>0</v>
      </c>
      <c r="V18" s="2">
        <v>6485</v>
      </c>
      <c r="W18" s="2">
        <v>15802119</v>
      </c>
      <c r="X18" s="3">
        <v>5.79</v>
      </c>
      <c r="Y18" s="3"/>
      <c r="Z18" s="20">
        <v>1990747769</v>
      </c>
      <c r="AA18" s="20">
        <v>31937764</v>
      </c>
      <c r="AB18" s="20">
        <v>1849852574</v>
      </c>
      <c r="AC18" s="20">
        <v>0</v>
      </c>
      <c r="AD18" s="20">
        <v>50169</v>
      </c>
      <c r="AE18" s="2">
        <v>108957431</v>
      </c>
      <c r="AF18" s="3">
        <v>5.46999999999999</v>
      </c>
      <c r="AG18" s="3"/>
      <c r="AH18" s="23">
        <v>4.58</v>
      </c>
      <c r="AI18" s="3">
        <f t="shared" si="0"/>
        <v>-0.29000000000000004</v>
      </c>
      <c r="AJ18" s="3">
        <f t="shared" si="1"/>
        <v>-1.5</v>
      </c>
      <c r="AK18" s="3">
        <f t="shared" si="2"/>
        <v>0.41000000000000014</v>
      </c>
      <c r="AL18" s="3">
        <f t="shared" si="3"/>
        <v>-0.47999999999998977</v>
      </c>
      <c r="AM18" s="20" t="e">
        <f>#REF!-#REF!</f>
        <v>#REF!</v>
      </c>
      <c r="AN18" s="3" t="e">
        <f>AM18*100/#REF!</f>
        <v>#REF!</v>
      </c>
      <c r="AP18" s="12"/>
    </row>
    <row r="19" spans="1:42" x14ac:dyDescent="0.2">
      <c r="A19" s="19" t="s">
        <v>30</v>
      </c>
      <c r="B19" s="2">
        <v>181005320</v>
      </c>
      <c r="C19" s="2">
        <v>15989555</v>
      </c>
      <c r="D19" s="2">
        <v>154002153</v>
      </c>
      <c r="E19" s="2">
        <v>0</v>
      </c>
      <c r="F19" s="2">
        <v>0</v>
      </c>
      <c r="G19" s="2">
        <v>11013612</v>
      </c>
      <c r="H19" s="3">
        <v>6.08</v>
      </c>
      <c r="I19" s="3"/>
      <c r="J19" s="20">
        <v>1422936241</v>
      </c>
      <c r="K19" s="20">
        <v>124949794</v>
      </c>
      <c r="L19" s="20">
        <v>1256909841</v>
      </c>
      <c r="M19" s="20">
        <v>0</v>
      </c>
      <c r="N19" s="20">
        <v>0</v>
      </c>
      <c r="O19" s="2">
        <v>41076606</v>
      </c>
      <c r="P19" s="3">
        <v>2.89</v>
      </c>
      <c r="Q19" s="3"/>
      <c r="R19" s="2">
        <v>167705261</v>
      </c>
      <c r="S19" s="2">
        <v>16709496</v>
      </c>
      <c r="T19" s="2">
        <v>145642879</v>
      </c>
      <c r="U19" s="2">
        <v>0</v>
      </c>
      <c r="V19" s="2">
        <v>0</v>
      </c>
      <c r="W19" s="2">
        <v>5352886</v>
      </c>
      <c r="X19" s="3">
        <v>3.1899999999999902</v>
      </c>
      <c r="Y19" s="3"/>
      <c r="Z19" s="20">
        <v>1311612427</v>
      </c>
      <c r="AA19" s="20">
        <v>123583741</v>
      </c>
      <c r="AB19" s="20">
        <v>1144258893</v>
      </c>
      <c r="AC19" s="20">
        <v>0</v>
      </c>
      <c r="AD19" s="20">
        <v>0</v>
      </c>
      <c r="AE19" s="2">
        <v>43769793</v>
      </c>
      <c r="AF19" s="3">
        <v>3.3399999999999901</v>
      </c>
      <c r="AG19" s="3"/>
      <c r="AH19" s="23">
        <v>6.05</v>
      </c>
      <c r="AI19" s="3">
        <f t="shared" si="0"/>
        <v>3.0000000000000249E-2</v>
      </c>
      <c r="AJ19" s="3">
        <f t="shared" si="1"/>
        <v>2.8900000000000099</v>
      </c>
      <c r="AK19" s="3">
        <f t="shared" si="2"/>
        <v>-3.1599999999999997</v>
      </c>
      <c r="AL19" s="3">
        <f t="shared" si="3"/>
        <v>-0.44999999999998996</v>
      </c>
      <c r="AM19" s="20" t="e">
        <f>#REF!-#REF!</f>
        <v>#REF!</v>
      </c>
      <c r="AN19" s="3" t="e">
        <f>AM19*100/#REF!</f>
        <v>#REF!</v>
      </c>
      <c r="AP19" s="12"/>
    </row>
    <row r="20" spans="1:42" x14ac:dyDescent="0.2">
      <c r="A20" s="19" t="s">
        <v>31</v>
      </c>
      <c r="B20" s="2">
        <v>198656900</v>
      </c>
      <c r="C20" s="2">
        <v>3616530</v>
      </c>
      <c r="D20" s="2">
        <v>176481520</v>
      </c>
      <c r="E20" s="2">
        <v>0</v>
      </c>
      <c r="F20" s="2">
        <v>0</v>
      </c>
      <c r="G20" s="2">
        <v>18558850</v>
      </c>
      <c r="H20" s="3">
        <v>9.34</v>
      </c>
      <c r="I20" s="3"/>
      <c r="J20" s="20">
        <v>1496174800</v>
      </c>
      <c r="K20" s="20">
        <v>29015010</v>
      </c>
      <c r="L20" s="20">
        <v>1354786137</v>
      </c>
      <c r="M20" s="20">
        <v>0</v>
      </c>
      <c r="N20" s="20">
        <v>0</v>
      </c>
      <c r="O20" s="2">
        <v>112373653</v>
      </c>
      <c r="P20" s="3">
        <v>7.51</v>
      </c>
      <c r="Q20" s="3"/>
      <c r="R20" s="2">
        <v>173074900</v>
      </c>
      <c r="S20" s="2">
        <v>402624</v>
      </c>
      <c r="T20" s="2">
        <v>158362360</v>
      </c>
      <c r="U20" s="2">
        <v>0</v>
      </c>
      <c r="V20" s="2">
        <v>0</v>
      </c>
      <c r="W20" s="2">
        <v>14309916</v>
      </c>
      <c r="X20" s="3">
        <v>8.2699999999999907</v>
      </c>
      <c r="Y20" s="3"/>
      <c r="Z20" s="20">
        <v>1325694208</v>
      </c>
      <c r="AA20" s="20">
        <v>5952383</v>
      </c>
      <c r="AB20" s="20">
        <v>1216128555</v>
      </c>
      <c r="AC20" s="20">
        <v>0</v>
      </c>
      <c r="AD20" s="20">
        <v>0</v>
      </c>
      <c r="AE20" s="2">
        <v>103613270</v>
      </c>
      <c r="AF20" s="3">
        <v>7.82</v>
      </c>
      <c r="AG20" s="3"/>
      <c r="AH20" s="23">
        <v>7.5</v>
      </c>
      <c r="AI20" s="3">
        <f t="shared" si="0"/>
        <v>1.8399999999999999</v>
      </c>
      <c r="AJ20" s="3">
        <f t="shared" si="1"/>
        <v>1.0700000000000092</v>
      </c>
      <c r="AK20" s="3">
        <f t="shared" si="2"/>
        <v>9.9999999999997868E-3</v>
      </c>
      <c r="AL20" s="3">
        <f t="shared" si="3"/>
        <v>-0.3100000000000005</v>
      </c>
      <c r="AM20" s="20" t="e">
        <f>#REF!-#REF!</f>
        <v>#REF!</v>
      </c>
      <c r="AN20" s="3" t="e">
        <f>AM20*100/#REF!</f>
        <v>#REF!</v>
      </c>
      <c r="AP20" s="12"/>
    </row>
    <row r="21" spans="1:42" x14ac:dyDescent="0.2">
      <c r="A21" s="19" t="s">
        <v>32</v>
      </c>
      <c r="B21" s="2">
        <v>105365200</v>
      </c>
      <c r="C21" s="2">
        <v>1063640</v>
      </c>
      <c r="D21" s="2">
        <v>96560731</v>
      </c>
      <c r="E21" s="2">
        <v>0</v>
      </c>
      <c r="F21" s="2">
        <v>0</v>
      </c>
      <c r="G21" s="2">
        <v>7740829</v>
      </c>
      <c r="H21" s="3">
        <v>7.35</v>
      </c>
      <c r="I21" s="3"/>
      <c r="J21" s="20">
        <v>769884300</v>
      </c>
      <c r="K21" s="20">
        <v>12144440</v>
      </c>
      <c r="L21" s="20">
        <v>702571426</v>
      </c>
      <c r="M21" s="20">
        <v>0</v>
      </c>
      <c r="N21" s="20">
        <v>0</v>
      </c>
      <c r="O21" s="2">
        <v>55168434</v>
      </c>
      <c r="P21" s="3">
        <v>7.17</v>
      </c>
      <c r="Q21" s="3"/>
      <c r="R21" s="2">
        <v>96495600</v>
      </c>
      <c r="S21" s="2">
        <v>948380</v>
      </c>
      <c r="T21" s="2">
        <v>86002700</v>
      </c>
      <c r="U21" s="2">
        <v>0</v>
      </c>
      <c r="V21" s="2">
        <v>0</v>
      </c>
      <c r="W21" s="2">
        <v>9544520</v>
      </c>
      <c r="X21" s="3">
        <v>9.89</v>
      </c>
      <c r="Y21" s="3"/>
      <c r="Z21" s="20">
        <v>714432684</v>
      </c>
      <c r="AA21" s="20">
        <v>15559640</v>
      </c>
      <c r="AB21" s="20">
        <v>637122085</v>
      </c>
      <c r="AC21" s="20">
        <v>0</v>
      </c>
      <c r="AD21" s="20">
        <v>0</v>
      </c>
      <c r="AE21" s="2">
        <v>61750959</v>
      </c>
      <c r="AF21" s="3">
        <v>8.64</v>
      </c>
      <c r="AG21" s="3"/>
      <c r="AH21" s="23">
        <v>7.8</v>
      </c>
      <c r="AI21" s="3">
        <f t="shared" si="0"/>
        <v>-0.45000000000000018</v>
      </c>
      <c r="AJ21" s="3">
        <f t="shared" si="1"/>
        <v>-2.5400000000000009</v>
      </c>
      <c r="AK21" s="3">
        <f t="shared" si="2"/>
        <v>-0.62999999999999989</v>
      </c>
      <c r="AL21" s="3">
        <f t="shared" si="3"/>
        <v>-1.4700000000000006</v>
      </c>
      <c r="AM21" s="20" t="e">
        <f>#REF!-#REF!</f>
        <v>#REF!</v>
      </c>
      <c r="AN21" s="3" t="e">
        <f>AM21*100/#REF!</f>
        <v>#REF!</v>
      </c>
      <c r="AP21" s="12"/>
    </row>
    <row r="22" spans="1:42" x14ac:dyDescent="0.2">
      <c r="A22" s="19" t="s">
        <v>33</v>
      </c>
      <c r="B22" s="2">
        <v>70336174</v>
      </c>
      <c r="C22" s="2">
        <v>3620664</v>
      </c>
      <c r="D22" s="2">
        <v>63423629</v>
      </c>
      <c r="E22" s="2">
        <v>0</v>
      </c>
      <c r="F22" s="2">
        <v>0</v>
      </c>
      <c r="G22" s="2">
        <v>3291881</v>
      </c>
      <c r="H22" s="3">
        <v>4.68</v>
      </c>
      <c r="I22" s="3"/>
      <c r="J22" s="20">
        <v>523100369</v>
      </c>
      <c r="K22" s="20">
        <v>14012211</v>
      </c>
      <c r="L22" s="20">
        <v>479651306</v>
      </c>
      <c r="M22" s="20">
        <v>0</v>
      </c>
      <c r="N22" s="20">
        <v>0</v>
      </c>
      <c r="O22" s="2">
        <v>29436852</v>
      </c>
      <c r="P22" s="3">
        <v>5.63</v>
      </c>
      <c r="Q22" s="3"/>
      <c r="R22" s="2">
        <v>64916800</v>
      </c>
      <c r="S22" s="2">
        <v>5548699</v>
      </c>
      <c r="T22" s="2">
        <v>55357002</v>
      </c>
      <c r="U22" s="2">
        <v>0</v>
      </c>
      <c r="V22" s="2">
        <v>0</v>
      </c>
      <c r="W22" s="2">
        <v>4011099</v>
      </c>
      <c r="X22" s="3">
        <v>6.1799999999999899</v>
      </c>
      <c r="Y22" s="3"/>
      <c r="Z22" s="20">
        <v>493348268</v>
      </c>
      <c r="AA22" s="20">
        <v>42218241</v>
      </c>
      <c r="AB22" s="20">
        <v>425863000</v>
      </c>
      <c r="AC22" s="20">
        <v>0</v>
      </c>
      <c r="AD22" s="20">
        <v>0</v>
      </c>
      <c r="AE22" s="2">
        <v>25267027</v>
      </c>
      <c r="AF22" s="3">
        <v>5.12</v>
      </c>
      <c r="AG22" s="3"/>
      <c r="AH22" s="23">
        <v>5</v>
      </c>
      <c r="AI22" s="3">
        <f t="shared" si="0"/>
        <v>-0.32000000000000028</v>
      </c>
      <c r="AJ22" s="3">
        <f t="shared" si="1"/>
        <v>-1.4999999999999902</v>
      </c>
      <c r="AK22" s="3">
        <f t="shared" si="2"/>
        <v>0.62999999999999989</v>
      </c>
      <c r="AL22" s="3">
        <f t="shared" si="3"/>
        <v>0.50999999999999979</v>
      </c>
      <c r="AM22" s="20" t="e">
        <f>#REF!-#REF!</f>
        <v>#REF!</v>
      </c>
      <c r="AN22" s="3" t="e">
        <f>AM22*100/#REF!</f>
        <v>#REF!</v>
      </c>
      <c r="AP22" s="12"/>
    </row>
    <row r="23" spans="1:42" x14ac:dyDescent="0.2">
      <c r="A23" s="19" t="s">
        <v>34</v>
      </c>
      <c r="B23" s="2">
        <v>174740929</v>
      </c>
      <c r="C23" s="2">
        <v>8223041</v>
      </c>
      <c r="D23" s="2">
        <v>156738926</v>
      </c>
      <c r="E23" s="2">
        <v>1648900</v>
      </c>
      <c r="F23" s="2">
        <v>0</v>
      </c>
      <c r="G23" s="2">
        <v>9778962</v>
      </c>
      <c r="H23" s="3">
        <v>5.65</v>
      </c>
      <c r="I23" s="3"/>
      <c r="J23" s="20">
        <v>1358719968</v>
      </c>
      <c r="K23" s="20">
        <v>67558676</v>
      </c>
      <c r="L23" s="20">
        <v>1217158423</v>
      </c>
      <c r="M23" s="20">
        <v>22108480</v>
      </c>
      <c r="N23" s="20">
        <v>0</v>
      </c>
      <c r="O23" s="2">
        <v>74002869</v>
      </c>
      <c r="P23" s="3">
        <v>5.54</v>
      </c>
      <c r="Q23" s="3"/>
      <c r="R23" s="2">
        <v>159389267</v>
      </c>
      <c r="S23" s="2">
        <v>8597083</v>
      </c>
      <c r="T23" s="2">
        <v>143542035</v>
      </c>
      <c r="U23" s="2">
        <v>824580</v>
      </c>
      <c r="V23" s="2">
        <v>0</v>
      </c>
      <c r="W23" s="2">
        <v>7250149</v>
      </c>
      <c r="X23" s="3">
        <v>4.57</v>
      </c>
      <c r="Y23" s="3"/>
      <c r="Z23" s="20">
        <v>1228747745</v>
      </c>
      <c r="AA23" s="20">
        <v>68216821</v>
      </c>
      <c r="AB23" s="20">
        <v>1093101819</v>
      </c>
      <c r="AC23" s="20">
        <v>7771820</v>
      </c>
      <c r="AD23" s="20">
        <v>0</v>
      </c>
      <c r="AE23" s="2">
        <v>67429105</v>
      </c>
      <c r="AF23" s="3">
        <v>5.5199999999999898</v>
      </c>
      <c r="AG23" s="3"/>
      <c r="AH23" s="23">
        <v>4.5</v>
      </c>
      <c r="AI23" s="3">
        <f t="shared" si="0"/>
        <v>1.1500000000000004</v>
      </c>
      <c r="AJ23" s="3">
        <f t="shared" si="1"/>
        <v>1.08</v>
      </c>
      <c r="AK23" s="3">
        <f t="shared" si="2"/>
        <v>1.04</v>
      </c>
      <c r="AL23" s="3">
        <f t="shared" si="3"/>
        <v>2.0000000000010232E-2</v>
      </c>
      <c r="AM23" s="20" t="e">
        <f>#REF!-#REF!</f>
        <v>#REF!</v>
      </c>
      <c r="AN23" s="3" t="e">
        <f>AM23*100/#REF!</f>
        <v>#REF!</v>
      </c>
      <c r="AP23" s="12"/>
    </row>
    <row r="24" spans="1:42" x14ac:dyDescent="0.2">
      <c r="A24" s="19" t="s">
        <v>35</v>
      </c>
      <c r="B24" s="2">
        <v>178659324</v>
      </c>
      <c r="C24" s="2">
        <v>8807420</v>
      </c>
      <c r="D24" s="2">
        <v>160806221</v>
      </c>
      <c r="E24" s="2">
        <v>0</v>
      </c>
      <c r="F24" s="2">
        <v>0</v>
      </c>
      <c r="G24" s="2">
        <v>9045683</v>
      </c>
      <c r="H24" s="3">
        <v>5.0599999999999996</v>
      </c>
      <c r="I24" s="3"/>
      <c r="J24" s="20">
        <v>1366243216</v>
      </c>
      <c r="K24" s="20">
        <v>72394964</v>
      </c>
      <c r="L24" s="20">
        <v>1231770191</v>
      </c>
      <c r="M24" s="20">
        <v>0</v>
      </c>
      <c r="N24" s="20">
        <v>0</v>
      </c>
      <c r="O24" s="2">
        <v>62078061</v>
      </c>
      <c r="P24" s="3">
        <v>4.54</v>
      </c>
      <c r="Q24" s="3"/>
      <c r="R24" s="2">
        <v>174388565</v>
      </c>
      <c r="S24" s="2">
        <v>9167230</v>
      </c>
      <c r="T24" s="2">
        <v>155185318</v>
      </c>
      <c r="U24" s="2">
        <v>0</v>
      </c>
      <c r="V24" s="2">
        <v>0</v>
      </c>
      <c r="W24" s="2">
        <v>10036017</v>
      </c>
      <c r="X24" s="3">
        <v>5.75</v>
      </c>
      <c r="Y24" s="3"/>
      <c r="Z24" s="20">
        <v>1272393819</v>
      </c>
      <c r="AA24" s="20">
        <v>72885995</v>
      </c>
      <c r="AB24" s="20">
        <v>1138688298</v>
      </c>
      <c r="AC24" s="20">
        <v>0</v>
      </c>
      <c r="AD24" s="20">
        <v>0</v>
      </c>
      <c r="AE24" s="2">
        <v>60819526</v>
      </c>
      <c r="AF24" s="3">
        <v>4.78</v>
      </c>
      <c r="AG24" s="3"/>
      <c r="AH24" s="23">
        <v>5.0999999999999996</v>
      </c>
      <c r="AI24" s="3">
        <f t="shared" si="0"/>
        <v>-4.0000000000000036E-2</v>
      </c>
      <c r="AJ24" s="3">
        <f t="shared" si="1"/>
        <v>-0.69000000000000039</v>
      </c>
      <c r="AK24" s="3">
        <f t="shared" si="2"/>
        <v>-0.55999999999999961</v>
      </c>
      <c r="AL24" s="3">
        <f t="shared" si="3"/>
        <v>-0.24000000000000021</v>
      </c>
      <c r="AM24" s="20" t="e">
        <f>#REF!-#REF!</f>
        <v>#REF!</v>
      </c>
      <c r="AN24" s="3" t="e">
        <f>AM24*100/#REF!</f>
        <v>#REF!</v>
      </c>
      <c r="AP24" s="12"/>
    </row>
    <row r="25" spans="1:42" x14ac:dyDescent="0.2">
      <c r="A25" s="19" t="s">
        <v>36</v>
      </c>
      <c r="B25" s="2">
        <v>132965600</v>
      </c>
      <c r="C25" s="2">
        <v>3549377</v>
      </c>
      <c r="D25" s="2">
        <v>120626624</v>
      </c>
      <c r="E25" s="2">
        <v>0</v>
      </c>
      <c r="F25" s="2">
        <v>0</v>
      </c>
      <c r="G25" s="2">
        <v>8789599</v>
      </c>
      <c r="H25" s="3">
        <v>6.61</v>
      </c>
      <c r="I25" s="3"/>
      <c r="J25" s="20">
        <v>1050603400</v>
      </c>
      <c r="K25" s="20">
        <v>40550419</v>
      </c>
      <c r="L25" s="20">
        <v>936153773</v>
      </c>
      <c r="M25" s="20">
        <v>0</v>
      </c>
      <c r="N25" s="20">
        <v>0</v>
      </c>
      <c r="O25" s="2">
        <v>73899208</v>
      </c>
      <c r="P25" s="3">
        <v>7.03</v>
      </c>
      <c r="Q25" s="3"/>
      <c r="R25" s="2">
        <v>127081682</v>
      </c>
      <c r="S25" s="2">
        <v>6001936</v>
      </c>
      <c r="T25" s="2">
        <v>109985078</v>
      </c>
      <c r="U25" s="2">
        <v>0</v>
      </c>
      <c r="V25" s="2">
        <v>0</v>
      </c>
      <c r="W25" s="2">
        <v>11094668</v>
      </c>
      <c r="X25" s="3">
        <v>8.73</v>
      </c>
      <c r="Y25" s="3"/>
      <c r="Z25" s="20">
        <v>956033816</v>
      </c>
      <c r="AA25" s="20">
        <v>53677928</v>
      </c>
      <c r="AB25" s="20">
        <v>824290454</v>
      </c>
      <c r="AC25" s="20">
        <v>0</v>
      </c>
      <c r="AD25" s="20">
        <v>0</v>
      </c>
      <c r="AE25" s="2">
        <v>78065434</v>
      </c>
      <c r="AF25" s="3">
        <v>8.1699999999999893</v>
      </c>
      <c r="AG25" s="3"/>
      <c r="AH25" s="23">
        <v>6.65</v>
      </c>
      <c r="AI25" s="3">
        <f t="shared" si="0"/>
        <v>-4.0000000000000036E-2</v>
      </c>
      <c r="AJ25" s="3">
        <f t="shared" si="1"/>
        <v>-2.12</v>
      </c>
      <c r="AK25" s="3">
        <f t="shared" si="2"/>
        <v>0.37999999999999989</v>
      </c>
      <c r="AL25" s="3">
        <f t="shared" si="3"/>
        <v>-1.139999999999989</v>
      </c>
      <c r="AM25" s="20" t="e">
        <f>#REF!-#REF!</f>
        <v>#REF!</v>
      </c>
      <c r="AN25" s="3" t="e">
        <f>AM25*100/#REF!</f>
        <v>#REF!</v>
      </c>
      <c r="AP25" s="12"/>
    </row>
    <row r="26" spans="1:42" x14ac:dyDescent="0.2">
      <c r="A26" s="19" t="s">
        <v>37</v>
      </c>
      <c r="B26" s="2">
        <v>103346500</v>
      </c>
      <c r="C26" s="2">
        <v>48221</v>
      </c>
      <c r="D26" s="2">
        <v>92582117</v>
      </c>
      <c r="E26" s="2">
        <v>0</v>
      </c>
      <c r="F26" s="2">
        <v>0</v>
      </c>
      <c r="G26" s="2">
        <v>10716162</v>
      </c>
      <c r="H26" s="3">
        <v>10.37</v>
      </c>
      <c r="I26" s="3"/>
      <c r="J26" s="20">
        <v>795681400</v>
      </c>
      <c r="K26" s="20">
        <v>1198145</v>
      </c>
      <c r="L26" s="20">
        <v>721724911</v>
      </c>
      <c r="M26" s="20">
        <v>0</v>
      </c>
      <c r="N26" s="20">
        <v>0</v>
      </c>
      <c r="O26" s="2">
        <v>72758344</v>
      </c>
      <c r="P26" s="3">
        <v>9.14</v>
      </c>
      <c r="Q26" s="3"/>
      <c r="R26" s="2">
        <v>99326700</v>
      </c>
      <c r="S26" s="2">
        <v>48090</v>
      </c>
      <c r="T26" s="2">
        <v>86083128</v>
      </c>
      <c r="U26" s="2">
        <v>0</v>
      </c>
      <c r="V26" s="2">
        <v>0</v>
      </c>
      <c r="W26" s="2">
        <v>13195482</v>
      </c>
      <c r="X26" s="3">
        <v>13.2799999999999</v>
      </c>
      <c r="Y26" s="3"/>
      <c r="Z26" s="20">
        <v>734392613</v>
      </c>
      <c r="AA26" s="20">
        <v>3870605</v>
      </c>
      <c r="AB26" s="20">
        <v>645090843</v>
      </c>
      <c r="AC26" s="20">
        <v>0</v>
      </c>
      <c r="AD26" s="20">
        <v>0</v>
      </c>
      <c r="AE26" s="2">
        <v>85431165</v>
      </c>
      <c r="AF26" s="3">
        <v>11.63</v>
      </c>
      <c r="AG26" s="3"/>
      <c r="AH26" s="23">
        <v>8</v>
      </c>
      <c r="AI26" s="3">
        <f t="shared" si="0"/>
        <v>2.3699999999999992</v>
      </c>
      <c r="AJ26" s="3">
        <f t="shared" si="1"/>
        <v>-2.9099999999999007</v>
      </c>
      <c r="AK26" s="24">
        <f t="shared" si="2"/>
        <v>1.1400000000000006</v>
      </c>
      <c r="AL26" s="3">
        <f t="shared" si="3"/>
        <v>-2.4900000000000002</v>
      </c>
      <c r="AM26" s="20" t="e">
        <f>#REF!-#REF!</f>
        <v>#REF!</v>
      </c>
      <c r="AN26" s="3" t="e">
        <f>AM26*100/#REF!</f>
        <v>#REF!</v>
      </c>
      <c r="AP26" s="12"/>
    </row>
    <row r="27" spans="1:42" x14ac:dyDescent="0.2">
      <c r="A27" s="19" t="s">
        <v>38</v>
      </c>
      <c r="B27" s="2">
        <v>250948342</v>
      </c>
      <c r="C27" s="2">
        <v>58057</v>
      </c>
      <c r="D27" s="2">
        <v>240710661</v>
      </c>
      <c r="E27" s="2">
        <v>0</v>
      </c>
      <c r="F27" s="2">
        <v>0</v>
      </c>
      <c r="G27" s="2">
        <v>10179624</v>
      </c>
      <c r="H27" s="3">
        <v>4.0599999999999996</v>
      </c>
      <c r="I27" s="3"/>
      <c r="J27" s="20">
        <v>1883976018</v>
      </c>
      <c r="K27" s="20">
        <v>454979</v>
      </c>
      <c r="L27" s="20">
        <v>1806188791</v>
      </c>
      <c r="M27" s="20">
        <v>0</v>
      </c>
      <c r="N27" s="20">
        <v>0</v>
      </c>
      <c r="O27" s="2">
        <v>77332248</v>
      </c>
      <c r="P27" s="3">
        <v>4.0999999999999996</v>
      </c>
      <c r="Q27" s="3"/>
      <c r="R27" s="2">
        <v>232007205</v>
      </c>
      <c r="S27" s="2">
        <v>55937</v>
      </c>
      <c r="T27" s="2">
        <v>218968670</v>
      </c>
      <c r="U27" s="2">
        <v>0</v>
      </c>
      <c r="V27" s="2">
        <v>0</v>
      </c>
      <c r="W27" s="2">
        <v>12982598</v>
      </c>
      <c r="X27" s="3">
        <v>5.5999999999999899</v>
      </c>
      <c r="Y27" s="3"/>
      <c r="Z27" s="20">
        <v>1721662669</v>
      </c>
      <c r="AA27" s="20">
        <v>462701</v>
      </c>
      <c r="AB27" s="20">
        <v>1646301491</v>
      </c>
      <c r="AC27" s="20">
        <v>0</v>
      </c>
      <c r="AD27" s="20">
        <v>0</v>
      </c>
      <c r="AE27" s="2">
        <v>74898477</v>
      </c>
      <c r="AF27" s="3">
        <v>4.3499999999999899</v>
      </c>
      <c r="AG27" s="3"/>
      <c r="AH27" s="23">
        <v>4.55</v>
      </c>
      <c r="AI27" s="3">
        <f t="shared" si="0"/>
        <v>-0.49000000000000021</v>
      </c>
      <c r="AJ27" s="3">
        <f t="shared" si="1"/>
        <v>-1.5399999999999903</v>
      </c>
      <c r="AK27" s="3">
        <f t="shared" si="2"/>
        <v>-0.45000000000000018</v>
      </c>
      <c r="AL27" s="3">
        <f t="shared" si="3"/>
        <v>-0.24999999999999023</v>
      </c>
      <c r="AM27" s="20" t="e">
        <f>#REF!-#REF!</f>
        <v>#REF!</v>
      </c>
      <c r="AN27" s="3" t="e">
        <f>AM27*100/#REF!</f>
        <v>#REF!</v>
      </c>
      <c r="AP27" s="12"/>
    </row>
    <row r="28" spans="1:42" x14ac:dyDescent="0.2">
      <c r="A28" s="19" t="s">
        <v>39</v>
      </c>
      <c r="B28" s="2">
        <v>66994000</v>
      </c>
      <c r="C28" s="2">
        <v>267494</v>
      </c>
      <c r="D28" s="2">
        <v>62604340</v>
      </c>
      <c r="E28" s="2">
        <v>0</v>
      </c>
      <c r="F28" s="2">
        <v>0</v>
      </c>
      <c r="G28" s="2">
        <v>4122166</v>
      </c>
      <c r="H28" s="3">
        <v>6.15</v>
      </c>
      <c r="I28" s="3"/>
      <c r="J28" s="20">
        <v>493691200</v>
      </c>
      <c r="K28" s="20">
        <v>835359</v>
      </c>
      <c r="L28" s="20">
        <v>456929410</v>
      </c>
      <c r="M28" s="20">
        <v>0</v>
      </c>
      <c r="N28" s="20">
        <v>0</v>
      </c>
      <c r="O28" s="2">
        <v>35926431</v>
      </c>
      <c r="P28" s="3">
        <v>7.28</v>
      </c>
      <c r="Q28" s="3"/>
      <c r="R28" s="2">
        <v>59490531</v>
      </c>
      <c r="S28" s="2">
        <v>66450</v>
      </c>
      <c r="T28" s="2">
        <v>54974392</v>
      </c>
      <c r="U28" s="2">
        <v>0</v>
      </c>
      <c r="V28" s="2">
        <v>0</v>
      </c>
      <c r="W28" s="2">
        <v>4449689</v>
      </c>
      <c r="X28" s="3">
        <v>7.48</v>
      </c>
      <c r="Y28" s="3"/>
      <c r="Z28" s="20">
        <v>450147841</v>
      </c>
      <c r="AA28" s="20">
        <v>507368</v>
      </c>
      <c r="AB28" s="20">
        <v>412160003</v>
      </c>
      <c r="AC28" s="20">
        <v>0</v>
      </c>
      <c r="AD28" s="20">
        <v>0</v>
      </c>
      <c r="AE28" s="2">
        <v>37480470</v>
      </c>
      <c r="AF28" s="3">
        <v>8.33</v>
      </c>
      <c r="AG28" s="3"/>
      <c r="AH28" s="23">
        <v>6</v>
      </c>
      <c r="AI28" s="3">
        <f t="shared" si="0"/>
        <v>0.15000000000000036</v>
      </c>
      <c r="AJ28" s="3">
        <f t="shared" si="1"/>
        <v>-1.33</v>
      </c>
      <c r="AK28" s="3">
        <f t="shared" si="2"/>
        <v>1.2800000000000002</v>
      </c>
      <c r="AL28" s="3">
        <f t="shared" si="3"/>
        <v>-1.0499999999999998</v>
      </c>
      <c r="AM28" s="20" t="e">
        <f>#REF!-#REF!</f>
        <v>#REF!</v>
      </c>
      <c r="AN28" s="3" t="e">
        <f>AM28*100/#REF!</f>
        <v>#REF!</v>
      </c>
      <c r="AP28" s="12"/>
    </row>
    <row r="29" spans="1:42" x14ac:dyDescent="0.2">
      <c r="A29" s="19" t="s">
        <v>40</v>
      </c>
      <c r="B29" s="2">
        <v>96423631</v>
      </c>
      <c r="C29" s="2">
        <v>2218955</v>
      </c>
      <c r="D29" s="2">
        <v>86304622</v>
      </c>
      <c r="E29" s="2">
        <v>0</v>
      </c>
      <c r="F29" s="2">
        <v>0</v>
      </c>
      <c r="G29" s="2">
        <v>7900054</v>
      </c>
      <c r="H29" s="3">
        <v>8.19</v>
      </c>
      <c r="I29" s="3"/>
      <c r="J29" s="20">
        <v>693158551</v>
      </c>
      <c r="K29" s="20">
        <v>11444362</v>
      </c>
      <c r="L29" s="20">
        <v>631039581</v>
      </c>
      <c r="M29" s="20">
        <v>0</v>
      </c>
      <c r="N29" s="20">
        <v>0</v>
      </c>
      <c r="O29" s="2">
        <v>50674608</v>
      </c>
      <c r="P29" s="3">
        <v>7.31</v>
      </c>
      <c r="Q29" s="3"/>
      <c r="R29" s="2">
        <v>90053671</v>
      </c>
      <c r="S29" s="2">
        <v>705242</v>
      </c>
      <c r="T29" s="2">
        <v>79217081</v>
      </c>
      <c r="U29" s="2">
        <v>0</v>
      </c>
      <c r="V29" s="2">
        <v>0</v>
      </c>
      <c r="W29" s="2">
        <v>10131348</v>
      </c>
      <c r="X29" s="3">
        <v>11.25</v>
      </c>
      <c r="Y29" s="3"/>
      <c r="Z29" s="20">
        <v>660758161</v>
      </c>
      <c r="AA29" s="20">
        <v>5512906</v>
      </c>
      <c r="AB29" s="20">
        <v>589006485</v>
      </c>
      <c r="AC29" s="20">
        <v>0</v>
      </c>
      <c r="AD29" s="20">
        <v>0</v>
      </c>
      <c r="AE29" s="2">
        <v>66238770</v>
      </c>
      <c r="AF29" s="3">
        <v>10.02</v>
      </c>
      <c r="AG29" s="3"/>
      <c r="AH29" s="23">
        <v>7.8</v>
      </c>
      <c r="AI29" s="3">
        <f t="shared" si="0"/>
        <v>0.38999999999999968</v>
      </c>
      <c r="AJ29" s="3">
        <f t="shared" si="1"/>
        <v>-3.0600000000000005</v>
      </c>
      <c r="AK29" s="3">
        <f t="shared" si="2"/>
        <v>-0.49000000000000021</v>
      </c>
      <c r="AL29" s="3">
        <f t="shared" si="3"/>
        <v>-2.71</v>
      </c>
      <c r="AM29" s="20" t="e">
        <f>#REF!-#REF!</f>
        <v>#REF!</v>
      </c>
      <c r="AN29" s="3" t="e">
        <f>AM29*100/#REF!</f>
        <v>#REF!</v>
      </c>
      <c r="AP29" s="12"/>
    </row>
    <row r="30" spans="1:42" x14ac:dyDescent="0.2">
      <c r="A30" s="19" t="s">
        <v>41</v>
      </c>
      <c r="B30" s="2">
        <v>52983476</v>
      </c>
      <c r="C30" s="2">
        <v>1556962</v>
      </c>
      <c r="D30" s="2">
        <v>47042642</v>
      </c>
      <c r="E30" s="2">
        <v>0</v>
      </c>
      <c r="F30" s="2">
        <v>15000</v>
      </c>
      <c r="G30" s="2">
        <v>4383872</v>
      </c>
      <c r="H30" s="3">
        <v>8.2799999999999994</v>
      </c>
      <c r="I30" s="3"/>
      <c r="J30" s="20">
        <v>374739587</v>
      </c>
      <c r="K30" s="20">
        <v>9752925</v>
      </c>
      <c r="L30" s="20">
        <v>335485746</v>
      </c>
      <c r="M30" s="20">
        <v>2100</v>
      </c>
      <c r="N30" s="20">
        <v>121711</v>
      </c>
      <c r="O30" s="2">
        <v>29500916</v>
      </c>
      <c r="P30" s="3">
        <v>7.87</v>
      </c>
      <c r="Q30" s="3"/>
      <c r="R30" s="2">
        <v>49690200</v>
      </c>
      <c r="S30" s="2">
        <v>1490500</v>
      </c>
      <c r="T30" s="2">
        <v>44302676</v>
      </c>
      <c r="U30" s="2">
        <v>400</v>
      </c>
      <c r="V30" s="2">
        <v>18400</v>
      </c>
      <c r="W30" s="2">
        <v>3897024</v>
      </c>
      <c r="X30" s="3">
        <v>7.8499999999999899</v>
      </c>
      <c r="Y30" s="3"/>
      <c r="Z30" s="20">
        <v>355268800</v>
      </c>
      <c r="AA30" s="20">
        <v>11009370</v>
      </c>
      <c r="AB30" s="20">
        <v>317068003</v>
      </c>
      <c r="AC30" s="20">
        <v>2600</v>
      </c>
      <c r="AD30" s="20">
        <v>123600</v>
      </c>
      <c r="AE30" s="2">
        <v>27191427</v>
      </c>
      <c r="AF30" s="3">
        <v>7.66</v>
      </c>
      <c r="AG30" s="3"/>
      <c r="AH30" s="23">
        <v>6.55</v>
      </c>
      <c r="AI30" s="3">
        <f t="shared" si="0"/>
        <v>1.7299999999999995</v>
      </c>
      <c r="AJ30" s="3">
        <f t="shared" si="1"/>
        <v>0.43000000000000949</v>
      </c>
      <c r="AK30" s="3">
        <f t="shared" si="2"/>
        <v>1.3200000000000003</v>
      </c>
      <c r="AL30" s="3">
        <f t="shared" si="3"/>
        <v>0.20999999999999996</v>
      </c>
      <c r="AM30" s="20" t="e">
        <f>#REF!-#REF!</f>
        <v>#REF!</v>
      </c>
      <c r="AN30" s="3" t="e">
        <f>AM30*100/#REF!</f>
        <v>#REF!</v>
      </c>
      <c r="AP30" s="12"/>
    </row>
    <row r="31" spans="1:42" x14ac:dyDescent="0.2">
      <c r="A31" s="19" t="s">
        <v>42</v>
      </c>
      <c r="B31" s="2">
        <v>72577620</v>
      </c>
      <c r="C31" s="2">
        <v>2095054</v>
      </c>
      <c r="D31" s="2">
        <v>64636186</v>
      </c>
      <c r="E31" s="2">
        <v>9300</v>
      </c>
      <c r="F31" s="2">
        <v>0</v>
      </c>
      <c r="G31" s="2">
        <v>5846380</v>
      </c>
      <c r="H31" s="3">
        <v>8.06</v>
      </c>
      <c r="I31" s="3"/>
      <c r="J31" s="20">
        <v>544116980</v>
      </c>
      <c r="K31" s="20">
        <v>13612383</v>
      </c>
      <c r="L31" s="20">
        <v>487951946</v>
      </c>
      <c r="M31" s="20">
        <v>80200</v>
      </c>
      <c r="N31" s="20">
        <v>0</v>
      </c>
      <c r="O31" s="2">
        <v>42552651</v>
      </c>
      <c r="P31" s="3">
        <v>7.82</v>
      </c>
      <c r="Q31" s="3"/>
      <c r="R31" s="2">
        <v>72563820</v>
      </c>
      <c r="S31" s="2">
        <v>4576094</v>
      </c>
      <c r="T31" s="2">
        <v>61339831</v>
      </c>
      <c r="U31" s="2">
        <v>8500</v>
      </c>
      <c r="V31" s="2">
        <v>0</v>
      </c>
      <c r="W31" s="2">
        <v>6647895</v>
      </c>
      <c r="X31" s="3">
        <v>9.16</v>
      </c>
      <c r="Y31" s="3"/>
      <c r="Z31" s="20">
        <v>536143040</v>
      </c>
      <c r="AA31" s="20">
        <v>31239363</v>
      </c>
      <c r="AB31" s="20">
        <v>460199416</v>
      </c>
      <c r="AC31" s="20">
        <v>76900</v>
      </c>
      <c r="AD31" s="20">
        <v>0</v>
      </c>
      <c r="AE31" s="2">
        <v>44704261</v>
      </c>
      <c r="AF31" s="3">
        <v>8.3399999999999892</v>
      </c>
      <c r="AG31" s="3"/>
      <c r="AH31" s="23">
        <v>7.4</v>
      </c>
      <c r="AI31" s="3">
        <f t="shared" si="0"/>
        <v>0.66000000000000014</v>
      </c>
      <c r="AJ31" s="3">
        <f t="shared" si="1"/>
        <v>-1.0999999999999996</v>
      </c>
      <c r="AK31" s="3">
        <f t="shared" si="2"/>
        <v>0.41999999999999993</v>
      </c>
      <c r="AL31" s="3">
        <f t="shared" si="3"/>
        <v>-0.51999999999998892</v>
      </c>
      <c r="AM31" s="20" t="e">
        <f>#REF!-#REF!</f>
        <v>#REF!</v>
      </c>
      <c r="AN31" s="3" t="e">
        <f>AM31*100/#REF!</f>
        <v>#REF!</v>
      </c>
      <c r="AP31" s="12"/>
    </row>
    <row r="32" spans="1:42" x14ac:dyDescent="0.2">
      <c r="A32" s="19" t="s">
        <v>43</v>
      </c>
      <c r="B32" s="2">
        <v>51969433</v>
      </c>
      <c r="C32" s="2">
        <v>7038812</v>
      </c>
      <c r="D32" s="2">
        <v>41476991</v>
      </c>
      <c r="E32" s="2">
        <v>0</v>
      </c>
      <c r="F32" s="2">
        <v>0</v>
      </c>
      <c r="G32" s="2">
        <v>3453630</v>
      </c>
      <c r="H32" s="3">
        <v>6.65</v>
      </c>
      <c r="I32" s="3"/>
      <c r="J32" s="20">
        <v>401298140</v>
      </c>
      <c r="K32" s="20">
        <v>58188235</v>
      </c>
      <c r="L32" s="20">
        <v>317173329</v>
      </c>
      <c r="M32" s="20">
        <v>0</v>
      </c>
      <c r="N32" s="20">
        <v>0</v>
      </c>
      <c r="O32" s="2">
        <v>25936576</v>
      </c>
      <c r="P32" s="3">
        <v>6.46</v>
      </c>
      <c r="Q32" s="43"/>
      <c r="R32" s="2">
        <v>49584992</v>
      </c>
      <c r="S32" s="2">
        <v>8096809</v>
      </c>
      <c r="T32" s="2">
        <v>37529497</v>
      </c>
      <c r="U32" s="2">
        <v>0</v>
      </c>
      <c r="V32" s="2">
        <v>0</v>
      </c>
      <c r="W32" s="2">
        <v>3958686</v>
      </c>
      <c r="X32" s="3">
        <v>7.98</v>
      </c>
      <c r="Y32" s="3"/>
      <c r="Z32" s="20">
        <v>376473949</v>
      </c>
      <c r="AA32" s="20">
        <v>65138997</v>
      </c>
      <c r="AB32" s="20">
        <v>285449977</v>
      </c>
      <c r="AC32" s="20">
        <v>0</v>
      </c>
      <c r="AD32" s="20">
        <v>0</v>
      </c>
      <c r="AE32" s="2">
        <v>25884975</v>
      </c>
      <c r="AF32" s="3">
        <v>6.8799999999999901</v>
      </c>
      <c r="AG32" s="3"/>
      <c r="AH32" s="23">
        <v>7</v>
      </c>
      <c r="AI32" s="3">
        <f t="shared" si="0"/>
        <v>-0.34999999999999964</v>
      </c>
      <c r="AJ32" s="3">
        <f t="shared" si="1"/>
        <v>-1.33</v>
      </c>
      <c r="AK32" s="3">
        <f t="shared" si="2"/>
        <v>-0.54</v>
      </c>
      <c r="AL32" s="3">
        <f t="shared" si="3"/>
        <v>-0.41999999999999016</v>
      </c>
      <c r="AM32" s="20" t="e">
        <f>#REF!-#REF!</f>
        <v>#REF!</v>
      </c>
      <c r="AN32" s="3" t="e">
        <f>AM32*100/#REF!</f>
        <v>#REF!</v>
      </c>
      <c r="AP32" s="12"/>
    </row>
    <row r="33" spans="1:42" s="47" customFormat="1" x14ac:dyDescent="0.2">
      <c r="A33" s="41" t="s">
        <v>44</v>
      </c>
      <c r="B33" s="42">
        <v>640770780</v>
      </c>
      <c r="C33" s="42">
        <v>4628744</v>
      </c>
      <c r="D33" s="42">
        <v>610693067</v>
      </c>
      <c r="E33" s="42"/>
      <c r="F33" s="42"/>
      <c r="G33" s="42">
        <f>(B33-C33-D33)</f>
        <v>25448969</v>
      </c>
      <c r="H33" s="43">
        <f>(B33-C33-D33)*100/(B33-E33-F33)</f>
        <v>3.9716182126781749</v>
      </c>
      <c r="I33" s="43"/>
      <c r="J33" s="42">
        <v>4823828838</v>
      </c>
      <c r="K33" s="42">
        <v>25298281</v>
      </c>
      <c r="L33" s="42">
        <v>4586031524</v>
      </c>
      <c r="M33" s="42"/>
      <c r="N33" s="42"/>
      <c r="O33" s="42">
        <f>(J33-K33-L33)</f>
        <v>212499033</v>
      </c>
      <c r="P33" s="43">
        <f>(J33-K33-L33)*100/(J33-M33-N33)</f>
        <v>4.4051942997236173</v>
      </c>
      <c r="Q33" s="43"/>
      <c r="R33" s="42">
        <v>576763528</v>
      </c>
      <c r="S33" s="42">
        <v>2370609</v>
      </c>
      <c r="T33" s="42">
        <v>546840854</v>
      </c>
      <c r="U33" s="42"/>
      <c r="V33" s="42"/>
      <c r="W33" s="42">
        <f>(R33-S33-T33)</f>
        <v>27552065</v>
      </c>
      <c r="X33" s="43">
        <f>(R33-S33-T33)*100/(R33-U33-V33)</f>
        <v>4.7770123564401246</v>
      </c>
      <c r="Y33" s="43"/>
      <c r="Z33" s="42">
        <v>4328059664</v>
      </c>
      <c r="AA33" s="42">
        <v>18591055</v>
      </c>
      <c r="AB33" s="42">
        <v>4121057727</v>
      </c>
      <c r="AC33" s="42"/>
      <c r="AD33" s="42"/>
      <c r="AE33" s="42">
        <f>(Z33-AA33-AB33)</f>
        <v>188410882</v>
      </c>
      <c r="AF33" s="43">
        <f>(Z33-AA33-AB33)*100/(Z33-AC33-AD33)</f>
        <v>4.3532413281445006</v>
      </c>
      <c r="AG33" s="43"/>
      <c r="AH33" s="43">
        <v>2.87</v>
      </c>
      <c r="AI33" s="24">
        <v>-7.8</v>
      </c>
      <c r="AJ33" s="24">
        <v>-1.75</v>
      </c>
      <c r="AK33" s="24">
        <f t="shared" si="2"/>
        <v>1.5351942997236172</v>
      </c>
      <c r="AL33" s="24">
        <v>-8.73</v>
      </c>
      <c r="AM33" s="45"/>
      <c r="AN33" s="24"/>
      <c r="AP33" s="48"/>
    </row>
    <row r="34" spans="1:42" s="39" customFormat="1" x14ac:dyDescent="0.2">
      <c r="A34" s="25" t="s">
        <v>51</v>
      </c>
      <c r="B34" s="8">
        <f t="shared" ref="B34:G34" si="4">SUM(B13:B33)</f>
        <v>3985419574</v>
      </c>
      <c r="C34" s="8">
        <f t="shared" si="4"/>
        <v>98662835</v>
      </c>
      <c r="D34" s="8">
        <f t="shared" si="4"/>
        <v>3663961058</v>
      </c>
      <c r="E34" s="8">
        <f t="shared" si="4"/>
        <v>1776900</v>
      </c>
      <c r="F34" s="8">
        <f t="shared" si="4"/>
        <v>68326</v>
      </c>
      <c r="G34" s="8">
        <f t="shared" si="4"/>
        <v>222795681</v>
      </c>
      <c r="H34" s="5">
        <f>(B34-C34-D34)*100/(B34-E34-F34)</f>
        <v>5.5928586123127628</v>
      </c>
      <c r="I34" s="5">
        <f>G34*100/(B$40)</f>
        <v>4.6431270643848874</v>
      </c>
      <c r="J34" s="37">
        <f>SUM(J13:J33)</f>
        <v>29957459295</v>
      </c>
      <c r="K34" s="8">
        <f>SUM(K13:K33)</f>
        <v>722625572</v>
      </c>
      <c r="L34" s="8">
        <f>SUM(L13:L33)</f>
        <v>27677447725</v>
      </c>
      <c r="M34" s="8">
        <f>SUM(M13:M33)</f>
        <v>23846699</v>
      </c>
      <c r="N34" s="8">
        <f>SUM(N13:N33)</f>
        <v>585779</v>
      </c>
      <c r="O34" s="8">
        <f>J34-K34-L34</f>
        <v>1557385998</v>
      </c>
      <c r="P34" s="5">
        <f>(J34-K34-L34)*100/(J34-M34-N34)</f>
        <v>5.2029018231978688</v>
      </c>
      <c r="Q34" s="5">
        <f>O34*100/(J$40)</f>
        <v>4.3798282659094045</v>
      </c>
      <c r="R34" s="8">
        <f t="shared" ref="R34:W34" si="5">SUM(R13:R33)</f>
        <v>3591862464</v>
      </c>
      <c r="S34" s="8">
        <f t="shared" si="5"/>
        <v>93930525</v>
      </c>
      <c r="T34" s="8">
        <f t="shared" si="5"/>
        <v>3265588425</v>
      </c>
      <c r="U34" s="8">
        <f t="shared" si="5"/>
        <v>837180</v>
      </c>
      <c r="V34" s="8">
        <f t="shared" si="5"/>
        <v>66837</v>
      </c>
      <c r="W34" s="8">
        <f t="shared" si="5"/>
        <v>232343514</v>
      </c>
      <c r="X34" s="5">
        <f>(R34-S34-T34)*100/(R34-U34-V34)</f>
        <v>6.470236774644583</v>
      </c>
      <c r="Y34" s="5">
        <f>W34*100/(R$40)</f>
        <v>5.4212175095445945</v>
      </c>
      <c r="Z34" s="37">
        <f>SUM(Z13:Z33)</f>
        <v>26892918756</v>
      </c>
      <c r="AA34" s="8">
        <f>SUM(AA13:AA33)</f>
        <v>729347678</v>
      </c>
      <c r="AB34" s="8">
        <f>SUM(AB13:AB33)</f>
        <v>24664865715</v>
      </c>
      <c r="AC34" s="8">
        <f>SUM(AC13:AC33)</f>
        <v>9064420</v>
      </c>
      <c r="AD34" s="8">
        <f>SUM(AD13:AD33)</f>
        <v>448575</v>
      </c>
      <c r="AE34" s="8">
        <f>Z34-AA34-AB34</f>
        <v>1498705363</v>
      </c>
      <c r="AF34" s="5">
        <f>(Z34-AA34-AB34)*100/(Z34-AC34-AD34)</f>
        <v>5.5748344399658816</v>
      </c>
      <c r="AG34" s="5">
        <f>AE34*100/(Z$40)</f>
        <v>4.6696348043806895</v>
      </c>
      <c r="AH34" s="38"/>
      <c r="AI34" s="5">
        <f>H34-AH34</f>
        <v>5.5928586123127628</v>
      </c>
      <c r="AJ34" s="5">
        <f>H34-X34</f>
        <v>-0.8773781623318202</v>
      </c>
      <c r="AK34" s="5">
        <f t="shared" si="2"/>
        <v>5.2029018231978688</v>
      </c>
      <c r="AL34" s="5">
        <f>P34-AF34</f>
        <v>-0.37193261676801281</v>
      </c>
      <c r="AM34" s="37" t="e">
        <f>#REF!-#REF!</f>
        <v>#REF!</v>
      </c>
      <c r="AN34" s="5" t="e">
        <f>AM34*100/#REF!</f>
        <v>#REF!</v>
      </c>
      <c r="AP34" s="40"/>
    </row>
    <row r="35" spans="1:42" x14ac:dyDescent="0.2">
      <c r="A35" s="6"/>
      <c r="B35" s="4"/>
      <c r="C35" s="4"/>
      <c r="D35" s="4"/>
      <c r="E35" s="4"/>
      <c r="F35" s="4"/>
      <c r="G35" s="4"/>
      <c r="H35" s="4"/>
      <c r="I35" s="36"/>
      <c r="J35" s="36"/>
      <c r="K35" s="36"/>
      <c r="L35" s="36"/>
      <c r="M35" s="36"/>
      <c r="N35" s="36"/>
      <c r="O35" s="4"/>
      <c r="P35" s="16"/>
      <c r="Q35" s="36"/>
      <c r="R35" s="4"/>
      <c r="S35" s="4"/>
      <c r="T35" s="4"/>
      <c r="U35" s="4"/>
      <c r="V35" s="4"/>
      <c r="W35" s="4"/>
      <c r="X35" s="4"/>
      <c r="Y35" s="36"/>
      <c r="Z35" s="36"/>
      <c r="AA35" s="36"/>
      <c r="AB35" s="36"/>
      <c r="AC35" s="36"/>
      <c r="AD35" s="36"/>
      <c r="AE35" s="4"/>
      <c r="AF35" s="16"/>
      <c r="AG35" s="36"/>
      <c r="AH35" s="4"/>
      <c r="AI35" s="4"/>
      <c r="AJ35" s="4"/>
      <c r="AK35" s="4"/>
      <c r="AL35" s="4"/>
      <c r="AM35" s="17"/>
      <c r="AN35" s="18"/>
    </row>
    <row r="36" spans="1:42" s="39" customFormat="1" x14ac:dyDescent="0.2">
      <c r="A36" s="25" t="s">
        <v>52</v>
      </c>
      <c r="B36" s="8"/>
      <c r="C36" s="8"/>
      <c r="D36" s="8"/>
      <c r="E36" s="8"/>
      <c r="F36" s="8"/>
      <c r="G36" s="8"/>
      <c r="H36" s="5"/>
      <c r="I36" s="5"/>
      <c r="J36" s="37"/>
      <c r="K36" s="8"/>
      <c r="L36" s="8"/>
      <c r="M36" s="8"/>
      <c r="N36" s="8"/>
      <c r="O36" s="8"/>
      <c r="P36" s="5"/>
      <c r="Q36" s="5"/>
      <c r="R36" s="8"/>
      <c r="S36" s="8"/>
      <c r="T36" s="8"/>
      <c r="U36" s="8"/>
      <c r="V36" s="8"/>
      <c r="W36" s="8"/>
      <c r="X36" s="5"/>
      <c r="Y36" s="5"/>
      <c r="Z36" s="37"/>
      <c r="AA36" s="8"/>
      <c r="AB36" s="8"/>
      <c r="AC36" s="8"/>
      <c r="AD36" s="8"/>
      <c r="AE36" s="8"/>
      <c r="AF36" s="5"/>
      <c r="AG36" s="5"/>
      <c r="AH36" s="38"/>
      <c r="AI36" s="5"/>
      <c r="AJ36" s="5"/>
      <c r="AK36" s="5"/>
      <c r="AL36" s="5"/>
      <c r="AM36" s="37"/>
      <c r="AN36" s="5"/>
      <c r="AP36" s="40"/>
    </row>
    <row r="37" spans="1:42" x14ac:dyDescent="0.2">
      <c r="A37" s="19" t="s">
        <v>54</v>
      </c>
      <c r="B37" s="2">
        <f>B9</f>
        <v>4846252905</v>
      </c>
      <c r="C37" s="2">
        <f t="shared" ref="C37:AG37" si="6">C9</f>
        <v>4556397227</v>
      </c>
      <c r="D37" s="2">
        <f t="shared" si="6"/>
        <v>245393820</v>
      </c>
      <c r="E37" s="2">
        <f t="shared" si="6"/>
        <v>77202500</v>
      </c>
      <c r="F37" s="2">
        <f t="shared" si="6"/>
        <v>0</v>
      </c>
      <c r="G37" s="2">
        <f t="shared" si="6"/>
        <v>44461858</v>
      </c>
      <c r="H37" s="3">
        <f t="shared" si="6"/>
        <v>0.93230002252408573</v>
      </c>
      <c r="I37" s="3">
        <f t="shared" si="6"/>
        <v>0.92659810677675447</v>
      </c>
      <c r="J37" s="2">
        <f t="shared" si="6"/>
        <v>36093510002</v>
      </c>
      <c r="K37" s="2">
        <f t="shared" si="6"/>
        <v>33832682884</v>
      </c>
      <c r="L37" s="2">
        <f t="shared" si="6"/>
        <v>1880300820</v>
      </c>
      <c r="M37" s="2">
        <f t="shared" si="6"/>
        <v>698226727.60000002</v>
      </c>
      <c r="N37" s="2">
        <f t="shared" si="6"/>
        <v>2313500</v>
      </c>
      <c r="O37" s="2">
        <f t="shared" si="6"/>
        <v>380526298</v>
      </c>
      <c r="P37" s="3">
        <f t="shared" si="6"/>
        <v>1.0751465627934886</v>
      </c>
      <c r="Q37" s="3">
        <f t="shared" si="6"/>
        <v>1.0701520612375925</v>
      </c>
      <c r="R37" s="2">
        <f t="shared" si="6"/>
        <v>4345839240</v>
      </c>
      <c r="S37" s="2">
        <f t="shared" si="6"/>
        <v>4297971410</v>
      </c>
      <c r="T37" s="2">
        <f t="shared" si="6"/>
        <v>0</v>
      </c>
      <c r="U37" s="2">
        <f t="shared" si="6"/>
        <v>88480596</v>
      </c>
      <c r="V37" s="2">
        <f t="shared" si="6"/>
        <v>2700</v>
      </c>
      <c r="W37" s="2">
        <f t="shared" si="6"/>
        <v>47867830</v>
      </c>
      <c r="X37" s="3">
        <f t="shared" si="6"/>
        <v>1.1243558356322392</v>
      </c>
      <c r="Y37" s="3">
        <f t="shared" si="6"/>
        <v>1.1168890134798599</v>
      </c>
      <c r="Z37" s="2">
        <f t="shared" si="6"/>
        <v>32627330232</v>
      </c>
      <c r="AA37" s="2">
        <f t="shared" si="6"/>
        <v>32286463337</v>
      </c>
      <c r="AB37" s="2">
        <f t="shared" si="6"/>
        <v>0</v>
      </c>
      <c r="AC37" s="2">
        <f t="shared" si="6"/>
        <v>686674596</v>
      </c>
      <c r="AD37" s="2">
        <f t="shared" si="6"/>
        <v>16673800</v>
      </c>
      <c r="AE37" s="2">
        <f t="shared" si="6"/>
        <v>340866895</v>
      </c>
      <c r="AF37" s="3">
        <f t="shared" si="6"/>
        <v>1.0677455486320682</v>
      </c>
      <c r="AG37" s="3">
        <f t="shared" si="6"/>
        <v>1.0620659376082968</v>
      </c>
      <c r="AH37" s="21"/>
      <c r="AI37" s="3"/>
      <c r="AJ37" s="3"/>
      <c r="AK37" s="3"/>
      <c r="AL37" s="3"/>
      <c r="AM37" s="20"/>
      <c r="AN37" s="3"/>
      <c r="AP37" s="12"/>
    </row>
    <row r="38" spans="1:42" x14ac:dyDescent="0.2">
      <c r="A38" s="19" t="s">
        <v>55</v>
      </c>
      <c r="B38" s="2">
        <f>B34</f>
        <v>3985419574</v>
      </c>
      <c r="C38" s="2">
        <f t="shared" ref="C38:AG38" si="7">C34</f>
        <v>98662835</v>
      </c>
      <c r="D38" s="2">
        <f t="shared" si="7"/>
        <v>3663961058</v>
      </c>
      <c r="E38" s="2">
        <f t="shared" si="7"/>
        <v>1776900</v>
      </c>
      <c r="F38" s="2">
        <f t="shared" si="7"/>
        <v>68326</v>
      </c>
      <c r="G38" s="2">
        <f t="shared" si="7"/>
        <v>222795681</v>
      </c>
      <c r="H38" s="3">
        <f t="shared" si="7"/>
        <v>5.5928586123127628</v>
      </c>
      <c r="I38" s="3">
        <f t="shared" si="7"/>
        <v>4.6431270643848874</v>
      </c>
      <c r="J38" s="2">
        <f t="shared" si="7"/>
        <v>29957459295</v>
      </c>
      <c r="K38" s="2">
        <f t="shared" si="7"/>
        <v>722625572</v>
      </c>
      <c r="L38" s="2">
        <f t="shared" si="7"/>
        <v>27677447725</v>
      </c>
      <c r="M38" s="2">
        <f t="shared" si="7"/>
        <v>23846699</v>
      </c>
      <c r="N38" s="2">
        <f t="shared" si="7"/>
        <v>585779</v>
      </c>
      <c r="O38" s="2">
        <f t="shared" si="7"/>
        <v>1557385998</v>
      </c>
      <c r="P38" s="3">
        <f t="shared" si="7"/>
        <v>5.2029018231978688</v>
      </c>
      <c r="Q38" s="3">
        <f t="shared" si="7"/>
        <v>4.3798282659094045</v>
      </c>
      <c r="R38" s="2">
        <f t="shared" si="7"/>
        <v>3591862464</v>
      </c>
      <c r="S38" s="2">
        <f t="shared" si="7"/>
        <v>93930525</v>
      </c>
      <c r="T38" s="2">
        <f t="shared" si="7"/>
        <v>3265588425</v>
      </c>
      <c r="U38" s="2">
        <f t="shared" si="7"/>
        <v>837180</v>
      </c>
      <c r="V38" s="2">
        <f t="shared" si="7"/>
        <v>66837</v>
      </c>
      <c r="W38" s="2">
        <f t="shared" si="7"/>
        <v>232343514</v>
      </c>
      <c r="X38" s="3">
        <f t="shared" si="7"/>
        <v>6.470236774644583</v>
      </c>
      <c r="Y38" s="3">
        <f t="shared" si="7"/>
        <v>5.4212175095445945</v>
      </c>
      <c r="Z38" s="2">
        <f t="shared" si="7"/>
        <v>26892918756</v>
      </c>
      <c r="AA38" s="2">
        <f t="shared" si="7"/>
        <v>729347678</v>
      </c>
      <c r="AB38" s="2">
        <f t="shared" si="7"/>
        <v>24664865715</v>
      </c>
      <c r="AC38" s="2">
        <f t="shared" si="7"/>
        <v>9064420</v>
      </c>
      <c r="AD38" s="2">
        <f t="shared" si="7"/>
        <v>448575</v>
      </c>
      <c r="AE38" s="2">
        <f t="shared" si="7"/>
        <v>1498705363</v>
      </c>
      <c r="AF38" s="3">
        <f t="shared" si="7"/>
        <v>5.5748344399658816</v>
      </c>
      <c r="AG38" s="3">
        <f t="shared" si="7"/>
        <v>4.6696348043806895</v>
      </c>
      <c r="AH38" s="21"/>
      <c r="AI38" s="3"/>
      <c r="AJ38" s="3"/>
      <c r="AK38" s="3"/>
      <c r="AL38" s="3"/>
      <c r="AM38" s="20"/>
      <c r="AN38" s="3"/>
      <c r="AP38" s="12"/>
    </row>
    <row r="39" spans="1:42" s="54" customFormat="1" x14ac:dyDescent="0.2">
      <c r="A39" s="49" t="s">
        <v>56</v>
      </c>
      <c r="B39" s="50">
        <v>341849200</v>
      </c>
      <c r="C39" s="50">
        <v>0</v>
      </c>
      <c r="D39" s="50">
        <v>341849200</v>
      </c>
      <c r="E39" s="50">
        <v>0</v>
      </c>
      <c r="F39" s="50">
        <v>0</v>
      </c>
      <c r="G39" s="50"/>
      <c r="H39" s="51">
        <v>0</v>
      </c>
      <c r="I39" s="52"/>
      <c r="J39" s="53">
        <v>2596698600</v>
      </c>
      <c r="K39" s="53">
        <v>0</v>
      </c>
      <c r="L39" s="53">
        <v>2596698600</v>
      </c>
      <c r="M39" s="53"/>
      <c r="N39" s="53"/>
      <c r="O39" s="50"/>
      <c r="P39" s="51">
        <v>0</v>
      </c>
      <c r="Q39" s="52"/>
      <c r="R39" s="50">
        <v>319890900</v>
      </c>
      <c r="S39" s="50">
        <v>0</v>
      </c>
      <c r="T39" s="50">
        <v>319890900</v>
      </c>
      <c r="U39" s="50">
        <v>0</v>
      </c>
      <c r="V39" s="50">
        <v>0</v>
      </c>
      <c r="W39" s="50">
        <v>0</v>
      </c>
      <c r="X39" s="51">
        <v>0</v>
      </c>
      <c r="Y39" s="52"/>
      <c r="Z39" s="53">
        <v>2385538644</v>
      </c>
      <c r="AA39" s="53">
        <v>0</v>
      </c>
      <c r="AB39" s="53">
        <v>2385538644</v>
      </c>
      <c r="AC39" s="53">
        <v>0</v>
      </c>
      <c r="AD39" s="53">
        <v>0</v>
      </c>
      <c r="AE39" s="50">
        <v>0</v>
      </c>
      <c r="AF39" s="51">
        <v>0</v>
      </c>
      <c r="AG39" s="52"/>
      <c r="AH39" s="52"/>
      <c r="AI39" s="51"/>
      <c r="AJ39" s="51"/>
      <c r="AK39" s="51"/>
      <c r="AL39" s="51"/>
      <c r="AM39" s="53" t="e">
        <f>#REF!-#REF!</f>
        <v>#REF!</v>
      </c>
      <c r="AN39" s="51" t="e">
        <f>AM39*100/#REF!</f>
        <v>#REF!</v>
      </c>
      <c r="AP39" s="55"/>
    </row>
    <row r="40" spans="1:42" s="61" customFormat="1" x14ac:dyDescent="0.2">
      <c r="A40" s="56" t="s">
        <v>45</v>
      </c>
      <c r="B40" s="57">
        <v>4798397242</v>
      </c>
      <c r="C40" s="57">
        <v>277880667</v>
      </c>
      <c r="D40" s="57">
        <v>4251204078</v>
      </c>
      <c r="E40" s="57"/>
      <c r="F40" s="57">
        <v>76506</v>
      </c>
      <c r="G40" s="57">
        <f>B40-C40-D40</f>
        <v>269312497</v>
      </c>
      <c r="H40" s="58">
        <f>(B40-C40-D40)*100/(B40-F40)</f>
        <v>5.6126405844329952</v>
      </c>
      <c r="I40" s="59">
        <f>I34+I9</f>
        <v>5.5697251711616422</v>
      </c>
      <c r="J40" s="60">
        <v>35558152134</v>
      </c>
      <c r="K40" s="60">
        <v>1464731309</v>
      </c>
      <c r="L40" s="60">
        <v>32154413357</v>
      </c>
      <c r="M40" s="60"/>
      <c r="N40" s="60">
        <v>2592398</v>
      </c>
      <c r="O40" s="57">
        <f>J40-K40-L40</f>
        <v>1939007468</v>
      </c>
      <c r="P40" s="58">
        <f>(J40-K40-L40)*100/(J40-N40)</f>
        <v>5.4534578625596914</v>
      </c>
      <c r="Q40" s="59">
        <f>Q34+Q9</f>
        <v>5.4499803271469975</v>
      </c>
      <c r="R40" s="57">
        <v>4285817966</v>
      </c>
      <c r="S40" s="57">
        <v>168016103</v>
      </c>
      <c r="T40" s="57">
        <v>3837687813</v>
      </c>
      <c r="U40" s="57"/>
      <c r="V40" s="57">
        <v>70033</v>
      </c>
      <c r="W40" s="57">
        <f>R40-S40-T40</f>
        <v>280114050</v>
      </c>
      <c r="X40" s="58">
        <f>(R40-S40-T40)*100/(R40-V40)</f>
        <v>6.5359431860921813</v>
      </c>
      <c r="Y40" s="59">
        <f>Y34+Y9</f>
        <v>6.5381065230244548</v>
      </c>
      <c r="Z40" s="60">
        <v>32094701744</v>
      </c>
      <c r="AA40" s="60">
        <v>1320954876</v>
      </c>
      <c r="AB40" s="60">
        <v>28934300047</v>
      </c>
      <c r="AC40" s="60"/>
      <c r="AD40" s="60">
        <v>17154120</v>
      </c>
      <c r="AE40" s="57">
        <f>Z40-AA40-AB40</f>
        <v>1839446821</v>
      </c>
      <c r="AF40" s="58">
        <f>(Z40-AA40-AB40)*100/(Z40-AD40)</f>
        <v>5.7343748423702756</v>
      </c>
      <c r="AG40" s="59">
        <f>AG34+AG9</f>
        <v>5.7317007419889858</v>
      </c>
      <c r="AH40" s="59">
        <v>5.48</v>
      </c>
      <c r="AI40" s="58">
        <f>H40-AH40</f>
        <v>0.13264058443299476</v>
      </c>
      <c r="AJ40" s="58">
        <f>H40-X40</f>
        <v>-0.9233026016591861</v>
      </c>
      <c r="AK40" s="58">
        <f>P40-AH40</f>
        <v>-2.6542137440308977E-2</v>
      </c>
      <c r="AL40" s="58">
        <f>P40-AF40</f>
        <v>-0.28091697981058417</v>
      </c>
      <c r="AM40" s="60"/>
      <c r="AN40" s="58"/>
      <c r="AP40" s="62"/>
    </row>
    <row r="41" spans="1:42" hidden="1" x14ac:dyDescent="0.2">
      <c r="A41" s="26"/>
      <c r="B41" s="27"/>
      <c r="C41" s="27"/>
      <c r="D41" s="27"/>
      <c r="E41" s="27"/>
      <c r="F41" s="27"/>
      <c r="G41" s="28"/>
      <c r="H41" s="29" t="s">
        <v>46</v>
      </c>
      <c r="I41" s="29"/>
      <c r="J41" s="27">
        <f>B40*31/30</f>
        <v>4958343816.7333336</v>
      </c>
      <c r="K41" s="27">
        <f>C40*31/30</f>
        <v>287143355.89999998</v>
      </c>
      <c r="L41" s="27">
        <f>D40*30/31</f>
        <v>4114068462.5806451</v>
      </c>
      <c r="M41" s="27">
        <f>E40*31/30</f>
        <v>0</v>
      </c>
      <c r="N41" s="27">
        <f>F40*31/30</f>
        <v>79056.2</v>
      </c>
      <c r="O41" s="27">
        <f>J41-K41-L41</f>
        <v>557131998.25268888</v>
      </c>
      <c r="P41" s="30">
        <f>(J41-K41-L41)*100/(J41-N41)</f>
        <v>11.236430992699979</v>
      </c>
      <c r="Q41" s="29"/>
      <c r="R41" s="27"/>
      <c r="S41" s="27"/>
      <c r="T41" s="27"/>
      <c r="U41" s="27"/>
      <c r="V41" s="27"/>
      <c r="W41" s="27"/>
      <c r="X41" s="31"/>
      <c r="Y41" s="29"/>
      <c r="Z41" s="27"/>
      <c r="AA41" s="27"/>
      <c r="AB41" s="27"/>
      <c r="AC41" s="27"/>
      <c r="AD41" s="27"/>
      <c r="AE41" s="27"/>
      <c r="AF41" s="31"/>
      <c r="AG41" s="29"/>
      <c r="AH41" s="12"/>
      <c r="AI41" s="31"/>
      <c r="AJ41" s="31"/>
      <c r="AK41" s="31"/>
      <c r="AL41" s="32"/>
      <c r="AM41" s="20"/>
      <c r="AN41" s="3"/>
    </row>
    <row r="42" spans="1:42" hidden="1" x14ac:dyDescent="0.2">
      <c r="C42" s="33"/>
      <c r="D42" s="34"/>
      <c r="E42" s="33"/>
      <c r="F42" s="33"/>
      <c r="G42" s="33"/>
      <c r="H42" s="35">
        <v>2011</v>
      </c>
      <c r="I42" s="35"/>
      <c r="J42" s="2">
        <f>J40+J41</f>
        <v>40516495950.733337</v>
      </c>
      <c r="K42" s="2">
        <f>K40+K41</f>
        <v>1751874664.9000001</v>
      </c>
      <c r="L42" s="2">
        <f>L40+L41</f>
        <v>36268481819.580643</v>
      </c>
      <c r="M42" s="2"/>
      <c r="N42" s="2">
        <f>N40+N41</f>
        <v>2671454.2000000002</v>
      </c>
      <c r="O42" s="2">
        <f>J42-K42-L42</f>
        <v>2496139466.2526932</v>
      </c>
      <c r="P42" s="5">
        <f>(J42-K42-L42)*100/(J42-N42)</f>
        <v>6.1612042241686691</v>
      </c>
      <c r="Q42" s="35"/>
      <c r="U42" s="33"/>
      <c r="V42" s="33"/>
      <c r="W42" s="33"/>
      <c r="Y42" s="35"/>
      <c r="AC42" s="33"/>
      <c r="AD42" s="33"/>
      <c r="AE42" s="33"/>
      <c r="AG42" s="35"/>
    </row>
    <row r="43" spans="1:42" x14ac:dyDescent="0.2">
      <c r="C43" s="33"/>
      <c r="D43" s="33">
        <f>D34+D37+D39</f>
        <v>4251204078</v>
      </c>
      <c r="E43" s="33"/>
      <c r="F43" s="33"/>
      <c r="G43" s="33">
        <f>G33+G8</f>
        <v>28405292</v>
      </c>
      <c r="I43" s="12"/>
      <c r="K43" s="33"/>
      <c r="L43" s="33"/>
      <c r="M43" s="33"/>
      <c r="N43" s="33"/>
      <c r="O43" s="33">
        <f>O33+O8</f>
        <v>235842713</v>
      </c>
      <c r="P43" s="12" t="s">
        <v>57</v>
      </c>
      <c r="Q43" s="12">
        <f>Q33+Q32</f>
        <v>0</v>
      </c>
      <c r="U43" s="33"/>
      <c r="V43" s="33"/>
      <c r="W43" s="33"/>
      <c r="AC43" s="33"/>
      <c r="AD43" s="33"/>
      <c r="AE43" s="33"/>
      <c r="AG43" s="12"/>
    </row>
    <row r="44" spans="1:42" x14ac:dyDescent="0.2">
      <c r="C44" s="33"/>
      <c r="D44" s="33"/>
      <c r="E44" s="33"/>
      <c r="F44" s="33"/>
      <c r="G44" s="33">
        <v>40907162</v>
      </c>
      <c r="J44" s="33"/>
      <c r="K44" s="33"/>
      <c r="L44" s="33"/>
      <c r="M44" s="33"/>
      <c r="N44" s="33"/>
      <c r="O44" s="33">
        <v>75468391</v>
      </c>
      <c r="Q44" s="12"/>
      <c r="U44" s="33"/>
      <c r="V44" s="33"/>
      <c r="W44" s="33"/>
      <c r="AC44" s="33"/>
      <c r="AD44" s="33"/>
      <c r="AE44" s="33"/>
    </row>
    <row r="45" spans="1:42" x14ac:dyDescent="0.2">
      <c r="C45" s="33"/>
      <c r="D45" s="33"/>
      <c r="E45" s="33"/>
      <c r="F45" s="33"/>
      <c r="G45" s="33"/>
      <c r="J45" s="33"/>
      <c r="K45" s="33"/>
      <c r="L45" s="33"/>
      <c r="M45" s="33"/>
      <c r="N45" s="33"/>
      <c r="O45" s="33"/>
      <c r="U45" s="33"/>
      <c r="V45" s="33"/>
      <c r="W45" s="33"/>
      <c r="AC45" s="33"/>
      <c r="AD45" s="33"/>
      <c r="AE45" s="33"/>
    </row>
    <row r="46" spans="1:42" x14ac:dyDescent="0.2">
      <c r="C46" s="33"/>
      <c r="D46" s="33"/>
      <c r="E46" s="33"/>
      <c r="F46" s="33"/>
      <c r="G46" s="33"/>
      <c r="J46" s="33"/>
      <c r="K46" s="33"/>
      <c r="L46" s="33"/>
      <c r="M46" s="33"/>
      <c r="N46" s="33"/>
      <c r="O46" s="33"/>
      <c r="U46" s="33"/>
      <c r="V46" s="33"/>
      <c r="W46" s="33"/>
      <c r="AC46" s="33"/>
      <c r="AD46" s="33"/>
      <c r="AE46" s="33"/>
    </row>
    <row r="47" spans="1:42" x14ac:dyDescent="0.2">
      <c r="C47" s="33"/>
      <c r="D47" s="33"/>
      <c r="E47" s="33"/>
      <c r="F47" s="33"/>
      <c r="G47" s="33"/>
      <c r="K47" s="33"/>
      <c r="L47" s="33"/>
      <c r="M47" s="33"/>
      <c r="N47" s="33"/>
      <c r="O47" s="33"/>
      <c r="U47" s="33"/>
      <c r="V47" s="33"/>
      <c r="W47" s="33"/>
      <c r="AC47" s="33"/>
      <c r="AD47" s="33"/>
      <c r="AE47" s="33"/>
    </row>
    <row r="48" spans="1:42" x14ac:dyDescent="0.2">
      <c r="C48" s="33"/>
      <c r="D48" s="33"/>
      <c r="E48" s="33"/>
      <c r="F48" s="33"/>
      <c r="G48" s="33"/>
      <c r="J48" s="33"/>
      <c r="K48" s="33"/>
      <c r="L48" s="33"/>
      <c r="M48" s="33"/>
      <c r="N48" s="33"/>
      <c r="O48" s="33"/>
      <c r="U48" s="33"/>
      <c r="V48" s="33"/>
      <c r="W48" s="33"/>
      <c r="AC48" s="33"/>
      <c r="AD48" s="33"/>
      <c r="AE48" s="33"/>
    </row>
    <row r="49" spans="3:31" x14ac:dyDescent="0.2">
      <c r="C49" s="33"/>
      <c r="D49" s="33"/>
      <c r="E49" s="33"/>
      <c r="F49" s="33"/>
      <c r="G49" s="33"/>
      <c r="J49" s="33"/>
      <c r="K49" s="33"/>
      <c r="L49" s="33"/>
      <c r="M49" s="33"/>
      <c r="N49" s="33"/>
      <c r="O49" s="33"/>
      <c r="U49" s="33"/>
      <c r="V49" s="33"/>
      <c r="W49" s="33"/>
      <c r="AC49" s="33"/>
      <c r="AD49" s="33"/>
      <c r="AE49" s="33"/>
    </row>
    <row r="50" spans="3:31" x14ac:dyDescent="0.2">
      <c r="C50" s="33"/>
      <c r="D50" s="33"/>
      <c r="E50" s="33"/>
      <c r="F50" s="33"/>
      <c r="G50" s="33"/>
      <c r="K50" s="33"/>
      <c r="L50" s="33"/>
      <c r="M50" s="33"/>
      <c r="N50" s="33"/>
      <c r="O50" s="33"/>
      <c r="U50" s="33"/>
      <c r="V50" s="33"/>
      <c r="W50" s="33"/>
      <c r="AC50" s="33"/>
      <c r="AD50" s="33"/>
      <c r="AE50" s="33"/>
    </row>
  </sheetData>
  <mergeCells count="1">
    <mergeCell ref="A3:A4"/>
  </mergeCells>
  <conditionalFormatting sqref="AO41:IV41 AL7:IV12 AO14:AO33 AQ14:IV33 AK41:AM41 AI41 AI7:AI34 AL13:AM34 AP13:AP34 AP37:AP38 AL37:AM38 AI37:AI38">
    <cfRule type="expression" dxfId="378" priority="71" stopIfTrue="1">
      <formula>"AE&gt;0"</formula>
    </cfRule>
  </conditionalFormatting>
  <conditionalFormatting sqref="R41:X41 A41:N41 AJ41 AJ7:AJ34 A37:B38 AJ37:AJ38 A7:A9 A10:H32 A34:H34 A33 J34:P34 J10:P32 R10:X32 R34:X34 Z34:AF34 Z10:AF32 Z41:AF41">
    <cfRule type="expression" dxfId="377" priority="72" stopIfTrue="1">
      <formula>#REF!&gt;0</formula>
    </cfRule>
  </conditionalFormatting>
  <conditionalFormatting sqref="AN13:AO13 AQ13:IV13 AN41 AN14:AN34 AN37:AN38">
    <cfRule type="expression" dxfId="376" priority="73" stopIfTrue="1">
      <formula>#REF!&gt;0</formula>
    </cfRule>
  </conditionalFormatting>
  <conditionalFormatting sqref="AK7:AK34 AK37:AK38">
    <cfRule type="cellIs" dxfId="375" priority="74" stopIfTrue="1" operator="greaterThanOrEqual">
      <formula>0</formula>
    </cfRule>
  </conditionalFormatting>
  <conditionalFormatting sqref="AH7:AH33">
    <cfRule type="expression" dxfId="374" priority="70" stopIfTrue="1">
      <formula>"AE&gt;0"</formula>
    </cfRule>
  </conditionalFormatting>
  <conditionalFormatting sqref="AI39 AL39:AM39 AO39 AQ39:IV39">
    <cfRule type="expression" dxfId="373" priority="66" stopIfTrue="1">
      <formula>"AE&gt;0"</formula>
    </cfRule>
  </conditionalFormatting>
  <conditionalFormatting sqref="AJ39 A39:H39 J39:P39">
    <cfRule type="expression" dxfId="372" priority="67" stopIfTrue="1">
      <formula>#REF!&gt;0</formula>
    </cfRule>
  </conditionalFormatting>
  <conditionalFormatting sqref="AN39">
    <cfRule type="expression" dxfId="371" priority="68" stopIfTrue="1">
      <formula>#REF!&gt;0</formula>
    </cfRule>
  </conditionalFormatting>
  <conditionalFormatting sqref="AK39">
    <cfRule type="cellIs" dxfId="370" priority="69" stopIfTrue="1" operator="greaterThanOrEqual">
      <formula>0</formula>
    </cfRule>
  </conditionalFormatting>
  <conditionalFormatting sqref="AH39">
    <cfRule type="expression" dxfId="369" priority="65" stopIfTrue="1">
      <formula>"AE&gt;0"</formula>
    </cfRule>
  </conditionalFormatting>
  <conditionalFormatting sqref="R39:X39 Z39:AF39">
    <cfRule type="expression" dxfId="368" priority="64" stopIfTrue="1">
      <formula>#REF!&gt;0</formula>
    </cfRule>
  </conditionalFormatting>
  <conditionalFormatting sqref="AP39">
    <cfRule type="expression" dxfId="367" priority="63" stopIfTrue="1">
      <formula>"AE&gt;0"</formula>
    </cfRule>
  </conditionalFormatting>
  <conditionalFormatting sqref="B7:F7 H8 H7:P7 J8:P8 G9:H9 O9:P9 J9:M9 B8:C8 E8:F8 B9:D9">
    <cfRule type="expression" dxfId="366" priority="62" stopIfTrue="1">
      <formula>#REF!&gt;0</formula>
    </cfRule>
  </conditionalFormatting>
  <conditionalFormatting sqref="R33:X33 Z33:AF33">
    <cfRule type="expression" dxfId="365" priority="59" stopIfTrue="1">
      <formula>#REF!&gt;0</formula>
    </cfRule>
  </conditionalFormatting>
  <conditionalFormatting sqref="R7:X8 Z7:AF8 R9:T9 V9:X9 Z9:AB9 AD9:AF9">
    <cfRule type="expression" dxfId="364" priority="61" stopIfTrue="1">
      <formula>#REF!&gt;0</formula>
    </cfRule>
  </conditionalFormatting>
  <conditionalFormatting sqref="J33:N33 B33:F33">
    <cfRule type="expression" dxfId="363" priority="60" stopIfTrue="1">
      <formula>#REF!&gt;0</formula>
    </cfRule>
  </conditionalFormatting>
  <conditionalFormatting sqref="I9:I32">
    <cfRule type="expression" dxfId="362" priority="58" stopIfTrue="1">
      <formula>#REF!&gt;0</formula>
    </cfRule>
  </conditionalFormatting>
  <conditionalFormatting sqref="I39">
    <cfRule type="expression" dxfId="361" priority="55" stopIfTrue="1">
      <formula>#REF!&gt;0</formula>
    </cfRule>
  </conditionalFormatting>
  <conditionalFormatting sqref="I34">
    <cfRule type="expression" dxfId="360" priority="57" stopIfTrue="1">
      <formula>#REF!&gt;0</formula>
    </cfRule>
  </conditionalFormatting>
  <conditionalFormatting sqref="I8">
    <cfRule type="expression" dxfId="359" priority="56" stopIfTrue="1">
      <formula>#REF!&gt;0</formula>
    </cfRule>
  </conditionalFormatting>
  <conditionalFormatting sqref="Q39">
    <cfRule type="expression" dxfId="358" priority="49" stopIfTrue="1">
      <formula>#REF!&gt;0</formula>
    </cfRule>
  </conditionalFormatting>
  <conditionalFormatting sqref="Q41">
    <cfRule type="expression" dxfId="357" priority="54" stopIfTrue="1">
      <formula>#REF!&gt;0</formula>
    </cfRule>
  </conditionalFormatting>
  <conditionalFormatting sqref="Q7">
    <cfRule type="expression" dxfId="356" priority="53" stopIfTrue="1">
      <formula>#REF!&gt;0</formula>
    </cfRule>
  </conditionalFormatting>
  <conditionalFormatting sqref="Q9:Q33">
    <cfRule type="expression" dxfId="355" priority="52" stopIfTrue="1">
      <formula>#REF!&gt;0</formula>
    </cfRule>
  </conditionalFormatting>
  <conditionalFormatting sqref="Y39">
    <cfRule type="expression" dxfId="354" priority="43" stopIfTrue="1">
      <formula>#REF!&gt;0</formula>
    </cfRule>
  </conditionalFormatting>
  <conditionalFormatting sqref="Q34">
    <cfRule type="expression" dxfId="353" priority="51" stopIfTrue="1">
      <formula>#REF!&gt;0</formula>
    </cfRule>
  </conditionalFormatting>
  <conditionalFormatting sqref="Q8">
    <cfRule type="expression" dxfId="352" priority="50" stopIfTrue="1">
      <formula>#REF!&gt;0</formula>
    </cfRule>
  </conditionalFormatting>
  <conditionalFormatting sqref="Y41">
    <cfRule type="expression" dxfId="351" priority="48" stopIfTrue="1">
      <formula>#REF!&gt;0</formula>
    </cfRule>
  </conditionalFormatting>
  <conditionalFormatting sqref="Y7">
    <cfRule type="expression" dxfId="350" priority="47" stopIfTrue="1">
      <formula>#REF!&gt;0</formula>
    </cfRule>
  </conditionalFormatting>
  <conditionalFormatting sqref="Y9:Y33">
    <cfRule type="expression" dxfId="349" priority="46" stopIfTrue="1">
      <formula>#REF!&gt;0</formula>
    </cfRule>
  </conditionalFormatting>
  <conditionalFormatting sqref="Y34">
    <cfRule type="expression" dxfId="348" priority="45" stopIfTrue="1">
      <formula>#REF!&gt;0</formula>
    </cfRule>
  </conditionalFormatting>
  <conditionalFormatting sqref="Y8">
    <cfRule type="expression" dxfId="347" priority="44" stopIfTrue="1">
      <formula>#REF!&gt;0</formula>
    </cfRule>
  </conditionalFormatting>
  <conditionalFormatting sqref="AG39">
    <cfRule type="expression" dxfId="346" priority="37" stopIfTrue="1">
      <formula>#REF!&gt;0</formula>
    </cfRule>
  </conditionalFormatting>
  <conditionalFormatting sqref="AG41">
    <cfRule type="expression" dxfId="345" priority="42" stopIfTrue="1">
      <formula>#REF!&gt;0</formula>
    </cfRule>
  </conditionalFormatting>
  <conditionalFormatting sqref="AG7">
    <cfRule type="expression" dxfId="344" priority="41" stopIfTrue="1">
      <formula>#REF!&gt;0</formula>
    </cfRule>
  </conditionalFormatting>
  <conditionalFormatting sqref="AG9:AG33">
    <cfRule type="expression" dxfId="343" priority="40" stopIfTrue="1">
      <formula>#REF!&gt;0</formula>
    </cfRule>
  </conditionalFormatting>
  <conditionalFormatting sqref="AG34">
    <cfRule type="expression" dxfId="342" priority="39" stopIfTrue="1">
      <formula>#REF!&gt;0</formula>
    </cfRule>
  </conditionalFormatting>
  <conditionalFormatting sqref="AG8">
    <cfRule type="expression" dxfId="341" priority="38" stopIfTrue="1">
      <formula>#REF!&gt;0</formula>
    </cfRule>
  </conditionalFormatting>
  <conditionalFormatting sqref="AI36 AL36:AM36 AP36">
    <cfRule type="expression" dxfId="340" priority="33" stopIfTrue="1">
      <formula>"AE&gt;0"</formula>
    </cfRule>
  </conditionalFormatting>
  <conditionalFormatting sqref="AJ36 A36:H36 J36:P36 R36:X36 Z36:AF36">
    <cfRule type="expression" dxfId="339" priority="34" stopIfTrue="1">
      <formula>#REF!&gt;0</formula>
    </cfRule>
  </conditionalFormatting>
  <conditionalFormatting sqref="AN36">
    <cfRule type="expression" dxfId="338" priority="35" stopIfTrue="1">
      <formula>#REF!&gt;0</formula>
    </cfRule>
  </conditionalFormatting>
  <conditionalFormatting sqref="AK36">
    <cfRule type="cellIs" dxfId="337" priority="36" stopIfTrue="1" operator="greaterThanOrEqual">
      <formula>0</formula>
    </cfRule>
  </conditionalFormatting>
  <conditionalFormatting sqref="I36">
    <cfRule type="expression" dxfId="336" priority="32" stopIfTrue="1">
      <formula>#REF!&gt;0</formula>
    </cfRule>
  </conditionalFormatting>
  <conditionalFormatting sqref="Q36">
    <cfRule type="expression" dxfId="335" priority="31" stopIfTrue="1">
      <formula>#REF!&gt;0</formula>
    </cfRule>
  </conditionalFormatting>
  <conditionalFormatting sqref="Y36">
    <cfRule type="expression" dxfId="334" priority="30" stopIfTrue="1">
      <formula>#REF!&gt;0</formula>
    </cfRule>
  </conditionalFormatting>
  <conditionalFormatting sqref="AG36">
    <cfRule type="expression" dxfId="333" priority="29" stopIfTrue="1">
      <formula>#REF!&gt;0</formula>
    </cfRule>
  </conditionalFormatting>
  <conditionalFormatting sqref="J37:O38 R37:W38 Z37:AE38 C37:G38">
    <cfRule type="expression" dxfId="332" priority="28" stopIfTrue="1">
      <formula>#REF!&gt;0</formula>
    </cfRule>
  </conditionalFormatting>
  <conditionalFormatting sqref="H37:I38">
    <cfRule type="expression" dxfId="331" priority="27" stopIfTrue="1">
      <formula>#REF!&gt;0</formula>
    </cfRule>
  </conditionalFormatting>
  <conditionalFormatting sqref="P37:Q38">
    <cfRule type="expression" dxfId="330" priority="26" stopIfTrue="1">
      <formula>#REF!&gt;0</formula>
    </cfRule>
  </conditionalFormatting>
  <conditionalFormatting sqref="X37:Y38">
    <cfRule type="expression" dxfId="329" priority="25" stopIfTrue="1">
      <formula>#REF!&gt;0</formula>
    </cfRule>
  </conditionalFormatting>
  <conditionalFormatting sqref="AF37:AG38">
    <cfRule type="expression" dxfId="328" priority="24" stopIfTrue="1">
      <formula>#REF!&gt;0</formula>
    </cfRule>
  </conditionalFormatting>
  <conditionalFormatting sqref="A5">
    <cfRule type="expression" dxfId="327" priority="23" stopIfTrue="1">
      <formula>#REF!&gt;0</formula>
    </cfRule>
  </conditionalFormatting>
  <conditionalFormatting sqref="AI40 AL40:AM40 AO40 AQ40:IV40">
    <cfRule type="expression" dxfId="326" priority="19" stopIfTrue="1">
      <formula>"AE&gt;0"</formula>
    </cfRule>
  </conditionalFormatting>
  <conditionalFormatting sqref="AJ40 J40:P40 A40:H40">
    <cfRule type="expression" dxfId="325" priority="20" stopIfTrue="1">
      <formula>#REF!&gt;0</formula>
    </cfRule>
  </conditionalFormatting>
  <conditionalFormatting sqref="AN40">
    <cfRule type="expression" dxfId="324" priority="21" stopIfTrue="1">
      <formula>#REF!&gt;0</formula>
    </cfRule>
  </conditionalFormatting>
  <conditionalFormatting sqref="AK40">
    <cfRule type="cellIs" dxfId="323" priority="22" stopIfTrue="1" operator="greaterThanOrEqual">
      <formula>0</formula>
    </cfRule>
  </conditionalFormatting>
  <conditionalFormatting sqref="AH40">
    <cfRule type="expression" dxfId="322" priority="18" stopIfTrue="1">
      <formula>"AE&gt;0"</formula>
    </cfRule>
  </conditionalFormatting>
  <conditionalFormatting sqref="R40:X40 Z40:AF40">
    <cfRule type="expression" dxfId="321" priority="17" stopIfTrue="1">
      <formula>#REF!&gt;0</formula>
    </cfRule>
  </conditionalFormatting>
  <conditionalFormatting sqref="AP40">
    <cfRule type="expression" dxfId="320" priority="16" stopIfTrue="1">
      <formula>"AE&gt;0"</formula>
    </cfRule>
  </conditionalFormatting>
  <conditionalFormatting sqref="I40">
    <cfRule type="expression" dxfId="319" priority="15" stopIfTrue="1">
      <formula>#REF!&gt;0</formula>
    </cfRule>
  </conditionalFormatting>
  <conditionalFormatting sqref="Q40">
    <cfRule type="expression" dxfId="318" priority="14" stopIfTrue="1">
      <formula>#REF!&gt;0</formula>
    </cfRule>
  </conditionalFormatting>
  <conditionalFormatting sqref="Y40">
    <cfRule type="expression" dxfId="317" priority="13" stopIfTrue="1">
      <formula>#REF!&gt;0</formula>
    </cfRule>
  </conditionalFormatting>
  <conditionalFormatting sqref="AG40">
    <cfRule type="expression" dxfId="316" priority="12" stopIfTrue="1">
      <formula>#REF!&gt;0</formula>
    </cfRule>
  </conditionalFormatting>
  <conditionalFormatting sqref="F9">
    <cfRule type="expression" dxfId="315" priority="11" stopIfTrue="1">
      <formula>#REF!&gt;0</formula>
    </cfRule>
  </conditionalFormatting>
  <conditionalFormatting sqref="N9">
    <cfRule type="expression" dxfId="314" priority="10" stopIfTrue="1">
      <formula>#REF!&gt;0</formula>
    </cfRule>
  </conditionalFormatting>
  <conditionalFormatting sqref="D8">
    <cfRule type="expression" dxfId="313" priority="9" stopIfTrue="1">
      <formula>#REF!&gt;0</formula>
    </cfRule>
  </conditionalFormatting>
  <conditionalFormatting sqref="I33">
    <cfRule type="expression" dxfId="312" priority="8" stopIfTrue="1">
      <formula>#REF!&gt;0</formula>
    </cfRule>
  </conditionalFormatting>
  <conditionalFormatting sqref="G8">
    <cfRule type="expression" dxfId="311" priority="7" stopIfTrue="1">
      <formula>#REF!&gt;0</formula>
    </cfRule>
  </conditionalFormatting>
  <conditionalFormatting sqref="G7">
    <cfRule type="expression" dxfId="310" priority="6" stopIfTrue="1">
      <formula>#REF!&gt;0</formula>
    </cfRule>
  </conditionalFormatting>
  <conditionalFormatting sqref="G33:H33">
    <cfRule type="expression" dxfId="309" priority="5" stopIfTrue="1">
      <formula>#REF!&gt;0</formula>
    </cfRule>
  </conditionalFormatting>
  <conditionalFormatting sqref="O33:P33">
    <cfRule type="expression" dxfId="308" priority="4" stopIfTrue="1">
      <formula>#REF!&gt;0</formula>
    </cfRule>
  </conditionalFormatting>
  <conditionalFormatting sqref="E9">
    <cfRule type="expression" dxfId="307" priority="3" stopIfTrue="1">
      <formula>#REF!&gt;0</formula>
    </cfRule>
  </conditionalFormatting>
  <conditionalFormatting sqref="U9">
    <cfRule type="expression" dxfId="306" priority="2" stopIfTrue="1">
      <formula>#REF!&gt;0</formula>
    </cfRule>
  </conditionalFormatting>
  <conditionalFormatting sqref="AC9">
    <cfRule type="expression" dxfId="305" priority="1" stopIfTrue="1">
      <formula>#REF!&gt;0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B0A2-E513-4DDA-81E5-99C850F637F0}">
  <dimension ref="A1:AP50"/>
  <sheetViews>
    <sheetView workbookViewId="0">
      <pane xSplit="1" ySplit="4" topLeftCell="B26" activePane="bottomRight" state="frozen"/>
      <selection activeCell="L33" sqref="L33"/>
      <selection pane="topRight" activeCell="L33" sqref="L33"/>
      <selection pane="bottomLeft" activeCell="L33" sqref="L33"/>
      <selection pane="bottomRight" activeCell="L33" sqref="L33"/>
    </sheetView>
  </sheetViews>
  <sheetFormatPr defaultRowHeight="11.25" outlineLevelCol="1" x14ac:dyDescent="0.2"/>
  <cols>
    <col min="1" max="1" width="18.28515625" style="1" bestFit="1" customWidth="1"/>
    <col min="2" max="4" width="10.85546875" style="1" customWidth="1"/>
    <col min="5" max="5" width="9.140625" style="1" bestFit="1" customWidth="1"/>
    <col min="6" max="6" width="10" style="1" bestFit="1" customWidth="1"/>
    <col min="7" max="7" width="10.5703125" style="1" bestFit="1" customWidth="1"/>
    <col min="8" max="8" width="5.42578125" style="1" customWidth="1"/>
    <col min="9" max="9" width="6.140625" style="1" bestFit="1" customWidth="1"/>
    <col min="10" max="12" width="13.85546875" style="1" bestFit="1" customWidth="1"/>
    <col min="13" max="13" width="10.7109375" style="1" bestFit="1" customWidth="1"/>
    <col min="14" max="14" width="11.7109375" style="1" bestFit="1" customWidth="1"/>
    <col min="15" max="15" width="12.7109375" style="1" bestFit="1" customWidth="1"/>
    <col min="16" max="16" width="6.5703125" style="12" bestFit="1" customWidth="1"/>
    <col min="17" max="17" width="5.42578125" style="1" customWidth="1"/>
    <col min="18" max="20" width="10.85546875" style="1" customWidth="1" outlineLevel="1"/>
    <col min="21" max="21" width="10" style="1" customWidth="1" outlineLevel="1"/>
    <col min="22" max="22" width="9.140625" style="1" customWidth="1" outlineLevel="1"/>
    <col min="23" max="23" width="10" style="1" customWidth="1" outlineLevel="1"/>
    <col min="24" max="24" width="5.140625" style="1" customWidth="1" outlineLevel="1"/>
    <col min="25" max="25" width="5.42578125" style="1" customWidth="1"/>
    <col min="26" max="28" width="11.7109375" style="1" customWidth="1" outlineLevel="1"/>
    <col min="29" max="29" width="11.28515625" style="1" customWidth="1" outlineLevel="1"/>
    <col min="30" max="30" width="10.140625" style="1" customWidth="1" outlineLevel="1"/>
    <col min="31" max="31" width="10.85546875" style="1" customWidth="1" outlineLevel="1"/>
    <col min="32" max="32" width="5.140625" style="1" customWidth="1" outlineLevel="1"/>
    <col min="33" max="33" width="5.42578125" style="1" customWidth="1"/>
    <col min="34" max="34" width="5.140625" style="1" hidden="1" customWidth="1"/>
    <col min="35" max="36" width="5.85546875" style="1" hidden="1" customWidth="1"/>
    <col min="37" max="37" width="5.7109375" style="1" hidden="1" customWidth="1"/>
    <col min="38" max="38" width="5.85546875" style="1" hidden="1" customWidth="1"/>
    <col min="39" max="39" width="10.85546875" style="1" hidden="1" customWidth="1"/>
    <col min="40" max="40" width="9.140625" style="1" hidden="1" customWidth="1"/>
    <col min="41" max="16384" width="9.140625" style="1"/>
  </cols>
  <sheetData>
    <row r="1" spans="1:42" x14ac:dyDescent="0.2">
      <c r="A1" s="9" t="s">
        <v>65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10"/>
      <c r="R1" s="9"/>
      <c r="S1" s="10"/>
      <c r="T1" s="10"/>
      <c r="U1" s="10"/>
      <c r="V1" s="10"/>
      <c r="W1" s="10"/>
      <c r="X1" s="10"/>
      <c r="Y1" s="10"/>
      <c r="Z1" s="9"/>
      <c r="AA1" s="10"/>
      <c r="AB1" s="10"/>
      <c r="AC1" s="10"/>
      <c r="AD1" s="10"/>
      <c r="AE1" s="10"/>
      <c r="AF1" s="10"/>
      <c r="AG1" s="10"/>
    </row>
    <row r="2" spans="1:42" x14ac:dyDescent="0.2">
      <c r="R2" s="33">
        <f>O33+O8</f>
        <v>236011745.19999981</v>
      </c>
    </row>
    <row r="3" spans="1:42" x14ac:dyDescent="0.2">
      <c r="A3" s="70" t="s">
        <v>14</v>
      </c>
      <c r="B3" s="13" t="s">
        <v>62</v>
      </c>
      <c r="C3" s="13"/>
      <c r="D3" s="13"/>
      <c r="E3" s="13"/>
      <c r="F3" s="13"/>
      <c r="G3" s="13"/>
      <c r="H3" s="13"/>
      <c r="I3" s="13"/>
      <c r="J3" s="13" t="s">
        <v>63</v>
      </c>
      <c r="K3" s="13"/>
      <c r="L3" s="13"/>
      <c r="M3" s="13"/>
      <c r="N3" s="13"/>
      <c r="O3" s="13"/>
      <c r="P3" s="14"/>
      <c r="Q3" s="13"/>
      <c r="R3" s="13" t="s">
        <v>64</v>
      </c>
      <c r="S3" s="13"/>
      <c r="T3" s="13"/>
      <c r="U3" s="13"/>
      <c r="V3" s="13"/>
      <c r="W3" s="13"/>
      <c r="X3" s="13"/>
      <c r="Y3" s="13"/>
      <c r="Z3" s="13" t="s">
        <v>7</v>
      </c>
      <c r="AA3" s="13"/>
      <c r="AB3" s="13"/>
      <c r="AC3" s="13"/>
      <c r="AD3" s="13"/>
      <c r="AE3" s="13"/>
      <c r="AF3" s="14"/>
      <c r="AG3" s="13"/>
      <c r="AH3" s="6" t="s">
        <v>15</v>
      </c>
      <c r="AI3" s="13" t="s">
        <v>16</v>
      </c>
      <c r="AJ3" s="13"/>
      <c r="AK3" s="13" t="s">
        <v>17</v>
      </c>
      <c r="AL3" s="13"/>
      <c r="AM3" s="15" t="s">
        <v>18</v>
      </c>
      <c r="AN3" s="13"/>
    </row>
    <row r="4" spans="1:42" ht="45" x14ac:dyDescent="0.2">
      <c r="A4" s="70"/>
      <c r="B4" s="4" t="s">
        <v>0</v>
      </c>
      <c r="C4" s="4" t="s">
        <v>5</v>
      </c>
      <c r="D4" s="4" t="s">
        <v>2</v>
      </c>
      <c r="E4" s="4" t="s">
        <v>19</v>
      </c>
      <c r="F4" s="4" t="s">
        <v>4</v>
      </c>
      <c r="G4" s="4" t="s">
        <v>3</v>
      </c>
      <c r="H4" s="4" t="s">
        <v>1</v>
      </c>
      <c r="I4" s="4" t="s">
        <v>53</v>
      </c>
      <c r="J4" s="4" t="s">
        <v>0</v>
      </c>
      <c r="K4" s="4" t="s">
        <v>5</v>
      </c>
      <c r="L4" s="4" t="s">
        <v>2</v>
      </c>
      <c r="M4" s="4" t="s">
        <v>19</v>
      </c>
      <c r="N4" s="4" t="s">
        <v>4</v>
      </c>
      <c r="O4" s="4" t="s">
        <v>3</v>
      </c>
      <c r="P4" s="16" t="s">
        <v>1</v>
      </c>
      <c r="Q4" s="4" t="s">
        <v>53</v>
      </c>
      <c r="R4" s="4" t="s">
        <v>0</v>
      </c>
      <c r="S4" s="4" t="s">
        <v>5</v>
      </c>
      <c r="T4" s="4" t="s">
        <v>2</v>
      </c>
      <c r="U4" s="4" t="s">
        <v>19</v>
      </c>
      <c r="V4" s="4" t="s">
        <v>4</v>
      </c>
      <c r="W4" s="4" t="s">
        <v>3</v>
      </c>
      <c r="X4" s="4" t="s">
        <v>1</v>
      </c>
      <c r="Y4" s="4" t="s">
        <v>53</v>
      </c>
      <c r="Z4" s="4" t="s">
        <v>0</v>
      </c>
      <c r="AA4" s="4" t="s">
        <v>5</v>
      </c>
      <c r="AB4" s="4" t="s">
        <v>2</v>
      </c>
      <c r="AC4" s="4" t="s">
        <v>19</v>
      </c>
      <c r="AD4" s="4" t="s">
        <v>4</v>
      </c>
      <c r="AE4" s="4" t="s">
        <v>3</v>
      </c>
      <c r="AF4" s="16" t="s">
        <v>1</v>
      </c>
      <c r="AG4" s="4" t="s">
        <v>53</v>
      </c>
      <c r="AH4" s="4" t="s">
        <v>20</v>
      </c>
      <c r="AI4" s="4" t="s">
        <v>21</v>
      </c>
      <c r="AJ4" s="4" t="s">
        <v>22</v>
      </c>
      <c r="AK4" s="4" t="s">
        <v>21</v>
      </c>
      <c r="AL4" s="4" t="s">
        <v>22</v>
      </c>
      <c r="AM4" s="17" t="s">
        <v>23</v>
      </c>
      <c r="AN4" s="18" t="s">
        <v>20</v>
      </c>
    </row>
    <row r="5" spans="1:42" x14ac:dyDescent="0.2">
      <c r="A5" s="25" t="s">
        <v>47</v>
      </c>
      <c r="B5" s="4"/>
      <c r="C5" s="4"/>
      <c r="D5" s="4"/>
      <c r="E5" s="4"/>
      <c r="F5" s="4"/>
      <c r="G5" s="4"/>
      <c r="H5" s="4"/>
      <c r="I5" s="36"/>
      <c r="J5" s="36"/>
      <c r="K5" s="36"/>
      <c r="L5" s="36"/>
      <c r="M5" s="36"/>
      <c r="N5" s="36"/>
      <c r="O5" s="4"/>
      <c r="P5" s="16"/>
      <c r="Q5" s="36"/>
      <c r="R5" s="4"/>
      <c r="S5" s="4"/>
      <c r="T5" s="4"/>
      <c r="U5" s="4"/>
      <c r="V5" s="4"/>
      <c r="W5" s="4"/>
      <c r="X5" s="4"/>
      <c r="Y5" s="36"/>
      <c r="Z5" s="36"/>
      <c r="AA5" s="36"/>
      <c r="AB5" s="36"/>
      <c r="AC5" s="36"/>
      <c r="AD5" s="36"/>
      <c r="AE5" s="4"/>
      <c r="AF5" s="16"/>
      <c r="AG5" s="36"/>
      <c r="AH5" s="4"/>
      <c r="AI5" s="4"/>
      <c r="AJ5" s="4"/>
      <c r="AK5" s="4"/>
      <c r="AL5" s="4"/>
      <c r="AM5" s="17"/>
      <c r="AN5" s="18"/>
    </row>
    <row r="6" spans="1:42" x14ac:dyDescent="0.2">
      <c r="A6" s="6"/>
      <c r="B6" s="4"/>
      <c r="C6" s="4"/>
      <c r="D6" s="4"/>
      <c r="E6" s="4"/>
      <c r="F6" s="4"/>
      <c r="G6" s="4"/>
      <c r="H6" s="4"/>
      <c r="I6" s="36"/>
      <c r="J6" s="36"/>
      <c r="K6" s="36"/>
      <c r="L6" s="36"/>
      <c r="M6" s="36"/>
      <c r="N6" s="36"/>
      <c r="O6" s="4"/>
      <c r="P6" s="16"/>
      <c r="Q6" s="36"/>
      <c r="R6" s="4"/>
      <c r="S6" s="4"/>
      <c r="T6" s="4"/>
      <c r="U6" s="4"/>
      <c r="V6" s="4"/>
      <c r="W6" s="4"/>
      <c r="X6" s="4"/>
      <c r="Y6" s="36"/>
      <c r="Z6" s="36"/>
      <c r="AA6" s="36"/>
      <c r="AB6" s="36"/>
      <c r="AC6" s="36"/>
      <c r="AD6" s="36"/>
      <c r="AE6" s="4"/>
      <c r="AF6" s="16"/>
      <c r="AG6" s="36"/>
      <c r="AH6" s="4"/>
      <c r="AI6" s="4"/>
      <c r="AJ6" s="4"/>
      <c r="AK6" s="4"/>
      <c r="AL6" s="4"/>
      <c r="AM6" s="17"/>
      <c r="AN6" s="18"/>
    </row>
    <row r="7" spans="1:42" s="47" customFormat="1" x14ac:dyDescent="0.2">
      <c r="A7" s="41" t="s">
        <v>48</v>
      </c>
      <c r="B7" s="42">
        <v>3785219055</v>
      </c>
      <c r="C7" s="42">
        <v>3741220312</v>
      </c>
      <c r="D7" s="42">
        <v>0</v>
      </c>
      <c r="E7" s="42">
        <v>0</v>
      </c>
      <c r="F7" s="42">
        <v>0</v>
      </c>
      <c r="G7" s="42">
        <f>(B7-C7-D7)</f>
        <v>43998743</v>
      </c>
      <c r="H7" s="43">
        <f>(B7-C7-D7)*100/(B7-E7-F7)</f>
        <v>1.1623830050702311</v>
      </c>
      <c r="I7" s="43">
        <f>G7*100/(B$40)</f>
        <v>0.94461566752132664</v>
      </c>
      <c r="J7" s="42">
        <v>32602255626</v>
      </c>
      <c r="K7" s="42">
        <v>32201074765</v>
      </c>
      <c r="L7" s="42">
        <v>0</v>
      </c>
      <c r="M7" s="42">
        <v>0</v>
      </c>
      <c r="N7" s="42">
        <v>0</v>
      </c>
      <c r="O7" s="42">
        <f>(J7-K7-L7)</f>
        <v>401180861</v>
      </c>
      <c r="P7" s="43">
        <f>(J7-K7-L7)*100/(J7-M7-N7)</f>
        <v>1.2305309963892865</v>
      </c>
      <c r="Q7" s="43">
        <f>O7*100/(J$40)</f>
        <v>0.99756535879296115</v>
      </c>
      <c r="R7" s="42">
        <v>3343466539</v>
      </c>
      <c r="S7" s="42">
        <v>3299884721</v>
      </c>
      <c r="T7" s="42">
        <v>0</v>
      </c>
      <c r="U7" s="42">
        <v>0</v>
      </c>
      <c r="V7" s="42">
        <v>0</v>
      </c>
      <c r="W7" s="42">
        <f>(R7-S7-T7)</f>
        <v>43581818</v>
      </c>
      <c r="X7" s="43">
        <f>(R7-S7-T7)*100/(R7-U7-V7)</f>
        <v>1.3034919743218043</v>
      </c>
      <c r="Y7" s="43">
        <f>W7*100/(R$40)</f>
        <v>1.0469902262703481</v>
      </c>
      <c r="Z7" s="42">
        <v>29108386928</v>
      </c>
      <c r="AA7" s="42">
        <v>28736859814</v>
      </c>
      <c r="AB7" s="42">
        <v>0</v>
      </c>
      <c r="AC7" s="42">
        <v>0</v>
      </c>
      <c r="AD7" s="42">
        <v>0</v>
      </c>
      <c r="AE7" s="42">
        <f>(Z7-AA7-AB7)</f>
        <v>371527114</v>
      </c>
      <c r="AF7" s="43">
        <f>(Z7-AA7-AB7)*100/(Z7-AC7-AD7)</f>
        <v>1.2763576178885401</v>
      </c>
      <c r="AG7" s="43">
        <f>AE7*100/(Z$40)</f>
        <v>1.0246965137776207</v>
      </c>
      <c r="AH7" s="44">
        <v>1.24</v>
      </c>
      <c r="AI7" s="24">
        <f>H7-AH7</f>
        <v>-7.7616994929768923E-2</v>
      </c>
      <c r="AJ7" s="24">
        <f>H7-X7</f>
        <v>-0.14110896925157324</v>
      </c>
      <c r="AK7" s="24">
        <f>P7-AH7</f>
        <v>-9.4690036107134556E-3</v>
      </c>
      <c r="AL7" s="24">
        <f>P7-AF7</f>
        <v>-4.5826621499253539E-2</v>
      </c>
      <c r="AM7" s="45"/>
      <c r="AN7" s="46"/>
      <c r="AP7" s="48"/>
    </row>
    <row r="8" spans="1:42" s="47" customFormat="1" x14ac:dyDescent="0.2">
      <c r="A8" s="41" t="s">
        <v>44</v>
      </c>
      <c r="B8" s="42">
        <v>924142260</v>
      </c>
      <c r="C8" s="42">
        <f>920762920-D8</f>
        <v>684189600</v>
      </c>
      <c r="D8" s="2">
        <v>236573320</v>
      </c>
      <c r="E8" s="42"/>
      <c r="F8" s="42">
        <v>8000</v>
      </c>
      <c r="G8" s="42">
        <f>(B8-C8-D8)</f>
        <v>3379340</v>
      </c>
      <c r="H8" s="43">
        <f>(B8-C8-D8)*100/(B8-E8-F8)</f>
        <v>0.36567630335444984</v>
      </c>
      <c r="I8" s="43">
        <f>G8*100/(B$40)</f>
        <v>7.2551561527144537E-2</v>
      </c>
      <c r="J8" s="42">
        <v>8200615191</v>
      </c>
      <c r="K8" s="42">
        <f>8173892171-L8</f>
        <v>6057018031</v>
      </c>
      <c r="L8" s="42">
        <v>2116874140</v>
      </c>
      <c r="M8" s="42"/>
      <c r="N8" s="42">
        <v>2321500</v>
      </c>
      <c r="O8" s="42">
        <f>(J8-K8-L8)</f>
        <v>26723020</v>
      </c>
      <c r="P8" s="43">
        <f>(J8-K8-L8)*100/(J8-M8-N8)</f>
        <v>0.32595831531793312</v>
      </c>
      <c r="Q8" s="43">
        <f>O8*100/(J$40)</f>
        <v>6.644873079907837E-2</v>
      </c>
      <c r="R8" s="42">
        <v>865649619</v>
      </c>
      <c r="S8" s="42">
        <v>856281500</v>
      </c>
      <c r="T8" s="42"/>
      <c r="U8" s="42"/>
      <c r="V8" s="42">
        <v>10900</v>
      </c>
      <c r="W8" s="42">
        <f>(R8-S8-T8)</f>
        <v>9368119</v>
      </c>
      <c r="X8" s="43">
        <f>(R8-S8-T8)*100/(R8-U8-V8)</f>
        <v>1.0822204222590925</v>
      </c>
      <c r="Y8" s="43">
        <f>W8*100/(R$40)</f>
        <v>0.22505552731961634</v>
      </c>
      <c r="Z8" s="42">
        <v>7728061385</v>
      </c>
      <c r="AA8" s="42">
        <v>7706757385</v>
      </c>
      <c r="AB8" s="42"/>
      <c r="AC8" s="42"/>
      <c r="AD8" s="42">
        <v>16684700</v>
      </c>
      <c r="AE8" s="42">
        <f>(Z8-AA8-AB8)</f>
        <v>21304000</v>
      </c>
      <c r="AF8" s="43">
        <f>(Z8-AA8-AB8)*100/(Z8-AC8-AD8)</f>
        <v>0.27626714230469473</v>
      </c>
      <c r="AG8" s="43">
        <f>AE8*100/(Z$40)</f>
        <v>5.8757850253476879E-2</v>
      </c>
      <c r="AH8" s="44"/>
      <c r="AI8" s="24"/>
      <c r="AJ8" s="24"/>
      <c r="AK8" s="24"/>
      <c r="AL8" s="24"/>
      <c r="AM8" s="45"/>
      <c r="AN8" s="46"/>
      <c r="AP8" s="48"/>
    </row>
    <row r="9" spans="1:42" s="39" customFormat="1" x14ac:dyDescent="0.2">
      <c r="A9" s="25" t="s">
        <v>49</v>
      </c>
      <c r="B9" s="8">
        <f>SUM(B7:B8)</f>
        <v>4709361315</v>
      </c>
      <c r="C9" s="8">
        <f>SUM(C7:C8)</f>
        <v>4425409912</v>
      </c>
      <c r="D9" s="8">
        <f>SUM(D7:D8)</f>
        <v>236573320</v>
      </c>
      <c r="E9" s="7">
        <f>1591300+72920000</f>
        <v>74511300</v>
      </c>
      <c r="F9" s="63"/>
      <c r="G9" s="8">
        <f>SUM(G7:G8)</f>
        <v>47378083</v>
      </c>
      <c r="H9" s="5">
        <f>(B9-C9-D9)*100/(B9-E9-F9)</f>
        <v>1.022213941048101</v>
      </c>
      <c r="I9" s="5">
        <f>G9*100/(B$40)</f>
        <v>1.0171672290484712</v>
      </c>
      <c r="J9" s="8">
        <f>SUM(J7:J8)</f>
        <v>40802870817</v>
      </c>
      <c r="K9" s="8">
        <f>SUM(K7:K8)</f>
        <v>38258092796</v>
      </c>
      <c r="L9" s="8">
        <f>SUM(L7:L8)</f>
        <v>2116874140</v>
      </c>
      <c r="M9" s="7">
        <f>649280827.6+123457200</f>
        <v>772738027.60000002</v>
      </c>
      <c r="N9" s="63">
        <f>SUM(N7:N8)</f>
        <v>2321500</v>
      </c>
      <c r="O9" s="8">
        <f>SUM(O7:O8)</f>
        <v>427903881</v>
      </c>
      <c r="P9" s="5">
        <f>(J9-K9-L9)*100/(J9-M9-N9)</f>
        <v>1.0690164343642634</v>
      </c>
      <c r="Q9" s="5">
        <f>O9*100/(J$40)</f>
        <v>1.0640140895920396</v>
      </c>
      <c r="R9" s="8">
        <f>SUM(R7:R8)</f>
        <v>4209116158</v>
      </c>
      <c r="S9" s="8">
        <f>SUM(S7:S8)</f>
        <v>4156166221</v>
      </c>
      <c r="T9" s="8"/>
      <c r="U9" s="7">
        <f>72970100
+15510496</f>
        <v>88480596</v>
      </c>
      <c r="V9" s="8">
        <f>SUM(V7:V8)</f>
        <v>10900</v>
      </c>
      <c r="W9" s="8">
        <f>SUM(W7:W8)</f>
        <v>52949937</v>
      </c>
      <c r="X9" s="5">
        <f>(R9-S9-T9)*100/(R9-U9-V9)</f>
        <v>1.2849978181293524</v>
      </c>
      <c r="Y9" s="5">
        <f>W9*100/(R$40)</f>
        <v>1.2720457535899643</v>
      </c>
      <c r="Z9" s="8">
        <f>SUM(Z7:Z8)</f>
        <v>36836448313</v>
      </c>
      <c r="AA9" s="8">
        <f>SUM(AA7:AA8)</f>
        <v>36443617199</v>
      </c>
      <c r="AB9" s="8">
        <f>SUM(AB7:AB8)</f>
        <v>0</v>
      </c>
      <c r="AC9" s="7">
        <f>39347796
+647326800</f>
        <v>686674596</v>
      </c>
      <c r="AD9" s="8">
        <f>SUM(AD7:AD8)</f>
        <v>16684700</v>
      </c>
      <c r="AE9" s="8">
        <f>SUM(AE7:AE8)</f>
        <v>392831114</v>
      </c>
      <c r="AF9" s="5">
        <f>(Z9-AA9-AB9)*100/(Z9-AC9-AD9)</f>
        <v>1.0871783306851504</v>
      </c>
      <c r="AG9" s="5">
        <f>AE9*100/(Z$40)</f>
        <v>1.0834543640310976</v>
      </c>
      <c r="AH9" s="38"/>
      <c r="AI9" s="5"/>
      <c r="AJ9" s="5"/>
      <c r="AK9" s="5"/>
      <c r="AL9" s="5"/>
      <c r="AM9" s="37"/>
      <c r="AN9" s="35"/>
      <c r="AP9" s="40"/>
    </row>
    <row r="10" spans="1:42" x14ac:dyDescent="0.2">
      <c r="A10" s="19"/>
      <c r="B10" s="2"/>
      <c r="C10" s="2"/>
      <c r="D10" s="2"/>
      <c r="E10" s="2"/>
      <c r="F10" s="2"/>
      <c r="G10" s="2"/>
      <c r="H10" s="3"/>
      <c r="I10" s="3"/>
      <c r="J10" s="20"/>
      <c r="K10" s="20"/>
      <c r="L10" s="20"/>
      <c r="M10" s="20"/>
      <c r="N10" s="20"/>
      <c r="O10" s="2"/>
      <c r="P10" s="3"/>
      <c r="Q10" s="3"/>
      <c r="R10" s="2"/>
      <c r="S10" s="2"/>
      <c r="T10" s="2"/>
      <c r="U10" s="2"/>
      <c r="V10" s="2"/>
      <c r="W10" s="2"/>
      <c r="X10" s="3"/>
      <c r="Y10" s="3"/>
      <c r="Z10" s="20"/>
      <c r="AA10" s="20"/>
      <c r="AB10" s="20"/>
      <c r="AC10" s="20"/>
      <c r="AD10" s="20"/>
      <c r="AE10" s="2"/>
      <c r="AF10" s="3"/>
      <c r="AG10" s="3"/>
      <c r="AH10" s="21"/>
      <c r="AI10" s="3"/>
      <c r="AJ10" s="3"/>
      <c r="AK10" s="3"/>
      <c r="AL10" s="3"/>
      <c r="AM10" s="20"/>
      <c r="AN10" s="22"/>
      <c r="AP10" s="12"/>
    </row>
    <row r="11" spans="1:42" x14ac:dyDescent="0.2">
      <c r="A11" s="25" t="s">
        <v>50</v>
      </c>
      <c r="B11" s="2"/>
      <c r="C11" s="2"/>
      <c r="D11" s="2"/>
      <c r="E11" s="2"/>
      <c r="F11" s="2"/>
      <c r="G11" s="2"/>
      <c r="H11" s="3"/>
      <c r="I11" s="3"/>
      <c r="J11" s="20"/>
      <c r="K11" s="20"/>
      <c r="L11" s="20"/>
      <c r="M11" s="20"/>
      <c r="N11" s="20"/>
      <c r="O11" s="2"/>
      <c r="P11" s="3"/>
      <c r="Q11" s="3"/>
      <c r="R11" s="2"/>
      <c r="S11" s="2"/>
      <c r="T11" s="2"/>
      <c r="U11" s="2"/>
      <c r="V11" s="2"/>
      <c r="W11" s="2"/>
      <c r="X11" s="3"/>
      <c r="Y11" s="3"/>
      <c r="Z11" s="20"/>
      <c r="AA11" s="20"/>
      <c r="AB11" s="20"/>
      <c r="AC11" s="20"/>
      <c r="AD11" s="20"/>
      <c r="AE11" s="2"/>
      <c r="AF11" s="3"/>
      <c r="AG11" s="3"/>
      <c r="AH11" s="21"/>
      <c r="AI11" s="3"/>
      <c r="AJ11" s="3"/>
      <c r="AK11" s="3"/>
      <c r="AL11" s="3"/>
      <c r="AM11" s="20"/>
      <c r="AN11" s="22"/>
      <c r="AP11" s="12"/>
    </row>
    <row r="12" spans="1:42" x14ac:dyDescent="0.2">
      <c r="A12" s="19"/>
      <c r="B12" s="2"/>
      <c r="C12" s="2"/>
      <c r="D12" s="2"/>
      <c r="E12" s="2"/>
      <c r="F12" s="2"/>
      <c r="G12" s="2"/>
      <c r="H12" s="3"/>
      <c r="I12" s="3"/>
      <c r="J12" s="20"/>
      <c r="K12" s="20"/>
      <c r="L12" s="20"/>
      <c r="M12" s="20"/>
      <c r="N12" s="20"/>
      <c r="O12" s="2"/>
      <c r="P12" s="3"/>
      <c r="Q12" s="3"/>
      <c r="R12" s="2"/>
      <c r="S12" s="2"/>
      <c r="T12" s="2"/>
      <c r="U12" s="2"/>
      <c r="V12" s="2"/>
      <c r="W12" s="2"/>
      <c r="X12" s="3"/>
      <c r="Y12" s="3"/>
      <c r="Z12" s="20"/>
      <c r="AA12" s="20"/>
      <c r="AB12" s="20"/>
      <c r="AC12" s="20"/>
      <c r="AD12" s="20"/>
      <c r="AE12" s="2"/>
      <c r="AF12" s="3"/>
      <c r="AG12" s="3"/>
      <c r="AH12" s="21"/>
      <c r="AI12" s="3"/>
      <c r="AJ12" s="3"/>
      <c r="AK12" s="3"/>
      <c r="AL12" s="3"/>
      <c r="AM12" s="20"/>
      <c r="AN12" s="22"/>
      <c r="AP12" s="12"/>
    </row>
    <row r="13" spans="1:42" x14ac:dyDescent="0.2">
      <c r="A13" s="19" t="s">
        <v>24</v>
      </c>
      <c r="B13" s="2">
        <v>108266265</v>
      </c>
      <c r="C13" s="2">
        <v>8642317</v>
      </c>
      <c r="D13" s="2">
        <v>100543731</v>
      </c>
      <c r="E13" s="2">
        <v>67400</v>
      </c>
      <c r="F13" s="2">
        <v>0</v>
      </c>
      <c r="G13" s="2">
        <v>-919783</v>
      </c>
      <c r="H13" s="3">
        <v>-0.85</v>
      </c>
      <c r="I13" s="3"/>
      <c r="J13" s="20">
        <v>943054885</v>
      </c>
      <c r="K13" s="20">
        <v>52350909</v>
      </c>
      <c r="L13" s="20">
        <v>843000841</v>
      </c>
      <c r="M13" s="20">
        <v>1000300</v>
      </c>
      <c r="N13" s="20">
        <v>0</v>
      </c>
      <c r="O13" s="2">
        <v>47703135</v>
      </c>
      <c r="P13" s="3">
        <v>5.0599999999999996</v>
      </c>
      <c r="Q13" s="3"/>
      <c r="R13" s="2">
        <v>90263790</v>
      </c>
      <c r="S13" s="2">
        <v>4176954</v>
      </c>
      <c r="T13" s="2">
        <v>84838624</v>
      </c>
      <c r="U13" s="2">
        <v>32700</v>
      </c>
      <c r="V13" s="2">
        <v>0</v>
      </c>
      <c r="W13" s="2">
        <v>1248212</v>
      </c>
      <c r="X13" s="3">
        <v>1.3799999999999899</v>
      </c>
      <c r="Y13" s="3"/>
      <c r="Z13" s="20">
        <v>807833370</v>
      </c>
      <c r="AA13" s="20">
        <v>37842336</v>
      </c>
      <c r="AB13" s="20">
        <v>721817852</v>
      </c>
      <c r="AC13" s="20">
        <v>709100</v>
      </c>
      <c r="AD13" s="20">
        <v>0</v>
      </c>
      <c r="AE13" s="2">
        <v>48173182</v>
      </c>
      <c r="AF13" s="3">
        <v>5.96999999999999</v>
      </c>
      <c r="AG13" s="3"/>
      <c r="AH13" s="21">
        <v>6.95</v>
      </c>
      <c r="AI13" s="3">
        <f t="shared" ref="AI13:AI32" si="0">H13-AH13</f>
        <v>-7.8</v>
      </c>
      <c r="AJ13" s="3">
        <f t="shared" ref="AJ13:AJ32" si="1">H13-X13</f>
        <v>-2.2299999999999898</v>
      </c>
      <c r="AK13" s="3">
        <f t="shared" ref="AK13:AK34" si="2">P13-AH13</f>
        <v>-1.8900000000000006</v>
      </c>
      <c r="AL13" s="3">
        <f t="shared" ref="AL13:AL32" si="3">P13-AF13</f>
        <v>-0.90999999999999037</v>
      </c>
      <c r="AM13" s="20" t="e">
        <f>#REF!-#REF!</f>
        <v>#REF!</v>
      </c>
      <c r="AN13" s="3" t="e">
        <f>AM13*100/#REF!</f>
        <v>#REF!</v>
      </c>
      <c r="AP13" s="12"/>
    </row>
    <row r="14" spans="1:42" x14ac:dyDescent="0.2">
      <c r="A14" s="19" t="s">
        <v>25</v>
      </c>
      <c r="B14" s="2">
        <v>154375694</v>
      </c>
      <c r="C14" s="2">
        <v>54786</v>
      </c>
      <c r="D14" s="2">
        <v>139753523</v>
      </c>
      <c r="E14" s="2">
        <v>53700</v>
      </c>
      <c r="F14" s="2">
        <v>0</v>
      </c>
      <c r="G14" s="2">
        <v>14567385</v>
      </c>
      <c r="H14" s="3">
        <v>9.44</v>
      </c>
      <c r="I14" s="3"/>
      <c r="J14" s="20">
        <v>1344248266</v>
      </c>
      <c r="K14" s="20">
        <v>468765</v>
      </c>
      <c r="L14" s="20">
        <v>1252906449</v>
      </c>
      <c r="M14" s="20">
        <v>202800</v>
      </c>
      <c r="N14" s="20">
        <v>0</v>
      </c>
      <c r="O14" s="2">
        <v>90873052</v>
      </c>
      <c r="P14" s="3">
        <v>6.76</v>
      </c>
      <c r="Q14" s="3"/>
      <c r="R14" s="2">
        <v>144639564</v>
      </c>
      <c r="S14" s="2">
        <v>46086</v>
      </c>
      <c r="T14" s="2">
        <v>123127248</v>
      </c>
      <c r="U14" s="2">
        <v>0</v>
      </c>
      <c r="V14" s="2">
        <v>0</v>
      </c>
      <c r="W14" s="2">
        <v>21466230</v>
      </c>
      <c r="X14" s="3">
        <v>14.84</v>
      </c>
      <c r="Y14" s="3"/>
      <c r="Z14" s="20">
        <v>1189611500</v>
      </c>
      <c r="AA14" s="20">
        <v>444930</v>
      </c>
      <c r="AB14" s="20">
        <v>1115165208</v>
      </c>
      <c r="AC14" s="20">
        <v>0</v>
      </c>
      <c r="AD14" s="20">
        <v>0</v>
      </c>
      <c r="AE14" s="2">
        <v>74001362</v>
      </c>
      <c r="AF14" s="3">
        <v>6.21999999999999</v>
      </c>
      <c r="AG14" s="3"/>
      <c r="AH14" s="23">
        <v>6.75</v>
      </c>
      <c r="AI14" s="3">
        <f t="shared" si="0"/>
        <v>2.6899999999999995</v>
      </c>
      <c r="AJ14" s="3">
        <f t="shared" si="1"/>
        <v>-5.4</v>
      </c>
      <c r="AK14" s="3">
        <f t="shared" si="2"/>
        <v>9.9999999999997868E-3</v>
      </c>
      <c r="AL14" s="3">
        <f t="shared" si="3"/>
        <v>0.54000000000000981</v>
      </c>
      <c r="AM14" s="20" t="e">
        <f>#REF!-#REF!</f>
        <v>#REF!</v>
      </c>
      <c r="AN14" s="3" t="e">
        <f>AM14*100/#REF!</f>
        <v>#REF!</v>
      </c>
      <c r="AP14" s="12"/>
    </row>
    <row r="15" spans="1:42" x14ac:dyDescent="0.2">
      <c r="A15" s="19" t="s">
        <v>26</v>
      </c>
      <c r="B15" s="2">
        <v>75619509</v>
      </c>
      <c r="C15" s="2">
        <v>1223670</v>
      </c>
      <c r="D15" s="2">
        <v>75163482</v>
      </c>
      <c r="E15" s="2">
        <v>6400</v>
      </c>
      <c r="F15" s="2">
        <v>12825</v>
      </c>
      <c r="G15" s="2">
        <v>-767643</v>
      </c>
      <c r="H15" s="3">
        <v>-1.02</v>
      </c>
      <c r="I15" s="3"/>
      <c r="J15" s="20">
        <v>745832110</v>
      </c>
      <c r="K15" s="20">
        <v>14645244</v>
      </c>
      <c r="L15" s="20">
        <v>687955950</v>
      </c>
      <c r="M15" s="20">
        <v>524119</v>
      </c>
      <c r="N15" s="20">
        <v>117409</v>
      </c>
      <c r="O15" s="2">
        <v>43230916</v>
      </c>
      <c r="P15" s="3">
        <v>5.8</v>
      </c>
      <c r="Q15" s="3"/>
      <c r="R15" s="2">
        <v>71939995</v>
      </c>
      <c r="S15" s="2">
        <v>2065325</v>
      </c>
      <c r="T15" s="2">
        <v>66936098</v>
      </c>
      <c r="U15" s="2">
        <v>11600</v>
      </c>
      <c r="V15" s="2">
        <v>1466</v>
      </c>
      <c r="W15" s="2">
        <v>2938572</v>
      </c>
      <c r="X15" s="3">
        <v>4.0899999999999901</v>
      </c>
      <c r="Y15" s="3"/>
      <c r="Z15" s="20">
        <v>685857807</v>
      </c>
      <c r="AA15" s="20">
        <v>19077625</v>
      </c>
      <c r="AB15" s="20">
        <v>623102587</v>
      </c>
      <c r="AC15" s="20">
        <v>504900</v>
      </c>
      <c r="AD15" s="20">
        <v>11422</v>
      </c>
      <c r="AE15" s="2">
        <v>43677595</v>
      </c>
      <c r="AF15" s="3">
        <v>6.37</v>
      </c>
      <c r="AG15" s="3"/>
      <c r="AH15" s="23">
        <v>7.1</v>
      </c>
      <c r="AI15" s="3">
        <f t="shared" si="0"/>
        <v>-8.1199999999999992</v>
      </c>
      <c r="AJ15" s="3">
        <f t="shared" si="1"/>
        <v>-5.1099999999999905</v>
      </c>
      <c r="AK15" s="3">
        <f t="shared" si="2"/>
        <v>-1.2999999999999998</v>
      </c>
      <c r="AL15" s="3">
        <f t="shared" si="3"/>
        <v>-0.57000000000000028</v>
      </c>
      <c r="AM15" s="20" t="e">
        <f>#REF!-#REF!</f>
        <v>#REF!</v>
      </c>
      <c r="AN15" s="3" t="e">
        <f>AM15*100/#REF!</f>
        <v>#REF!</v>
      </c>
      <c r="AP15" s="12"/>
    </row>
    <row r="16" spans="1:42" x14ac:dyDescent="0.2">
      <c r="A16" s="19" t="s">
        <v>27</v>
      </c>
      <c r="B16" s="2">
        <v>711611832</v>
      </c>
      <c r="C16" s="2">
        <v>3601233</v>
      </c>
      <c r="D16" s="2">
        <v>711544916</v>
      </c>
      <c r="E16" s="2">
        <v>0</v>
      </c>
      <c r="F16" s="2">
        <v>33400</v>
      </c>
      <c r="G16" s="2">
        <v>-3534317</v>
      </c>
      <c r="H16" s="3">
        <v>-0.5</v>
      </c>
      <c r="I16" s="3"/>
      <c r="J16" s="20">
        <v>6084326376</v>
      </c>
      <c r="K16" s="20">
        <v>29796832</v>
      </c>
      <c r="L16" s="20">
        <v>5869475209</v>
      </c>
      <c r="M16" s="20">
        <v>0</v>
      </c>
      <c r="N16" s="20">
        <v>341534</v>
      </c>
      <c r="O16" s="2">
        <v>185054335</v>
      </c>
      <c r="P16" s="3">
        <v>3.04</v>
      </c>
      <c r="Q16" s="3"/>
      <c r="R16" s="2">
        <v>631188217</v>
      </c>
      <c r="S16" s="2">
        <v>2592876</v>
      </c>
      <c r="T16" s="2">
        <v>619571697</v>
      </c>
      <c r="U16" s="2">
        <v>0</v>
      </c>
      <c r="V16" s="2">
        <v>38062</v>
      </c>
      <c r="W16" s="2">
        <v>9023644</v>
      </c>
      <c r="X16" s="3">
        <v>1.4299999999999899</v>
      </c>
      <c r="Y16" s="3"/>
      <c r="Z16" s="20">
        <v>5384925272</v>
      </c>
      <c r="AA16" s="20">
        <v>16191846</v>
      </c>
      <c r="AB16" s="20">
        <v>5186957660</v>
      </c>
      <c r="AC16" s="20">
        <v>0</v>
      </c>
      <c r="AD16" s="20">
        <v>302912</v>
      </c>
      <c r="AE16" s="2">
        <v>181775766</v>
      </c>
      <c r="AF16" s="3">
        <v>3.3799999999999901</v>
      </c>
      <c r="AG16" s="3"/>
      <c r="AH16" s="23">
        <v>3.71</v>
      </c>
      <c r="AI16" s="3">
        <f t="shared" si="0"/>
        <v>-4.21</v>
      </c>
      <c r="AJ16" s="3">
        <f t="shared" si="1"/>
        <v>-1.9299999999999899</v>
      </c>
      <c r="AK16" s="3">
        <f t="shared" si="2"/>
        <v>-0.66999999999999993</v>
      </c>
      <c r="AL16" s="3">
        <f t="shared" si="3"/>
        <v>-0.33999999999999009</v>
      </c>
      <c r="AM16" s="20" t="e">
        <f>#REF!-#REF!</f>
        <v>#REF!</v>
      </c>
      <c r="AN16" s="3" t="e">
        <f>AM16*100/#REF!</f>
        <v>#REF!</v>
      </c>
      <c r="AP16" s="12"/>
    </row>
    <row r="17" spans="1:42" x14ac:dyDescent="0.2">
      <c r="A17" s="19" t="s">
        <v>28</v>
      </c>
      <c r="B17" s="2">
        <v>221448000</v>
      </c>
      <c r="C17" s="2">
        <v>15588486</v>
      </c>
      <c r="D17" s="2">
        <v>202630640</v>
      </c>
      <c r="E17" s="2">
        <v>0</v>
      </c>
      <c r="F17" s="2">
        <v>0</v>
      </c>
      <c r="G17" s="2">
        <v>3228874</v>
      </c>
      <c r="H17" s="3">
        <v>1.46</v>
      </c>
      <c r="I17" s="3"/>
      <c r="J17" s="20">
        <v>1859298500</v>
      </c>
      <c r="K17" s="20">
        <v>137815365</v>
      </c>
      <c r="L17" s="20">
        <v>1626020344</v>
      </c>
      <c r="M17" s="20">
        <v>56200</v>
      </c>
      <c r="N17" s="20">
        <v>0</v>
      </c>
      <c r="O17" s="2">
        <v>95462791</v>
      </c>
      <c r="P17" s="3">
        <v>5.13</v>
      </c>
      <c r="Q17" s="3"/>
      <c r="R17" s="2">
        <v>171576000</v>
      </c>
      <c r="S17" s="2">
        <v>12796190</v>
      </c>
      <c r="T17" s="2">
        <v>158029079</v>
      </c>
      <c r="U17" s="2">
        <v>0</v>
      </c>
      <c r="V17" s="2">
        <v>0</v>
      </c>
      <c r="W17" s="2">
        <v>750731</v>
      </c>
      <c r="X17" s="3">
        <v>0.44</v>
      </c>
      <c r="Y17" s="3"/>
      <c r="Z17" s="20">
        <v>1478380900</v>
      </c>
      <c r="AA17" s="20">
        <v>127103494</v>
      </c>
      <c r="AB17" s="20">
        <v>1264685531</v>
      </c>
      <c r="AC17" s="20">
        <v>43400</v>
      </c>
      <c r="AD17" s="20">
        <v>0</v>
      </c>
      <c r="AE17" s="2">
        <v>86591875</v>
      </c>
      <c r="AF17" s="3">
        <v>5.86</v>
      </c>
      <c r="AG17" s="3"/>
      <c r="AH17" s="23">
        <v>5.85</v>
      </c>
      <c r="AI17" s="3">
        <f t="shared" si="0"/>
        <v>-4.3899999999999997</v>
      </c>
      <c r="AJ17" s="3">
        <f t="shared" si="1"/>
        <v>1.02</v>
      </c>
      <c r="AK17" s="3">
        <f t="shared" si="2"/>
        <v>-0.71999999999999975</v>
      </c>
      <c r="AL17" s="3">
        <f t="shared" si="3"/>
        <v>-0.73000000000000043</v>
      </c>
      <c r="AM17" s="20" t="e">
        <f>#REF!-#REF!</f>
        <v>#REF!</v>
      </c>
      <c r="AN17" s="3" t="e">
        <f>AM17*100/#REF!</f>
        <v>#REF!</v>
      </c>
      <c r="AP17" s="12"/>
    </row>
    <row r="18" spans="1:42" x14ac:dyDescent="0.2">
      <c r="A18" s="19" t="s">
        <v>29</v>
      </c>
      <c r="B18" s="2">
        <v>302893769</v>
      </c>
      <c r="C18" s="2">
        <v>4167752</v>
      </c>
      <c r="D18" s="2">
        <v>297168250</v>
      </c>
      <c r="E18" s="2">
        <v>0</v>
      </c>
      <c r="F18" s="2">
        <v>6569</v>
      </c>
      <c r="G18" s="2">
        <v>1557767</v>
      </c>
      <c r="H18" s="3">
        <v>0.51</v>
      </c>
      <c r="I18" s="3"/>
      <c r="J18" s="20">
        <v>2556761219</v>
      </c>
      <c r="K18" s="20">
        <v>39416518</v>
      </c>
      <c r="L18" s="20">
        <v>2403376991</v>
      </c>
      <c r="M18" s="20">
        <v>0</v>
      </c>
      <c r="N18" s="20">
        <v>57919</v>
      </c>
      <c r="O18" s="2">
        <v>113967710</v>
      </c>
      <c r="P18" s="3">
        <v>4.46</v>
      </c>
      <c r="Q18" s="3"/>
      <c r="R18" s="2">
        <v>258394268</v>
      </c>
      <c r="S18" s="2">
        <v>4084426</v>
      </c>
      <c r="T18" s="2">
        <v>252774578</v>
      </c>
      <c r="U18" s="2">
        <v>0</v>
      </c>
      <c r="V18" s="2">
        <v>6368</v>
      </c>
      <c r="W18" s="2">
        <v>1535264</v>
      </c>
      <c r="X18" s="3">
        <v>0.58999999999999897</v>
      </c>
      <c r="Y18" s="3"/>
      <c r="Z18" s="20">
        <v>2249142037</v>
      </c>
      <c r="AA18" s="20">
        <v>36022190</v>
      </c>
      <c r="AB18" s="20">
        <v>2102627152</v>
      </c>
      <c r="AC18" s="20">
        <v>0</v>
      </c>
      <c r="AD18" s="20">
        <v>56537</v>
      </c>
      <c r="AE18" s="2">
        <v>110492695</v>
      </c>
      <c r="AF18" s="3">
        <v>4.91</v>
      </c>
      <c r="AG18" s="3"/>
      <c r="AH18" s="23">
        <v>4.58</v>
      </c>
      <c r="AI18" s="3">
        <f t="shared" si="0"/>
        <v>-4.07</v>
      </c>
      <c r="AJ18" s="3">
        <f t="shared" si="1"/>
        <v>-7.9999999999998961E-2</v>
      </c>
      <c r="AK18" s="3">
        <f t="shared" si="2"/>
        <v>-0.12000000000000011</v>
      </c>
      <c r="AL18" s="3">
        <f t="shared" si="3"/>
        <v>-0.45000000000000018</v>
      </c>
      <c r="AM18" s="20" t="e">
        <f>#REF!-#REF!</f>
        <v>#REF!</v>
      </c>
      <c r="AN18" s="3" t="e">
        <f>AM18*100/#REF!</f>
        <v>#REF!</v>
      </c>
      <c r="AP18" s="12"/>
    </row>
    <row r="19" spans="1:42" x14ac:dyDescent="0.2">
      <c r="A19" s="19" t="s">
        <v>30</v>
      </c>
      <c r="B19" s="2">
        <v>183802991</v>
      </c>
      <c r="C19" s="2">
        <v>17677827</v>
      </c>
      <c r="D19" s="2">
        <v>141397076</v>
      </c>
      <c r="E19" s="2">
        <v>0</v>
      </c>
      <c r="F19" s="2">
        <v>0</v>
      </c>
      <c r="G19" s="2">
        <v>24728088</v>
      </c>
      <c r="H19" s="3">
        <v>13.45</v>
      </c>
      <c r="I19" s="3"/>
      <c r="J19" s="20">
        <v>1606739232</v>
      </c>
      <c r="K19" s="20">
        <v>142627621</v>
      </c>
      <c r="L19" s="20">
        <v>1398306917</v>
      </c>
      <c r="M19" s="20">
        <v>0</v>
      </c>
      <c r="N19" s="20">
        <v>0</v>
      </c>
      <c r="O19" s="2">
        <v>65804694</v>
      </c>
      <c r="P19" s="3">
        <v>4.0999999999999996</v>
      </c>
      <c r="Q19" s="3"/>
      <c r="R19" s="2">
        <v>161382235</v>
      </c>
      <c r="S19" s="2">
        <v>14594778</v>
      </c>
      <c r="T19" s="2">
        <v>130622248</v>
      </c>
      <c r="U19" s="2">
        <v>0</v>
      </c>
      <c r="V19" s="2">
        <v>0</v>
      </c>
      <c r="W19" s="2">
        <v>16165209</v>
      </c>
      <c r="X19" s="3">
        <v>10.02</v>
      </c>
      <c r="Y19" s="3"/>
      <c r="Z19" s="20">
        <v>1472994662</v>
      </c>
      <c r="AA19" s="20">
        <v>138178519</v>
      </c>
      <c r="AB19" s="20">
        <v>1274881141</v>
      </c>
      <c r="AC19" s="20">
        <v>0</v>
      </c>
      <c r="AD19" s="20">
        <v>0</v>
      </c>
      <c r="AE19" s="2">
        <v>59935002</v>
      </c>
      <c r="AF19" s="3">
        <v>4.07</v>
      </c>
      <c r="AG19" s="3"/>
      <c r="AH19" s="23">
        <v>6.05</v>
      </c>
      <c r="AI19" s="3">
        <f t="shared" si="0"/>
        <v>7.3999999999999995</v>
      </c>
      <c r="AJ19" s="3">
        <f t="shared" si="1"/>
        <v>3.4299999999999997</v>
      </c>
      <c r="AK19" s="3">
        <f t="shared" si="2"/>
        <v>-1.9500000000000002</v>
      </c>
      <c r="AL19" s="3">
        <f t="shared" si="3"/>
        <v>2.9999999999999361E-2</v>
      </c>
      <c r="AM19" s="20" t="e">
        <f>#REF!-#REF!</f>
        <v>#REF!</v>
      </c>
      <c r="AN19" s="3" t="e">
        <f>AM19*100/#REF!</f>
        <v>#REF!</v>
      </c>
      <c r="AP19" s="12"/>
    </row>
    <row r="20" spans="1:42" x14ac:dyDescent="0.2">
      <c r="A20" s="19" t="s">
        <v>31</v>
      </c>
      <c r="B20" s="2">
        <v>197020800</v>
      </c>
      <c r="C20" s="2">
        <v>4044989</v>
      </c>
      <c r="D20" s="2">
        <v>187612301</v>
      </c>
      <c r="E20" s="2">
        <v>0</v>
      </c>
      <c r="F20" s="2">
        <v>0</v>
      </c>
      <c r="G20" s="2">
        <v>5363510</v>
      </c>
      <c r="H20" s="3">
        <v>2.72</v>
      </c>
      <c r="I20" s="3"/>
      <c r="J20" s="20">
        <v>1693195600</v>
      </c>
      <c r="K20" s="20">
        <v>33059999</v>
      </c>
      <c r="L20" s="20">
        <v>1542398438</v>
      </c>
      <c r="M20" s="20">
        <v>0</v>
      </c>
      <c r="N20" s="20">
        <v>0</v>
      </c>
      <c r="O20" s="2">
        <v>117737163</v>
      </c>
      <c r="P20" s="3">
        <v>6.95</v>
      </c>
      <c r="Q20" s="3"/>
      <c r="R20" s="2">
        <v>169938500</v>
      </c>
      <c r="S20" s="2">
        <v>2547636</v>
      </c>
      <c r="T20" s="2">
        <v>157807188</v>
      </c>
      <c r="U20" s="2">
        <v>0</v>
      </c>
      <c r="V20" s="2">
        <v>0</v>
      </c>
      <c r="W20" s="2">
        <v>9583676</v>
      </c>
      <c r="X20" s="3">
        <v>5.6399999999999899</v>
      </c>
      <c r="Y20" s="3"/>
      <c r="Z20" s="20">
        <v>1495632708</v>
      </c>
      <c r="AA20" s="20">
        <v>8500019</v>
      </c>
      <c r="AB20" s="20">
        <v>1373935743</v>
      </c>
      <c r="AC20" s="20">
        <v>0</v>
      </c>
      <c r="AD20" s="20">
        <v>0</v>
      </c>
      <c r="AE20" s="2">
        <v>113196946</v>
      </c>
      <c r="AF20" s="3">
        <v>7.57</v>
      </c>
      <c r="AG20" s="3"/>
      <c r="AH20" s="23">
        <v>7.5</v>
      </c>
      <c r="AI20" s="3">
        <f t="shared" si="0"/>
        <v>-4.7799999999999994</v>
      </c>
      <c r="AJ20" s="3">
        <f t="shared" si="1"/>
        <v>-2.9199999999999897</v>
      </c>
      <c r="AK20" s="3">
        <f t="shared" si="2"/>
        <v>-0.54999999999999982</v>
      </c>
      <c r="AL20" s="3">
        <f t="shared" si="3"/>
        <v>-0.62000000000000011</v>
      </c>
      <c r="AM20" s="20" t="e">
        <f>#REF!-#REF!</f>
        <v>#REF!</v>
      </c>
      <c r="AN20" s="3" t="e">
        <f>AM20*100/#REF!</f>
        <v>#REF!</v>
      </c>
      <c r="AP20" s="12"/>
    </row>
    <row r="21" spans="1:42" x14ac:dyDescent="0.2">
      <c r="A21" s="19" t="s">
        <v>32</v>
      </c>
      <c r="B21" s="2">
        <v>100400500</v>
      </c>
      <c r="C21" s="2">
        <v>1014050</v>
      </c>
      <c r="D21" s="2">
        <v>99139367</v>
      </c>
      <c r="E21" s="2">
        <v>0</v>
      </c>
      <c r="F21" s="2">
        <v>0</v>
      </c>
      <c r="G21" s="2">
        <v>247083</v>
      </c>
      <c r="H21" s="3">
        <v>0.25</v>
      </c>
      <c r="I21" s="3"/>
      <c r="J21" s="20">
        <v>870284800</v>
      </c>
      <c r="K21" s="20">
        <v>13158490</v>
      </c>
      <c r="L21" s="20">
        <v>801710793</v>
      </c>
      <c r="M21" s="20">
        <v>0</v>
      </c>
      <c r="N21" s="20">
        <v>0</v>
      </c>
      <c r="O21" s="2">
        <v>55415517</v>
      </c>
      <c r="P21" s="3">
        <v>6.37</v>
      </c>
      <c r="Q21" s="3"/>
      <c r="R21" s="2">
        <v>93601900</v>
      </c>
      <c r="S21" s="2">
        <v>947512</v>
      </c>
      <c r="T21" s="2">
        <v>88564068</v>
      </c>
      <c r="U21" s="2">
        <v>0</v>
      </c>
      <c r="V21" s="2">
        <v>0</v>
      </c>
      <c r="W21" s="2">
        <v>4090320</v>
      </c>
      <c r="X21" s="3">
        <v>4.37</v>
      </c>
      <c r="Y21" s="3"/>
      <c r="Z21" s="20">
        <v>808034584</v>
      </c>
      <c r="AA21" s="20">
        <v>16507152</v>
      </c>
      <c r="AB21" s="20">
        <v>725686153</v>
      </c>
      <c r="AC21" s="20">
        <v>0</v>
      </c>
      <c r="AD21" s="20">
        <v>0</v>
      </c>
      <c r="AE21" s="2">
        <v>65841279</v>
      </c>
      <c r="AF21" s="3">
        <v>8.15</v>
      </c>
      <c r="AG21" s="3"/>
      <c r="AH21" s="23">
        <v>7.8</v>
      </c>
      <c r="AI21" s="3">
        <f t="shared" si="0"/>
        <v>-7.55</v>
      </c>
      <c r="AJ21" s="3">
        <f t="shared" si="1"/>
        <v>-4.12</v>
      </c>
      <c r="AK21" s="3">
        <f t="shared" si="2"/>
        <v>-1.4299999999999997</v>
      </c>
      <c r="AL21" s="3">
        <f t="shared" si="3"/>
        <v>-1.7800000000000002</v>
      </c>
      <c r="AM21" s="20" t="e">
        <f>#REF!-#REF!</f>
        <v>#REF!</v>
      </c>
      <c r="AN21" s="3" t="e">
        <f>AM21*100/#REF!</f>
        <v>#REF!</v>
      </c>
      <c r="AP21" s="12"/>
    </row>
    <row r="22" spans="1:42" x14ac:dyDescent="0.2">
      <c r="A22" s="19" t="s">
        <v>33</v>
      </c>
      <c r="B22" s="2">
        <v>67354674</v>
      </c>
      <c r="C22" s="2">
        <v>1389566</v>
      </c>
      <c r="D22" s="2">
        <v>65925606</v>
      </c>
      <c r="E22" s="2">
        <v>0</v>
      </c>
      <c r="F22" s="2">
        <v>0</v>
      </c>
      <c r="G22" s="2">
        <v>39502</v>
      </c>
      <c r="H22" s="3">
        <v>0.06</v>
      </c>
      <c r="I22" s="3"/>
      <c r="J22" s="20">
        <v>590455043</v>
      </c>
      <c r="K22" s="20">
        <v>15401777</v>
      </c>
      <c r="L22" s="20">
        <v>545575299</v>
      </c>
      <c r="M22" s="20">
        <v>0</v>
      </c>
      <c r="N22" s="20">
        <v>0</v>
      </c>
      <c r="O22" s="2">
        <v>29477967</v>
      </c>
      <c r="P22" s="3">
        <v>4.99</v>
      </c>
      <c r="Q22" s="3"/>
      <c r="R22" s="2">
        <v>62809342</v>
      </c>
      <c r="S22" s="2">
        <v>8216384</v>
      </c>
      <c r="T22" s="2">
        <v>55373422</v>
      </c>
      <c r="U22" s="2">
        <v>0</v>
      </c>
      <c r="V22" s="2">
        <v>0</v>
      </c>
      <c r="W22" s="2">
        <v>-780464</v>
      </c>
      <c r="X22" s="3">
        <v>-1.24</v>
      </c>
      <c r="Y22" s="3"/>
      <c r="Z22" s="20">
        <v>556157610</v>
      </c>
      <c r="AA22" s="20">
        <v>50434625</v>
      </c>
      <c r="AB22" s="20">
        <v>481236422</v>
      </c>
      <c r="AC22" s="20">
        <v>0</v>
      </c>
      <c r="AD22" s="20">
        <v>0</v>
      </c>
      <c r="AE22" s="2">
        <v>24486563</v>
      </c>
      <c r="AF22" s="3">
        <v>4.4000000000000004</v>
      </c>
      <c r="AG22" s="3"/>
      <c r="AH22" s="23">
        <v>5</v>
      </c>
      <c r="AI22" s="3">
        <f t="shared" si="0"/>
        <v>-4.9400000000000004</v>
      </c>
      <c r="AJ22" s="3">
        <f t="shared" si="1"/>
        <v>1.3</v>
      </c>
      <c r="AK22" s="3">
        <f t="shared" si="2"/>
        <v>-9.9999999999997868E-3</v>
      </c>
      <c r="AL22" s="3">
        <f t="shared" si="3"/>
        <v>0.58999999999999986</v>
      </c>
      <c r="AM22" s="20" t="e">
        <f>#REF!-#REF!</f>
        <v>#REF!</v>
      </c>
      <c r="AN22" s="3" t="e">
        <f>AM22*100/#REF!</f>
        <v>#REF!</v>
      </c>
      <c r="AP22" s="12"/>
    </row>
    <row r="23" spans="1:42" x14ac:dyDescent="0.2">
      <c r="A23" s="19" t="s">
        <v>34</v>
      </c>
      <c r="B23" s="2">
        <v>175005702</v>
      </c>
      <c r="C23" s="2">
        <v>8323405</v>
      </c>
      <c r="D23" s="2">
        <v>164940723</v>
      </c>
      <c r="E23" s="2">
        <v>1343892</v>
      </c>
      <c r="F23" s="2">
        <v>0</v>
      </c>
      <c r="G23" s="2">
        <v>1741574</v>
      </c>
      <c r="H23" s="3">
        <v>1</v>
      </c>
      <c r="I23" s="3"/>
      <c r="J23" s="20">
        <v>1533725670</v>
      </c>
      <c r="K23" s="20">
        <v>75882081</v>
      </c>
      <c r="L23" s="20">
        <v>1382099146</v>
      </c>
      <c r="M23" s="20">
        <v>23452372</v>
      </c>
      <c r="N23" s="20">
        <v>0</v>
      </c>
      <c r="O23" s="2">
        <v>75744443</v>
      </c>
      <c r="P23" s="3">
        <v>5.0199999999999996</v>
      </c>
      <c r="Q23" s="3"/>
      <c r="R23" s="2">
        <v>152724173</v>
      </c>
      <c r="S23" s="2">
        <v>8603360</v>
      </c>
      <c r="T23" s="2">
        <v>142720539</v>
      </c>
      <c r="U23" s="2">
        <v>783690</v>
      </c>
      <c r="V23" s="2">
        <v>0</v>
      </c>
      <c r="W23" s="2">
        <v>1400274</v>
      </c>
      <c r="X23" s="3">
        <v>0.92</v>
      </c>
      <c r="Y23" s="3"/>
      <c r="Z23" s="20">
        <v>1381471918</v>
      </c>
      <c r="AA23" s="20">
        <v>76820181</v>
      </c>
      <c r="AB23" s="20">
        <v>1235822358</v>
      </c>
      <c r="AC23" s="20">
        <v>8555510</v>
      </c>
      <c r="AD23" s="20">
        <v>0</v>
      </c>
      <c r="AE23" s="2">
        <v>68829379</v>
      </c>
      <c r="AF23" s="3">
        <v>5.00999999999999</v>
      </c>
      <c r="AG23" s="3"/>
      <c r="AH23" s="23">
        <v>4.5</v>
      </c>
      <c r="AI23" s="3">
        <f t="shared" si="0"/>
        <v>-3.5</v>
      </c>
      <c r="AJ23" s="3">
        <f t="shared" si="1"/>
        <v>7.999999999999996E-2</v>
      </c>
      <c r="AK23" s="3">
        <f t="shared" si="2"/>
        <v>0.51999999999999957</v>
      </c>
      <c r="AL23" s="3">
        <f t="shared" si="3"/>
        <v>1.0000000000009557E-2</v>
      </c>
      <c r="AM23" s="20" t="e">
        <f>#REF!-#REF!</f>
        <v>#REF!</v>
      </c>
      <c r="AN23" s="3" t="e">
        <f>AM23*100/#REF!</f>
        <v>#REF!</v>
      </c>
      <c r="AP23" s="12"/>
    </row>
    <row r="24" spans="1:42" x14ac:dyDescent="0.2">
      <c r="A24" s="19" t="s">
        <v>35</v>
      </c>
      <c r="B24" s="2">
        <v>177369354</v>
      </c>
      <c r="C24" s="2">
        <v>8634470</v>
      </c>
      <c r="D24" s="2">
        <v>165912431</v>
      </c>
      <c r="E24" s="2">
        <v>0</v>
      </c>
      <c r="F24" s="2">
        <v>0</v>
      </c>
      <c r="G24" s="2">
        <v>2822453</v>
      </c>
      <c r="H24" s="3">
        <v>1.59</v>
      </c>
      <c r="I24" s="3"/>
      <c r="J24" s="20">
        <v>1543612570</v>
      </c>
      <c r="K24" s="20">
        <v>81029434</v>
      </c>
      <c r="L24" s="20">
        <v>1397682622</v>
      </c>
      <c r="M24" s="20">
        <v>0</v>
      </c>
      <c r="N24" s="20">
        <v>0</v>
      </c>
      <c r="O24" s="2">
        <v>64900514</v>
      </c>
      <c r="P24" s="3">
        <v>4.2</v>
      </c>
      <c r="Q24" s="3"/>
      <c r="R24" s="2">
        <v>157616927</v>
      </c>
      <c r="S24" s="2">
        <v>8767920</v>
      </c>
      <c r="T24" s="2">
        <v>147546974</v>
      </c>
      <c r="U24" s="2">
        <v>0</v>
      </c>
      <c r="V24" s="2">
        <v>0</v>
      </c>
      <c r="W24" s="2">
        <v>1302033</v>
      </c>
      <c r="X24" s="3">
        <v>0.82999999999999896</v>
      </c>
      <c r="Y24" s="3"/>
      <c r="Z24" s="20">
        <v>1430010746</v>
      </c>
      <c r="AA24" s="20">
        <v>81653915</v>
      </c>
      <c r="AB24" s="20">
        <v>1286235272</v>
      </c>
      <c r="AC24" s="20">
        <v>0</v>
      </c>
      <c r="AD24" s="20">
        <v>0</v>
      </c>
      <c r="AE24" s="2">
        <v>62121559</v>
      </c>
      <c r="AF24" s="3">
        <v>4.3399999999999901</v>
      </c>
      <c r="AG24" s="3"/>
      <c r="AH24" s="23">
        <v>5.0999999999999996</v>
      </c>
      <c r="AI24" s="3">
        <f t="shared" si="0"/>
        <v>-3.51</v>
      </c>
      <c r="AJ24" s="3">
        <f t="shared" si="1"/>
        <v>0.76000000000000112</v>
      </c>
      <c r="AK24" s="3">
        <f t="shared" si="2"/>
        <v>-0.89999999999999947</v>
      </c>
      <c r="AL24" s="3">
        <f t="shared" si="3"/>
        <v>-0.13999999999998991</v>
      </c>
      <c r="AM24" s="20" t="e">
        <f>#REF!-#REF!</f>
        <v>#REF!</v>
      </c>
      <c r="AN24" s="3" t="e">
        <f>AM24*100/#REF!</f>
        <v>#REF!</v>
      </c>
      <c r="AP24" s="12"/>
    </row>
    <row r="25" spans="1:42" x14ac:dyDescent="0.2">
      <c r="A25" s="19" t="s">
        <v>36</v>
      </c>
      <c r="B25" s="2">
        <v>133711700</v>
      </c>
      <c r="C25" s="2">
        <v>4738617</v>
      </c>
      <c r="D25" s="2">
        <v>125200294</v>
      </c>
      <c r="E25" s="2">
        <v>0</v>
      </c>
      <c r="F25" s="2">
        <v>0</v>
      </c>
      <c r="G25" s="2">
        <v>3772789</v>
      </c>
      <c r="H25" s="3">
        <v>2.82</v>
      </c>
      <c r="I25" s="3"/>
      <c r="J25" s="20">
        <v>1184315100</v>
      </c>
      <c r="K25" s="20">
        <v>45289036</v>
      </c>
      <c r="L25" s="20">
        <v>1061353938</v>
      </c>
      <c r="M25" s="20">
        <v>0</v>
      </c>
      <c r="N25" s="20">
        <v>0</v>
      </c>
      <c r="O25" s="2">
        <v>77672126</v>
      </c>
      <c r="P25" s="3">
        <v>6.56</v>
      </c>
      <c r="Q25" s="3"/>
      <c r="R25" s="2">
        <v>122967000</v>
      </c>
      <c r="S25" s="2">
        <v>5269947</v>
      </c>
      <c r="T25" s="2">
        <v>112172012</v>
      </c>
      <c r="U25" s="2">
        <v>0</v>
      </c>
      <c r="V25" s="2">
        <v>0</v>
      </c>
      <c r="W25" s="2">
        <v>5525041</v>
      </c>
      <c r="X25" s="3">
        <v>4.49</v>
      </c>
      <c r="Y25" s="3"/>
      <c r="Z25" s="20">
        <v>1079000816</v>
      </c>
      <c r="AA25" s="20">
        <v>58947875</v>
      </c>
      <c r="AB25" s="20">
        <v>936462466</v>
      </c>
      <c r="AC25" s="20">
        <v>0</v>
      </c>
      <c r="AD25" s="20">
        <v>0</v>
      </c>
      <c r="AE25" s="2">
        <v>83590475</v>
      </c>
      <c r="AF25" s="3">
        <v>7.75</v>
      </c>
      <c r="AG25" s="3"/>
      <c r="AH25" s="23">
        <v>6.65</v>
      </c>
      <c r="AI25" s="3">
        <f t="shared" si="0"/>
        <v>-3.8300000000000005</v>
      </c>
      <c r="AJ25" s="3">
        <f t="shared" si="1"/>
        <v>-1.6700000000000004</v>
      </c>
      <c r="AK25" s="3">
        <f t="shared" si="2"/>
        <v>-9.0000000000000746E-2</v>
      </c>
      <c r="AL25" s="3">
        <f t="shared" si="3"/>
        <v>-1.1900000000000004</v>
      </c>
      <c r="AM25" s="20" t="e">
        <f>#REF!-#REF!</f>
        <v>#REF!</v>
      </c>
      <c r="AN25" s="3" t="e">
        <f>AM25*100/#REF!</f>
        <v>#REF!</v>
      </c>
      <c r="AP25" s="12"/>
    </row>
    <row r="26" spans="1:42" x14ac:dyDescent="0.2">
      <c r="A26" s="19" t="s">
        <v>37</v>
      </c>
      <c r="B26" s="2">
        <v>101029000</v>
      </c>
      <c r="C26" s="2">
        <v>34952</v>
      </c>
      <c r="D26" s="2">
        <v>96955025</v>
      </c>
      <c r="E26" s="2">
        <v>0</v>
      </c>
      <c r="F26" s="2">
        <v>0</v>
      </c>
      <c r="G26" s="2">
        <v>4039023</v>
      </c>
      <c r="H26" s="3">
        <v>4</v>
      </c>
      <c r="I26" s="3"/>
      <c r="J26" s="20">
        <v>896710400</v>
      </c>
      <c r="K26" s="20">
        <v>1233097</v>
      </c>
      <c r="L26" s="20">
        <v>818677918</v>
      </c>
      <c r="M26" s="20">
        <v>0</v>
      </c>
      <c r="N26" s="20">
        <v>0</v>
      </c>
      <c r="O26" s="2">
        <v>76799385</v>
      </c>
      <c r="P26" s="3">
        <v>8.56</v>
      </c>
      <c r="Q26" s="3"/>
      <c r="R26" s="2">
        <v>94999600</v>
      </c>
      <c r="S26" s="2">
        <v>36580</v>
      </c>
      <c r="T26" s="2">
        <v>89288309</v>
      </c>
      <c r="U26" s="2">
        <v>0</v>
      </c>
      <c r="V26" s="2">
        <v>0</v>
      </c>
      <c r="W26" s="2">
        <v>5674711</v>
      </c>
      <c r="X26" s="3">
        <v>5.96999999999999</v>
      </c>
      <c r="Y26" s="3"/>
      <c r="Z26" s="20">
        <v>829392213</v>
      </c>
      <c r="AA26" s="20">
        <v>3907185</v>
      </c>
      <c r="AB26" s="20">
        <v>734379152</v>
      </c>
      <c r="AC26" s="20">
        <v>0</v>
      </c>
      <c r="AD26" s="20">
        <v>0</v>
      </c>
      <c r="AE26" s="2">
        <v>91105876</v>
      </c>
      <c r="AF26" s="3">
        <v>10.98</v>
      </c>
      <c r="AG26" s="3"/>
      <c r="AH26" s="23">
        <v>8</v>
      </c>
      <c r="AI26" s="3">
        <f t="shared" si="0"/>
        <v>-4</v>
      </c>
      <c r="AJ26" s="3">
        <f t="shared" si="1"/>
        <v>-1.96999999999999</v>
      </c>
      <c r="AK26" s="24">
        <f t="shared" si="2"/>
        <v>0.5600000000000005</v>
      </c>
      <c r="AL26" s="3">
        <f t="shared" si="3"/>
        <v>-2.42</v>
      </c>
      <c r="AM26" s="20" t="e">
        <f>#REF!-#REF!</f>
        <v>#REF!</v>
      </c>
      <c r="AN26" s="3" t="e">
        <f>AM26*100/#REF!</f>
        <v>#REF!</v>
      </c>
      <c r="AP26" s="12"/>
    </row>
    <row r="27" spans="1:42" x14ac:dyDescent="0.2">
      <c r="A27" s="19" t="s">
        <v>38</v>
      </c>
      <c r="B27" s="2">
        <v>241291718</v>
      </c>
      <c r="C27" s="2">
        <v>58096</v>
      </c>
      <c r="D27" s="2">
        <v>245489987</v>
      </c>
      <c r="E27" s="2">
        <v>0</v>
      </c>
      <c r="F27" s="2">
        <v>0</v>
      </c>
      <c r="G27" s="2">
        <v>-4256365</v>
      </c>
      <c r="H27" s="3">
        <v>-1.76</v>
      </c>
      <c r="I27" s="3"/>
      <c r="J27" s="20">
        <v>2125267736</v>
      </c>
      <c r="K27" s="20">
        <v>513075</v>
      </c>
      <c r="L27" s="20">
        <v>2051678778</v>
      </c>
      <c r="M27" s="20">
        <v>0</v>
      </c>
      <c r="N27" s="20">
        <v>0</v>
      </c>
      <c r="O27" s="2">
        <v>73075883</v>
      </c>
      <c r="P27" s="3">
        <v>3.44</v>
      </c>
      <c r="Q27" s="3"/>
      <c r="R27" s="2">
        <v>217646954</v>
      </c>
      <c r="S27" s="2">
        <v>57546</v>
      </c>
      <c r="T27" s="2">
        <v>216906649</v>
      </c>
      <c r="U27" s="2">
        <v>0</v>
      </c>
      <c r="V27" s="2">
        <v>0</v>
      </c>
      <c r="W27" s="2">
        <v>682759</v>
      </c>
      <c r="X27" s="3">
        <v>0.31</v>
      </c>
      <c r="Y27" s="3"/>
      <c r="Z27" s="20">
        <v>1939309623</v>
      </c>
      <c r="AA27" s="20">
        <v>520247</v>
      </c>
      <c r="AB27" s="20">
        <v>1863208140</v>
      </c>
      <c r="AC27" s="20">
        <v>0</v>
      </c>
      <c r="AD27" s="20">
        <v>0</v>
      </c>
      <c r="AE27" s="2">
        <v>75581236</v>
      </c>
      <c r="AF27" s="3">
        <v>3.8999999999999901</v>
      </c>
      <c r="AG27" s="3"/>
      <c r="AH27" s="23">
        <v>4.55</v>
      </c>
      <c r="AI27" s="3">
        <f t="shared" si="0"/>
        <v>-6.31</v>
      </c>
      <c r="AJ27" s="3">
        <f t="shared" si="1"/>
        <v>-2.0699999999999998</v>
      </c>
      <c r="AK27" s="3">
        <f t="shared" si="2"/>
        <v>-1.1099999999999999</v>
      </c>
      <c r="AL27" s="3">
        <f t="shared" si="3"/>
        <v>-0.45999999999999019</v>
      </c>
      <c r="AM27" s="20" t="e">
        <f>#REF!-#REF!</f>
        <v>#REF!</v>
      </c>
      <c r="AN27" s="3" t="e">
        <f>AM27*100/#REF!</f>
        <v>#REF!</v>
      </c>
      <c r="AP27" s="12"/>
    </row>
    <row r="28" spans="1:42" x14ac:dyDescent="0.2">
      <c r="A28" s="19" t="s">
        <v>39</v>
      </c>
      <c r="B28" s="2">
        <v>62286800</v>
      </c>
      <c r="C28" s="2">
        <v>108414</v>
      </c>
      <c r="D28" s="2">
        <v>63776735</v>
      </c>
      <c r="E28" s="2">
        <v>0</v>
      </c>
      <c r="F28" s="2">
        <v>0</v>
      </c>
      <c r="G28" s="2">
        <v>-1598349</v>
      </c>
      <c r="H28" s="3">
        <v>-2.57</v>
      </c>
      <c r="I28" s="3"/>
      <c r="J28" s="20">
        <v>555978000</v>
      </c>
      <c r="K28" s="20">
        <v>943773</v>
      </c>
      <c r="L28" s="20">
        <v>520706145</v>
      </c>
      <c r="M28" s="20">
        <v>0</v>
      </c>
      <c r="N28" s="20">
        <v>0</v>
      </c>
      <c r="O28" s="2">
        <v>34328082</v>
      </c>
      <c r="P28" s="3">
        <v>6.17</v>
      </c>
      <c r="Q28" s="3"/>
      <c r="R28" s="2">
        <v>55672210</v>
      </c>
      <c r="S28" s="2">
        <v>65132</v>
      </c>
      <c r="T28" s="2">
        <v>54565591</v>
      </c>
      <c r="U28" s="2">
        <v>0</v>
      </c>
      <c r="V28" s="2">
        <v>0</v>
      </c>
      <c r="W28" s="2">
        <v>1041487</v>
      </c>
      <c r="X28" s="3">
        <v>1.87</v>
      </c>
      <c r="Y28" s="3"/>
      <c r="Z28" s="20">
        <v>505820051</v>
      </c>
      <c r="AA28" s="20">
        <v>572500</v>
      </c>
      <c r="AB28" s="20">
        <v>466725594</v>
      </c>
      <c r="AC28" s="20">
        <v>0</v>
      </c>
      <c r="AD28" s="20">
        <v>0</v>
      </c>
      <c r="AE28" s="2">
        <v>38521957</v>
      </c>
      <c r="AF28" s="3">
        <v>7.62</v>
      </c>
      <c r="AG28" s="3"/>
      <c r="AH28" s="23">
        <v>6</v>
      </c>
      <c r="AI28" s="3">
        <f t="shared" si="0"/>
        <v>-8.57</v>
      </c>
      <c r="AJ28" s="3">
        <f t="shared" si="1"/>
        <v>-4.4399999999999995</v>
      </c>
      <c r="AK28" s="3">
        <f t="shared" si="2"/>
        <v>0.16999999999999993</v>
      </c>
      <c r="AL28" s="3">
        <f t="shared" si="3"/>
        <v>-1.4500000000000002</v>
      </c>
      <c r="AM28" s="20" t="e">
        <f>#REF!-#REF!</f>
        <v>#REF!</v>
      </c>
      <c r="AN28" s="3" t="e">
        <f>AM28*100/#REF!</f>
        <v>#REF!</v>
      </c>
      <c r="AP28" s="12"/>
    </row>
    <row r="29" spans="1:42" x14ac:dyDescent="0.2">
      <c r="A29" s="19" t="s">
        <v>40</v>
      </c>
      <c r="B29" s="2">
        <v>94680643</v>
      </c>
      <c r="C29" s="2">
        <v>2326836</v>
      </c>
      <c r="D29" s="2">
        <v>89886010</v>
      </c>
      <c r="E29" s="2">
        <v>0</v>
      </c>
      <c r="F29" s="2">
        <v>0</v>
      </c>
      <c r="G29" s="2">
        <v>2467797</v>
      </c>
      <c r="H29" s="3">
        <v>2.61</v>
      </c>
      <c r="I29" s="3"/>
      <c r="J29" s="20">
        <v>787839194</v>
      </c>
      <c r="K29" s="20">
        <v>13771198</v>
      </c>
      <c r="L29" s="20">
        <v>720925591</v>
      </c>
      <c r="M29" s="20">
        <v>0</v>
      </c>
      <c r="N29" s="20">
        <v>0</v>
      </c>
      <c r="O29" s="2">
        <v>53142405</v>
      </c>
      <c r="P29" s="3">
        <v>6.75</v>
      </c>
      <c r="Q29" s="3"/>
      <c r="R29" s="2">
        <v>86893660</v>
      </c>
      <c r="S29" s="2">
        <v>176684</v>
      </c>
      <c r="T29" s="2">
        <v>81919027</v>
      </c>
      <c r="U29" s="2">
        <v>0</v>
      </c>
      <c r="V29" s="2">
        <v>0</v>
      </c>
      <c r="W29" s="2">
        <v>4797949</v>
      </c>
      <c r="X29" s="3">
        <v>5.5199999999999898</v>
      </c>
      <c r="Y29" s="3"/>
      <c r="Z29" s="20">
        <v>747651821</v>
      </c>
      <c r="AA29" s="20">
        <v>5689590</v>
      </c>
      <c r="AB29" s="20">
        <v>670925512</v>
      </c>
      <c r="AC29" s="20">
        <v>0</v>
      </c>
      <c r="AD29" s="20">
        <v>0</v>
      </c>
      <c r="AE29" s="2">
        <v>71036719</v>
      </c>
      <c r="AF29" s="3">
        <v>9.5</v>
      </c>
      <c r="AG29" s="3"/>
      <c r="AH29" s="23">
        <v>7.8</v>
      </c>
      <c r="AI29" s="3">
        <f t="shared" si="0"/>
        <v>-5.1899999999999995</v>
      </c>
      <c r="AJ29" s="3">
        <f t="shared" si="1"/>
        <v>-2.9099999999999899</v>
      </c>
      <c r="AK29" s="3">
        <f t="shared" si="2"/>
        <v>-1.0499999999999998</v>
      </c>
      <c r="AL29" s="3">
        <f t="shared" si="3"/>
        <v>-2.75</v>
      </c>
      <c r="AM29" s="20" t="e">
        <f>#REF!-#REF!</f>
        <v>#REF!</v>
      </c>
      <c r="AN29" s="3" t="e">
        <f>AM29*100/#REF!</f>
        <v>#REF!</v>
      </c>
      <c r="AP29" s="12"/>
    </row>
    <row r="30" spans="1:42" x14ac:dyDescent="0.2">
      <c r="A30" s="19" t="s">
        <v>41</v>
      </c>
      <c r="B30" s="2">
        <v>50287600</v>
      </c>
      <c r="C30" s="2">
        <v>1456995</v>
      </c>
      <c r="D30" s="2">
        <v>48557214</v>
      </c>
      <c r="E30" s="2">
        <v>600</v>
      </c>
      <c r="F30" s="2">
        <v>14500</v>
      </c>
      <c r="G30" s="2">
        <v>273391</v>
      </c>
      <c r="H30" s="3">
        <v>0.54</v>
      </c>
      <c r="I30" s="3"/>
      <c r="J30" s="20">
        <v>425027187</v>
      </c>
      <c r="K30" s="20">
        <v>11209920</v>
      </c>
      <c r="L30" s="20">
        <v>384042960</v>
      </c>
      <c r="M30" s="20">
        <v>2700</v>
      </c>
      <c r="N30" s="20">
        <v>136211</v>
      </c>
      <c r="O30" s="2">
        <v>29774307</v>
      </c>
      <c r="P30" s="3">
        <v>7.01</v>
      </c>
      <c r="Q30" s="3"/>
      <c r="R30" s="2">
        <v>47571800</v>
      </c>
      <c r="S30" s="2">
        <v>1951640</v>
      </c>
      <c r="T30" s="2">
        <v>44776953</v>
      </c>
      <c r="U30" s="2">
        <v>300</v>
      </c>
      <c r="V30" s="2">
        <v>16300</v>
      </c>
      <c r="W30" s="2">
        <v>843207</v>
      </c>
      <c r="X30" s="3">
        <v>1.77</v>
      </c>
      <c r="Y30" s="3"/>
      <c r="Z30" s="20">
        <v>402840600</v>
      </c>
      <c r="AA30" s="20">
        <v>12961010</v>
      </c>
      <c r="AB30" s="20">
        <v>361844956</v>
      </c>
      <c r="AC30" s="20">
        <v>2900</v>
      </c>
      <c r="AD30" s="20">
        <v>139900</v>
      </c>
      <c r="AE30" s="2">
        <v>28034634</v>
      </c>
      <c r="AF30" s="3">
        <v>6.96</v>
      </c>
      <c r="AG30" s="3"/>
      <c r="AH30" s="23">
        <v>6.55</v>
      </c>
      <c r="AI30" s="3">
        <f t="shared" si="0"/>
        <v>-6.01</v>
      </c>
      <c r="AJ30" s="3">
        <f t="shared" si="1"/>
        <v>-1.23</v>
      </c>
      <c r="AK30" s="3">
        <f t="shared" si="2"/>
        <v>0.45999999999999996</v>
      </c>
      <c r="AL30" s="3">
        <f t="shared" si="3"/>
        <v>4.9999999999999822E-2</v>
      </c>
      <c r="AM30" s="20" t="e">
        <f>#REF!-#REF!</f>
        <v>#REF!</v>
      </c>
      <c r="AN30" s="3" t="e">
        <f>AM30*100/#REF!</f>
        <v>#REF!</v>
      </c>
      <c r="AP30" s="12"/>
    </row>
    <row r="31" spans="1:42" x14ac:dyDescent="0.2">
      <c r="A31" s="19" t="s">
        <v>42</v>
      </c>
      <c r="B31" s="2">
        <v>71078470</v>
      </c>
      <c r="C31" s="2">
        <v>1166585</v>
      </c>
      <c r="D31" s="2">
        <v>67780340</v>
      </c>
      <c r="E31" s="2">
        <v>14400</v>
      </c>
      <c r="F31" s="2">
        <v>0</v>
      </c>
      <c r="G31" s="2">
        <v>2131545</v>
      </c>
      <c r="H31" s="3">
        <v>3</v>
      </c>
      <c r="I31" s="3"/>
      <c r="J31" s="20">
        <v>615195450</v>
      </c>
      <c r="K31" s="20">
        <v>14778968</v>
      </c>
      <c r="L31" s="20">
        <v>555732286</v>
      </c>
      <c r="M31" s="20">
        <v>94600</v>
      </c>
      <c r="N31" s="20">
        <v>0</v>
      </c>
      <c r="O31" s="2">
        <v>44684196</v>
      </c>
      <c r="P31" s="3">
        <v>7.26</v>
      </c>
      <c r="Q31" s="3"/>
      <c r="R31" s="2">
        <v>71866360</v>
      </c>
      <c r="S31" s="2">
        <v>5577912</v>
      </c>
      <c r="T31" s="2">
        <v>62355258</v>
      </c>
      <c r="U31" s="2">
        <v>11100</v>
      </c>
      <c r="V31" s="2">
        <v>0</v>
      </c>
      <c r="W31" s="2">
        <v>3933190</v>
      </c>
      <c r="X31" s="3">
        <v>5.46999999999999</v>
      </c>
      <c r="Y31" s="3"/>
      <c r="Z31" s="20">
        <v>608009400</v>
      </c>
      <c r="AA31" s="20">
        <v>36817275</v>
      </c>
      <c r="AB31" s="20">
        <v>522554674</v>
      </c>
      <c r="AC31" s="20">
        <v>88000</v>
      </c>
      <c r="AD31" s="20">
        <v>0</v>
      </c>
      <c r="AE31" s="2">
        <v>48637451</v>
      </c>
      <c r="AF31" s="3">
        <v>8</v>
      </c>
      <c r="AG31" s="3"/>
      <c r="AH31" s="23">
        <v>7.4</v>
      </c>
      <c r="AI31" s="3">
        <f t="shared" si="0"/>
        <v>-4.4000000000000004</v>
      </c>
      <c r="AJ31" s="3">
        <f t="shared" si="1"/>
        <v>-2.46999999999999</v>
      </c>
      <c r="AK31" s="3">
        <f t="shared" si="2"/>
        <v>-0.14000000000000057</v>
      </c>
      <c r="AL31" s="3">
        <f t="shared" si="3"/>
        <v>-0.74000000000000021</v>
      </c>
      <c r="AM31" s="20" t="e">
        <f>#REF!-#REF!</f>
        <v>#REF!</v>
      </c>
      <c r="AN31" s="3" t="e">
        <f>AM31*100/#REF!</f>
        <v>#REF!</v>
      </c>
      <c r="AP31" s="12"/>
    </row>
    <row r="32" spans="1:42" x14ac:dyDescent="0.2">
      <c r="A32" s="19" t="s">
        <v>43</v>
      </c>
      <c r="B32" s="2">
        <v>53095231</v>
      </c>
      <c r="C32" s="2">
        <v>7074818</v>
      </c>
      <c r="D32" s="2">
        <v>43582740</v>
      </c>
      <c r="E32" s="2">
        <v>0</v>
      </c>
      <c r="F32" s="2">
        <v>0</v>
      </c>
      <c r="G32" s="2">
        <v>2437673</v>
      </c>
      <c r="H32" s="3">
        <v>4.59</v>
      </c>
      <c r="I32" s="3"/>
      <c r="J32" s="20">
        <v>454393371</v>
      </c>
      <c r="K32" s="20">
        <v>65263053</v>
      </c>
      <c r="L32" s="20">
        <v>360756069</v>
      </c>
      <c r="M32" s="20">
        <v>0</v>
      </c>
      <c r="N32" s="20">
        <v>0</v>
      </c>
      <c r="O32" s="2">
        <v>28374249</v>
      </c>
      <c r="P32" s="3">
        <v>6.24</v>
      </c>
      <c r="Q32" s="43"/>
      <c r="R32" s="2">
        <v>50374149</v>
      </c>
      <c r="S32" s="2">
        <v>9500759</v>
      </c>
      <c r="T32" s="2">
        <v>38750417</v>
      </c>
      <c r="U32" s="2">
        <v>0</v>
      </c>
      <c r="V32" s="2">
        <v>0</v>
      </c>
      <c r="W32" s="2">
        <v>2122973</v>
      </c>
      <c r="X32" s="3">
        <v>4.21</v>
      </c>
      <c r="Y32" s="3"/>
      <c r="Z32" s="20">
        <v>426848098</v>
      </c>
      <c r="AA32" s="20">
        <v>74639756</v>
      </c>
      <c r="AB32" s="20">
        <v>324200394</v>
      </c>
      <c r="AC32" s="20">
        <v>0</v>
      </c>
      <c r="AD32" s="20">
        <v>0</v>
      </c>
      <c r="AE32" s="2">
        <v>28007948</v>
      </c>
      <c r="AF32" s="3">
        <v>6.56</v>
      </c>
      <c r="AG32" s="3"/>
      <c r="AH32" s="23">
        <v>7</v>
      </c>
      <c r="AI32" s="3">
        <f t="shared" si="0"/>
        <v>-2.41</v>
      </c>
      <c r="AJ32" s="3">
        <f t="shared" si="1"/>
        <v>0.37999999999999989</v>
      </c>
      <c r="AK32" s="3">
        <f t="shared" si="2"/>
        <v>-0.75999999999999979</v>
      </c>
      <c r="AL32" s="3">
        <f t="shared" si="3"/>
        <v>-0.3199999999999994</v>
      </c>
      <c r="AM32" s="20" t="e">
        <f>#REF!-#REF!</f>
        <v>#REF!</v>
      </c>
      <c r="AN32" s="3" t="e">
        <f>AM32*100/#REF!</f>
        <v>#REF!</v>
      </c>
      <c r="AP32" s="12"/>
    </row>
    <row r="33" spans="1:42" s="47" customFormat="1" x14ac:dyDescent="0.2">
      <c r="A33" s="41" t="s">
        <v>44</v>
      </c>
      <c r="B33" s="42">
        <v>614668300</v>
      </c>
      <c r="C33" s="42">
        <v>4332048</v>
      </c>
      <c r="D33" s="42">
        <v>613546560</v>
      </c>
      <c r="E33" s="42"/>
      <c r="F33" s="42"/>
      <c r="G33" s="42">
        <f>(B33-C33-D33)</f>
        <v>-3210308</v>
      </c>
      <c r="H33" s="43">
        <f>(B33-C33-D33)*100/(B33-E33-F33)</f>
        <v>-0.52228299393347599</v>
      </c>
      <c r="I33" s="43"/>
      <c r="J33" s="42">
        <v>5438497138.1999998</v>
      </c>
      <c r="K33" s="42">
        <v>29630329</v>
      </c>
      <c r="L33" s="42">
        <v>5199578084</v>
      </c>
      <c r="M33" s="42"/>
      <c r="N33" s="42"/>
      <c r="O33" s="42">
        <f>(J33-K33-L33)</f>
        <v>209288725.19999981</v>
      </c>
      <c r="P33" s="43">
        <f>(J33-K33-L33)*100/(J33-M33-N33)</f>
        <v>3.8482823449507029</v>
      </c>
      <c r="Q33" s="43"/>
      <c r="R33" s="42">
        <v>544051247.70000005</v>
      </c>
      <c r="S33" s="42">
        <v>1750230.9</v>
      </c>
      <c r="T33" s="42">
        <v>548685834</v>
      </c>
      <c r="U33" s="42"/>
      <c r="V33" s="42"/>
      <c r="W33" s="42">
        <f>(R33-S33-T33)</f>
        <v>-6384817.1999999285</v>
      </c>
      <c r="X33" s="43">
        <f>(R33-S33-T33)*100/(R33-U33-V33)</f>
        <v>-1.1735690758898205</v>
      </c>
      <c r="Y33" s="43"/>
      <c r="Z33" s="42">
        <v>4873098553</v>
      </c>
      <c r="AA33" s="42">
        <v>19164415</v>
      </c>
      <c r="AB33" s="42">
        <v>4669743561</v>
      </c>
      <c r="AC33" s="42"/>
      <c r="AD33" s="42"/>
      <c r="AE33" s="42">
        <f>(Z33-AA33-AB33)</f>
        <v>184190577</v>
      </c>
      <c r="AF33" s="43">
        <f>(Z33-AA33-AB33)*100/(Z33-AC33-AD33)</f>
        <v>3.7797424984686123</v>
      </c>
      <c r="AG33" s="43"/>
      <c r="AH33" s="43">
        <v>2.87</v>
      </c>
      <c r="AI33" s="24">
        <v>-7.8</v>
      </c>
      <c r="AJ33" s="24">
        <v>-1.75</v>
      </c>
      <c r="AK33" s="24">
        <f t="shared" si="2"/>
        <v>0.97828234495070276</v>
      </c>
      <c r="AL33" s="24">
        <v>-8.73</v>
      </c>
      <c r="AM33" s="45"/>
      <c r="AN33" s="24"/>
      <c r="AP33" s="48"/>
    </row>
    <row r="34" spans="1:42" s="39" customFormat="1" x14ac:dyDescent="0.2">
      <c r="A34" s="25" t="s">
        <v>51</v>
      </c>
      <c r="B34" s="8">
        <f t="shared" ref="B34:G34" si="4">SUM(B13:B33)</f>
        <v>3897298552</v>
      </c>
      <c r="C34" s="8">
        <f t="shared" si="4"/>
        <v>95659912</v>
      </c>
      <c r="D34" s="8">
        <f t="shared" si="4"/>
        <v>3746506951</v>
      </c>
      <c r="E34" s="8">
        <f t="shared" si="4"/>
        <v>1486392</v>
      </c>
      <c r="F34" s="8">
        <f t="shared" si="4"/>
        <v>67294</v>
      </c>
      <c r="G34" s="8">
        <f t="shared" si="4"/>
        <v>55131689</v>
      </c>
      <c r="H34" s="5">
        <f>(B34-C34-D34)*100/(B34-E34-F34)</f>
        <v>1.4151770944026703</v>
      </c>
      <c r="I34" s="5">
        <f>G34*100/(B$40)</f>
        <v>1.1836305688622326</v>
      </c>
      <c r="J34" s="37">
        <f>SUM(J13:J33)</f>
        <v>33854757847.200001</v>
      </c>
      <c r="K34" s="8">
        <f>SUM(K13:K33)</f>
        <v>818285484</v>
      </c>
      <c r="L34" s="8">
        <f>SUM(L13:L33)</f>
        <v>31423960768</v>
      </c>
      <c r="M34" s="8">
        <f>SUM(M13:M33)</f>
        <v>25333091</v>
      </c>
      <c r="N34" s="8">
        <f>SUM(N13:N33)</f>
        <v>653073</v>
      </c>
      <c r="O34" s="8">
        <f>J34-K34-L34</f>
        <v>1612511595.2000008</v>
      </c>
      <c r="P34" s="5">
        <f>(J34-K34-L34)*100/(J34-M34-N34)</f>
        <v>4.7666868022902644</v>
      </c>
      <c r="Q34" s="5">
        <f>O34*100/(J$40)</f>
        <v>4.0096272389811212</v>
      </c>
      <c r="R34" s="8">
        <f t="shared" ref="R34:W34" si="5">SUM(R13:R33)</f>
        <v>3458117891.6999998</v>
      </c>
      <c r="S34" s="8">
        <f t="shared" si="5"/>
        <v>93825877.900000006</v>
      </c>
      <c r="T34" s="8">
        <f t="shared" si="5"/>
        <v>3277331813</v>
      </c>
      <c r="U34" s="8">
        <f t="shared" si="5"/>
        <v>839390</v>
      </c>
      <c r="V34" s="8">
        <f t="shared" si="5"/>
        <v>62196</v>
      </c>
      <c r="W34" s="8">
        <f t="shared" si="5"/>
        <v>86960200.800000072</v>
      </c>
      <c r="X34" s="5">
        <f>(R34-S34-T34)*100/(R34-U34-V34)</f>
        <v>2.5153242698938518</v>
      </c>
      <c r="Y34" s="5">
        <f>W34*100/(R$40)</f>
        <v>2.0890932157099775</v>
      </c>
      <c r="Z34" s="37">
        <f>SUM(Z13:Z33)</f>
        <v>30352024289</v>
      </c>
      <c r="AA34" s="8">
        <f>SUM(AA13:AA33)</f>
        <v>821996685</v>
      </c>
      <c r="AB34" s="8">
        <f>SUM(AB13:AB33)</f>
        <v>27942197528</v>
      </c>
      <c r="AC34" s="8">
        <f>SUM(AC13:AC33)</f>
        <v>9903810</v>
      </c>
      <c r="AD34" s="8">
        <f>SUM(AD13:AD33)</f>
        <v>510771</v>
      </c>
      <c r="AE34" s="8">
        <f>Z34-AA34-AB34</f>
        <v>1587830076</v>
      </c>
      <c r="AF34" s="5">
        <f>(Z34-AA34-AB34)*100/(Z34-AC34-AD34)</f>
        <v>5.2331767868642309</v>
      </c>
      <c r="AG34" s="5">
        <f>AE34*100/(Z$40)</f>
        <v>4.3793410548993057</v>
      </c>
      <c r="AH34" s="38"/>
      <c r="AI34" s="5">
        <f>H34-AH34</f>
        <v>1.4151770944026703</v>
      </c>
      <c r="AJ34" s="5">
        <f>H34-X34</f>
        <v>-1.1001471754911816</v>
      </c>
      <c r="AK34" s="5">
        <f t="shared" si="2"/>
        <v>4.7666868022902644</v>
      </c>
      <c r="AL34" s="5">
        <f>P34-AF34</f>
        <v>-0.46648998457396651</v>
      </c>
      <c r="AM34" s="37" t="e">
        <f>#REF!-#REF!</f>
        <v>#REF!</v>
      </c>
      <c r="AN34" s="5" t="e">
        <f>AM34*100/#REF!</f>
        <v>#REF!</v>
      </c>
      <c r="AP34" s="40"/>
    </row>
    <row r="35" spans="1:42" x14ac:dyDescent="0.2">
      <c r="A35" s="6"/>
      <c r="B35" s="4"/>
      <c r="C35" s="4"/>
      <c r="D35" s="4"/>
      <c r="E35" s="4"/>
      <c r="F35" s="4"/>
      <c r="G35" s="4"/>
      <c r="H35" s="4"/>
      <c r="I35" s="36"/>
      <c r="J35" s="36"/>
      <c r="K35" s="36"/>
      <c r="L35" s="36"/>
      <c r="M35" s="36"/>
      <c r="N35" s="36"/>
      <c r="O35" s="4"/>
      <c r="P35" s="16"/>
      <c r="Q35" s="36"/>
      <c r="R35" s="4"/>
      <c r="S35" s="4"/>
      <c r="T35" s="4"/>
      <c r="U35" s="4"/>
      <c r="V35" s="4"/>
      <c r="W35" s="4"/>
      <c r="X35" s="4"/>
      <c r="Y35" s="36"/>
      <c r="Z35" s="36"/>
      <c r="AA35" s="36"/>
      <c r="AB35" s="36"/>
      <c r="AC35" s="36"/>
      <c r="AD35" s="36"/>
      <c r="AE35" s="4"/>
      <c r="AF35" s="16"/>
      <c r="AG35" s="36"/>
      <c r="AH35" s="4"/>
      <c r="AI35" s="4"/>
      <c r="AJ35" s="4"/>
      <c r="AK35" s="4"/>
      <c r="AL35" s="4"/>
      <c r="AM35" s="17"/>
      <c r="AN35" s="18"/>
    </row>
    <row r="36" spans="1:42" s="39" customFormat="1" x14ac:dyDescent="0.2">
      <c r="A36" s="25" t="s">
        <v>52</v>
      </c>
      <c r="B36" s="8"/>
      <c r="C36" s="8"/>
      <c r="D36" s="8"/>
      <c r="E36" s="8"/>
      <c r="F36" s="8"/>
      <c r="G36" s="8"/>
      <c r="H36" s="5"/>
      <c r="I36" s="5"/>
      <c r="J36" s="37"/>
      <c r="K36" s="8"/>
      <c r="L36" s="8"/>
      <c r="M36" s="8"/>
      <c r="N36" s="8"/>
      <c r="O36" s="8"/>
      <c r="P36" s="5"/>
      <c r="Q36" s="5"/>
      <c r="R36" s="8"/>
      <c r="S36" s="8"/>
      <c r="T36" s="8"/>
      <c r="U36" s="8"/>
      <c r="V36" s="8"/>
      <c r="W36" s="8"/>
      <c r="X36" s="5"/>
      <c r="Y36" s="5"/>
      <c r="Z36" s="37"/>
      <c r="AA36" s="8"/>
      <c r="AB36" s="8"/>
      <c r="AC36" s="8"/>
      <c r="AD36" s="8"/>
      <c r="AE36" s="8"/>
      <c r="AF36" s="5"/>
      <c r="AG36" s="5"/>
      <c r="AH36" s="38"/>
      <c r="AI36" s="5"/>
      <c r="AJ36" s="5"/>
      <c r="AK36" s="5"/>
      <c r="AL36" s="5"/>
      <c r="AM36" s="37"/>
      <c r="AN36" s="5"/>
      <c r="AP36" s="40"/>
    </row>
    <row r="37" spans="1:42" x14ac:dyDescent="0.2">
      <c r="A37" s="19" t="s">
        <v>54</v>
      </c>
      <c r="B37" s="2">
        <f>B9</f>
        <v>4709361315</v>
      </c>
      <c r="C37" s="2">
        <f t="shared" ref="C37:AG37" si="6">C9</f>
        <v>4425409912</v>
      </c>
      <c r="D37" s="2">
        <f t="shared" si="6"/>
        <v>236573320</v>
      </c>
      <c r="E37" s="2">
        <f t="shared" si="6"/>
        <v>74511300</v>
      </c>
      <c r="F37" s="2">
        <f t="shared" si="6"/>
        <v>0</v>
      </c>
      <c r="G37" s="2">
        <f t="shared" si="6"/>
        <v>47378083</v>
      </c>
      <c r="H37" s="3">
        <f t="shared" si="6"/>
        <v>1.022213941048101</v>
      </c>
      <c r="I37" s="3">
        <f t="shared" si="6"/>
        <v>1.0171672290484712</v>
      </c>
      <c r="J37" s="2">
        <f t="shared" si="6"/>
        <v>40802870817</v>
      </c>
      <c r="K37" s="2">
        <f t="shared" si="6"/>
        <v>38258092796</v>
      </c>
      <c r="L37" s="2">
        <f t="shared" si="6"/>
        <v>2116874140</v>
      </c>
      <c r="M37" s="2">
        <f t="shared" si="6"/>
        <v>772738027.60000002</v>
      </c>
      <c r="N37" s="2">
        <f t="shared" si="6"/>
        <v>2321500</v>
      </c>
      <c r="O37" s="2">
        <f t="shared" si="6"/>
        <v>427903881</v>
      </c>
      <c r="P37" s="3">
        <f t="shared" si="6"/>
        <v>1.0690164343642634</v>
      </c>
      <c r="Q37" s="3">
        <f t="shared" si="6"/>
        <v>1.0640140895920396</v>
      </c>
      <c r="R37" s="2">
        <f t="shared" si="6"/>
        <v>4209116158</v>
      </c>
      <c r="S37" s="2">
        <f t="shared" si="6"/>
        <v>4156166221</v>
      </c>
      <c r="T37" s="2">
        <f t="shared" si="6"/>
        <v>0</v>
      </c>
      <c r="U37" s="2">
        <f t="shared" si="6"/>
        <v>88480596</v>
      </c>
      <c r="V37" s="2">
        <f t="shared" si="6"/>
        <v>10900</v>
      </c>
      <c r="W37" s="2">
        <f t="shared" si="6"/>
        <v>52949937</v>
      </c>
      <c r="X37" s="3">
        <f t="shared" si="6"/>
        <v>1.2849978181293524</v>
      </c>
      <c r="Y37" s="3">
        <f t="shared" si="6"/>
        <v>1.2720457535899643</v>
      </c>
      <c r="Z37" s="2">
        <f t="shared" si="6"/>
        <v>36836448313</v>
      </c>
      <c r="AA37" s="2">
        <f t="shared" si="6"/>
        <v>36443617199</v>
      </c>
      <c r="AB37" s="2">
        <f t="shared" si="6"/>
        <v>0</v>
      </c>
      <c r="AC37" s="2">
        <f t="shared" si="6"/>
        <v>686674596</v>
      </c>
      <c r="AD37" s="2">
        <f t="shared" si="6"/>
        <v>16684700</v>
      </c>
      <c r="AE37" s="2">
        <f t="shared" si="6"/>
        <v>392831114</v>
      </c>
      <c r="AF37" s="3">
        <f t="shared" si="6"/>
        <v>1.0871783306851504</v>
      </c>
      <c r="AG37" s="3">
        <f t="shared" si="6"/>
        <v>1.0834543640310976</v>
      </c>
      <c r="AH37" s="21"/>
      <c r="AI37" s="3"/>
      <c r="AJ37" s="3"/>
      <c r="AK37" s="3"/>
      <c r="AL37" s="3"/>
      <c r="AM37" s="20"/>
      <c r="AN37" s="3"/>
      <c r="AP37" s="12"/>
    </row>
    <row r="38" spans="1:42" x14ac:dyDescent="0.2">
      <c r="A38" s="19" t="s">
        <v>55</v>
      </c>
      <c r="B38" s="2">
        <f>B34</f>
        <v>3897298552</v>
      </c>
      <c r="C38" s="2">
        <f t="shared" ref="C38:AG38" si="7">C34</f>
        <v>95659912</v>
      </c>
      <c r="D38" s="2">
        <f t="shared" si="7"/>
        <v>3746506951</v>
      </c>
      <c r="E38" s="2">
        <f t="shared" si="7"/>
        <v>1486392</v>
      </c>
      <c r="F38" s="2">
        <f t="shared" si="7"/>
        <v>67294</v>
      </c>
      <c r="G38" s="2">
        <f t="shared" si="7"/>
        <v>55131689</v>
      </c>
      <c r="H38" s="3">
        <f t="shared" si="7"/>
        <v>1.4151770944026703</v>
      </c>
      <c r="I38" s="3">
        <f t="shared" si="7"/>
        <v>1.1836305688622326</v>
      </c>
      <c r="J38" s="2">
        <f t="shared" si="7"/>
        <v>33854757847.200001</v>
      </c>
      <c r="K38" s="2">
        <f t="shared" si="7"/>
        <v>818285484</v>
      </c>
      <c r="L38" s="2">
        <f t="shared" si="7"/>
        <v>31423960768</v>
      </c>
      <c r="M38" s="2">
        <f t="shared" si="7"/>
        <v>25333091</v>
      </c>
      <c r="N38" s="2">
        <f t="shared" si="7"/>
        <v>653073</v>
      </c>
      <c r="O38" s="2">
        <f t="shared" si="7"/>
        <v>1612511595.2000008</v>
      </c>
      <c r="P38" s="3">
        <f t="shared" si="7"/>
        <v>4.7666868022902644</v>
      </c>
      <c r="Q38" s="3">
        <f t="shared" si="7"/>
        <v>4.0096272389811212</v>
      </c>
      <c r="R38" s="2">
        <f t="shared" si="7"/>
        <v>3458117891.6999998</v>
      </c>
      <c r="S38" s="2">
        <f t="shared" si="7"/>
        <v>93825877.900000006</v>
      </c>
      <c r="T38" s="2">
        <f t="shared" si="7"/>
        <v>3277331813</v>
      </c>
      <c r="U38" s="2">
        <f t="shared" si="7"/>
        <v>839390</v>
      </c>
      <c r="V38" s="2">
        <f t="shared" si="7"/>
        <v>62196</v>
      </c>
      <c r="W38" s="2">
        <f t="shared" si="7"/>
        <v>86960200.800000072</v>
      </c>
      <c r="X38" s="3">
        <f t="shared" si="7"/>
        <v>2.5153242698938518</v>
      </c>
      <c r="Y38" s="3">
        <f t="shared" si="7"/>
        <v>2.0890932157099775</v>
      </c>
      <c r="Z38" s="2">
        <f t="shared" si="7"/>
        <v>30352024289</v>
      </c>
      <c r="AA38" s="2">
        <f t="shared" si="7"/>
        <v>821996685</v>
      </c>
      <c r="AB38" s="2">
        <f t="shared" si="7"/>
        <v>27942197528</v>
      </c>
      <c r="AC38" s="2">
        <f t="shared" si="7"/>
        <v>9903810</v>
      </c>
      <c r="AD38" s="2">
        <f t="shared" si="7"/>
        <v>510771</v>
      </c>
      <c r="AE38" s="2">
        <f t="shared" si="7"/>
        <v>1587830076</v>
      </c>
      <c r="AF38" s="3">
        <f t="shared" si="7"/>
        <v>5.2331767868642309</v>
      </c>
      <c r="AG38" s="3">
        <f t="shared" si="7"/>
        <v>4.3793410548993057</v>
      </c>
      <c r="AH38" s="21"/>
      <c r="AI38" s="3"/>
      <c r="AJ38" s="3"/>
      <c r="AK38" s="3"/>
      <c r="AL38" s="3"/>
      <c r="AM38" s="20"/>
      <c r="AN38" s="3"/>
      <c r="AP38" s="12"/>
    </row>
    <row r="39" spans="1:42" s="54" customFormat="1" x14ac:dyDescent="0.2">
      <c r="A39" s="49" t="s">
        <v>56</v>
      </c>
      <c r="B39" s="50">
        <v>295723200</v>
      </c>
      <c r="C39" s="50">
        <v>0</v>
      </c>
      <c r="D39" s="50">
        <v>295723200</v>
      </c>
      <c r="E39" s="50">
        <v>0</v>
      </c>
      <c r="F39" s="50">
        <v>0</v>
      </c>
      <c r="G39" s="50"/>
      <c r="H39" s="51">
        <v>0</v>
      </c>
      <c r="I39" s="52"/>
      <c r="J39" s="53">
        <v>2892421800</v>
      </c>
      <c r="K39" s="53">
        <v>0</v>
      </c>
      <c r="L39" s="53">
        <v>2892421800</v>
      </c>
      <c r="M39" s="53"/>
      <c r="N39" s="53"/>
      <c r="O39" s="50"/>
      <c r="P39" s="51">
        <v>0</v>
      </c>
      <c r="Q39" s="52"/>
      <c r="R39" s="50">
        <v>327296100</v>
      </c>
      <c r="S39" s="50">
        <v>0</v>
      </c>
      <c r="T39" s="50">
        <v>327296100</v>
      </c>
      <c r="U39" s="50">
        <v>0</v>
      </c>
      <c r="V39" s="50">
        <v>0</v>
      </c>
      <c r="W39" s="50">
        <v>0</v>
      </c>
      <c r="X39" s="51">
        <v>0</v>
      </c>
      <c r="Y39" s="52"/>
      <c r="Z39" s="53">
        <v>2712834744</v>
      </c>
      <c r="AA39" s="53">
        <v>0</v>
      </c>
      <c r="AB39" s="53">
        <v>2712834744</v>
      </c>
      <c r="AC39" s="53">
        <v>0</v>
      </c>
      <c r="AD39" s="53">
        <v>0</v>
      </c>
      <c r="AE39" s="50">
        <v>0</v>
      </c>
      <c r="AF39" s="51">
        <v>0</v>
      </c>
      <c r="AG39" s="52"/>
      <c r="AH39" s="52"/>
      <c r="AI39" s="51"/>
      <c r="AJ39" s="51"/>
      <c r="AK39" s="51"/>
      <c r="AL39" s="51"/>
      <c r="AM39" s="53" t="e">
        <f>#REF!-#REF!</f>
        <v>#REF!</v>
      </c>
      <c r="AN39" s="51" t="e">
        <f>AM39*100/#REF!</f>
        <v>#REF!</v>
      </c>
      <c r="AP39" s="55"/>
    </row>
    <row r="40" spans="1:42" s="61" customFormat="1" x14ac:dyDescent="0.2">
      <c r="A40" s="56" t="s">
        <v>45</v>
      </c>
      <c r="B40" s="57">
        <v>4657845991</v>
      </c>
      <c r="C40" s="57">
        <v>276542606</v>
      </c>
      <c r="D40" s="57">
        <v>4278803471</v>
      </c>
      <c r="E40" s="57"/>
      <c r="F40" s="57">
        <v>70096</v>
      </c>
      <c r="G40" s="57">
        <f>B40-C40-D40</f>
        <v>102499914</v>
      </c>
      <c r="H40" s="58">
        <f>(B40-C40-D40)*100/(B40-F40)</f>
        <v>2.2006192721730335</v>
      </c>
      <c r="I40" s="59">
        <f>I34+I9</f>
        <v>2.2007977979107038</v>
      </c>
      <c r="J40" s="60">
        <v>40215997625</v>
      </c>
      <c r="K40" s="60">
        <v>1741273915</v>
      </c>
      <c r="L40" s="60">
        <v>36433222920</v>
      </c>
      <c r="M40" s="60"/>
      <c r="N40" s="60">
        <v>2662494</v>
      </c>
      <c r="O40" s="57">
        <f>J40-K40-L40</f>
        <v>2041500790</v>
      </c>
      <c r="P40" s="58">
        <f>(J40-K40-L40)*100/(J40-N40)</f>
        <v>5.0766761407616512</v>
      </c>
      <c r="Q40" s="59">
        <f>Q34+Q9</f>
        <v>5.073641328573161</v>
      </c>
      <c r="R40" s="57">
        <v>4162581169</v>
      </c>
      <c r="S40" s="57">
        <v>174200269</v>
      </c>
      <c r="T40" s="57">
        <v>3847692913</v>
      </c>
      <c r="U40" s="57"/>
      <c r="V40" s="57">
        <v>66944</v>
      </c>
      <c r="W40" s="57">
        <f>R40-S40-T40</f>
        <v>140687987</v>
      </c>
      <c r="X40" s="58">
        <f>(R40-S40-T40)*100/(R40-V40)</f>
        <v>3.3798800291186994</v>
      </c>
      <c r="Y40" s="59">
        <f>Y34+Y9</f>
        <v>3.361138969299942</v>
      </c>
      <c r="Z40" s="60">
        <v>36257282913</v>
      </c>
      <c r="AA40" s="60">
        <v>1495155145</v>
      </c>
      <c r="AB40" s="60">
        <v>32781992960</v>
      </c>
      <c r="AC40" s="60"/>
      <c r="AD40" s="60">
        <v>17221064</v>
      </c>
      <c r="AE40" s="57">
        <f>Z40-AA40-AB40</f>
        <v>1980134808</v>
      </c>
      <c r="AF40" s="58">
        <f>(Z40-AA40-AB40)*100/(Z40-AD40)</f>
        <v>5.4639388206635733</v>
      </c>
      <c r="AG40" s="59">
        <f>AG34+AG9</f>
        <v>5.4627954189304031</v>
      </c>
      <c r="AH40" s="59">
        <v>5.48</v>
      </c>
      <c r="AI40" s="58">
        <f>H40-AH40</f>
        <v>-3.2793807278269669</v>
      </c>
      <c r="AJ40" s="58">
        <f>H40-X40</f>
        <v>-1.1792607569456659</v>
      </c>
      <c r="AK40" s="58">
        <f>P40-AH40</f>
        <v>-0.40332385923834924</v>
      </c>
      <c r="AL40" s="58">
        <f>P40-AF40</f>
        <v>-0.38726267990192209</v>
      </c>
      <c r="AM40" s="60"/>
      <c r="AN40" s="58"/>
      <c r="AP40" s="62"/>
    </row>
    <row r="41" spans="1:42" hidden="1" x14ac:dyDescent="0.2">
      <c r="A41" s="26"/>
      <c r="B41" s="27"/>
      <c r="C41" s="27"/>
      <c r="D41" s="27"/>
      <c r="E41" s="27"/>
      <c r="F41" s="27"/>
      <c r="G41" s="28"/>
      <c r="H41" s="29" t="s">
        <v>46</v>
      </c>
      <c r="I41" s="29"/>
      <c r="J41" s="27">
        <f>B40*31/30</f>
        <v>4813107524.0333338</v>
      </c>
      <c r="K41" s="27">
        <f>C40*31/30</f>
        <v>285760692.86666667</v>
      </c>
      <c r="L41" s="27">
        <f>D40*30/31</f>
        <v>4140777552.5806451</v>
      </c>
      <c r="M41" s="27">
        <f>E40*31/30</f>
        <v>0</v>
      </c>
      <c r="N41" s="27">
        <f>F40*31/30</f>
        <v>72432.53333333334</v>
      </c>
      <c r="O41" s="27">
        <f>J41-K41-L41</f>
        <v>386569278.5860219</v>
      </c>
      <c r="P41" s="30">
        <f>(J41-K41-L41)*100/(J41-N41)</f>
        <v>8.0317153570876236</v>
      </c>
      <c r="Q41" s="29"/>
      <c r="R41" s="27"/>
      <c r="S41" s="27"/>
      <c r="T41" s="27"/>
      <c r="U41" s="27"/>
      <c r="V41" s="27"/>
      <c r="W41" s="27"/>
      <c r="X41" s="31"/>
      <c r="Y41" s="29"/>
      <c r="Z41" s="27"/>
      <c r="AA41" s="27"/>
      <c r="AB41" s="27"/>
      <c r="AC41" s="27"/>
      <c r="AD41" s="27"/>
      <c r="AE41" s="27"/>
      <c r="AF41" s="31"/>
      <c r="AG41" s="29"/>
      <c r="AH41" s="12"/>
      <c r="AI41" s="31"/>
      <c r="AJ41" s="31"/>
      <c r="AK41" s="31"/>
      <c r="AL41" s="32"/>
      <c r="AM41" s="20"/>
      <c r="AN41" s="3"/>
    </row>
    <row r="42" spans="1:42" hidden="1" x14ac:dyDescent="0.2">
      <c r="C42" s="33"/>
      <c r="D42" s="34"/>
      <c r="E42" s="33"/>
      <c r="F42" s="33"/>
      <c r="G42" s="33"/>
      <c r="H42" s="35">
        <v>2011</v>
      </c>
      <c r="I42" s="35"/>
      <c r="J42" s="2">
        <f>J40+J41</f>
        <v>45029105149.033333</v>
      </c>
      <c r="K42" s="2">
        <f>K40+K41</f>
        <v>2027034607.8666668</v>
      </c>
      <c r="L42" s="2">
        <f>L40+L41</f>
        <v>40574000472.580643</v>
      </c>
      <c r="M42" s="2"/>
      <c r="N42" s="2">
        <f>N40+N41</f>
        <v>2734926.5333333332</v>
      </c>
      <c r="O42" s="2">
        <f>J42-K42-L42</f>
        <v>2428070068.5860214</v>
      </c>
      <c r="P42" s="5">
        <f>(J42-K42-L42)*100/(J42-N42)</f>
        <v>5.3925512018570343</v>
      </c>
      <c r="Q42" s="35"/>
      <c r="U42" s="33"/>
      <c r="V42" s="33"/>
      <c r="W42" s="33"/>
      <c r="Y42" s="35"/>
      <c r="AC42" s="33"/>
      <c r="AD42" s="33"/>
      <c r="AE42" s="33"/>
      <c r="AG42" s="35"/>
    </row>
    <row r="43" spans="1:42" x14ac:dyDescent="0.2">
      <c r="C43" s="33"/>
      <c r="D43" s="33">
        <f>D34+D37+D39</f>
        <v>4278803471</v>
      </c>
      <c r="E43" s="33"/>
      <c r="F43" s="33"/>
      <c r="G43" s="33">
        <f>G33+G8</f>
        <v>169032</v>
      </c>
      <c r="I43" s="12"/>
      <c r="K43" s="33"/>
      <c r="L43" s="33"/>
      <c r="M43" s="33"/>
      <c r="N43" s="33"/>
      <c r="O43" s="33">
        <f>O33+O8</f>
        <v>236011745.19999981</v>
      </c>
      <c r="P43" s="12" t="s">
        <v>57</v>
      </c>
      <c r="Q43" s="12">
        <f>Q33+Q32</f>
        <v>0</v>
      </c>
      <c r="U43" s="33"/>
      <c r="V43" s="33"/>
      <c r="W43" s="33"/>
      <c r="AC43" s="33"/>
      <c r="AD43" s="33"/>
      <c r="AE43" s="33"/>
      <c r="AG43" s="12"/>
    </row>
    <row r="44" spans="1:42" x14ac:dyDescent="0.2">
      <c r="C44" s="33"/>
      <c r="D44" s="33"/>
      <c r="E44" s="33"/>
      <c r="F44" s="33"/>
      <c r="G44" s="33">
        <v>12670902</v>
      </c>
      <c r="J44" s="33"/>
      <c r="K44" s="33"/>
      <c r="L44" s="33"/>
      <c r="M44" s="33"/>
      <c r="N44" s="33"/>
      <c r="O44" s="33">
        <v>75637423.199999809</v>
      </c>
      <c r="Q44" s="12"/>
      <c r="U44" s="33"/>
      <c r="V44" s="33"/>
      <c r="W44" s="33"/>
      <c r="AC44" s="33"/>
      <c r="AD44" s="33"/>
      <c r="AE44" s="33"/>
    </row>
    <row r="45" spans="1:42" x14ac:dyDescent="0.2">
      <c r="C45" s="33"/>
      <c r="D45" s="33"/>
      <c r="E45" s="33"/>
      <c r="F45" s="33"/>
      <c r="G45" s="33"/>
      <c r="J45" s="33"/>
      <c r="K45" s="33"/>
      <c r="L45" s="33"/>
      <c r="M45" s="33"/>
      <c r="N45" s="33"/>
      <c r="O45" s="33"/>
      <c r="U45" s="33"/>
      <c r="V45" s="33"/>
      <c r="W45" s="33"/>
      <c r="AC45" s="33"/>
      <c r="AD45" s="33"/>
      <c r="AE45" s="33"/>
    </row>
    <row r="46" spans="1:42" x14ac:dyDescent="0.2">
      <c r="C46" s="33"/>
      <c r="D46" s="33"/>
      <c r="E46" s="33"/>
      <c r="F46" s="33"/>
      <c r="G46" s="33"/>
      <c r="J46" s="33"/>
      <c r="K46" s="33"/>
      <c r="L46" s="33"/>
      <c r="M46" s="33"/>
      <c r="N46" s="33"/>
      <c r="O46" s="33"/>
      <c r="U46" s="33"/>
      <c r="V46" s="33"/>
      <c r="W46" s="33"/>
      <c r="AC46" s="33"/>
      <c r="AD46" s="33"/>
      <c r="AE46" s="33"/>
    </row>
    <row r="47" spans="1:42" x14ac:dyDescent="0.2">
      <c r="C47" s="33"/>
      <c r="D47" s="33"/>
      <c r="E47" s="33"/>
      <c r="F47" s="33"/>
      <c r="G47" s="33"/>
      <c r="K47" s="33"/>
      <c r="L47" s="33"/>
      <c r="M47" s="33"/>
      <c r="N47" s="33"/>
      <c r="O47" s="33"/>
      <c r="U47" s="33"/>
      <c r="V47" s="33"/>
      <c r="W47" s="33"/>
      <c r="AC47" s="33"/>
      <c r="AD47" s="33"/>
      <c r="AE47" s="33"/>
    </row>
    <row r="48" spans="1:42" x14ac:dyDescent="0.2">
      <c r="C48" s="33"/>
      <c r="D48" s="33"/>
      <c r="E48" s="33"/>
      <c r="F48" s="33"/>
      <c r="G48" s="33"/>
      <c r="J48" s="33"/>
      <c r="K48" s="33"/>
      <c r="L48" s="33"/>
      <c r="M48" s="33"/>
      <c r="N48" s="33"/>
      <c r="O48" s="33"/>
      <c r="U48" s="33"/>
      <c r="V48" s="33"/>
      <c r="W48" s="33"/>
      <c r="AC48" s="33"/>
      <c r="AD48" s="33"/>
      <c r="AE48" s="33"/>
    </row>
    <row r="49" spans="3:31" x14ac:dyDescent="0.2">
      <c r="C49" s="33"/>
      <c r="D49" s="33"/>
      <c r="E49" s="33"/>
      <c r="F49" s="33"/>
      <c r="G49" s="33"/>
      <c r="J49" s="33"/>
      <c r="K49" s="33"/>
      <c r="L49" s="33"/>
      <c r="M49" s="33"/>
      <c r="N49" s="33"/>
      <c r="O49" s="33"/>
      <c r="U49" s="33"/>
      <c r="V49" s="33"/>
      <c r="W49" s="33"/>
      <c r="AC49" s="33"/>
      <c r="AD49" s="33"/>
      <c r="AE49" s="33"/>
    </row>
    <row r="50" spans="3:31" x14ac:dyDescent="0.2">
      <c r="C50" s="33"/>
      <c r="D50" s="33"/>
      <c r="E50" s="33"/>
      <c r="F50" s="33"/>
      <c r="G50" s="33"/>
      <c r="K50" s="33"/>
      <c r="L50" s="33"/>
      <c r="M50" s="33"/>
      <c r="N50" s="33"/>
      <c r="O50" s="33"/>
      <c r="U50" s="33"/>
      <c r="V50" s="33"/>
      <c r="W50" s="33"/>
      <c r="AC50" s="33"/>
      <c r="AD50" s="33"/>
      <c r="AE50" s="33"/>
    </row>
  </sheetData>
  <mergeCells count="1">
    <mergeCell ref="A3:A4"/>
  </mergeCells>
  <conditionalFormatting sqref="AO41:IV41 AL7:IV12 AO14:AO33 AQ14:IV33 AK41:AM41 AI41 AI7:AI34 AL13:AM34 AP13:AP34 AP37:AP38 AL37:AM38 AI37:AI38">
    <cfRule type="expression" dxfId="304" priority="71" stopIfTrue="1">
      <formula>"AE&gt;0"</formula>
    </cfRule>
  </conditionalFormatting>
  <conditionalFormatting sqref="R41:X41 A41:N41 AJ41 AJ7:AJ34 A37:B38 AJ37:AJ38 A7:A9 A10:H32 A34:H34 A33 J34:P34 J10:P32 R10:X32 R34:X34 Z34:AF34 Z10:AF32 Z41:AF41">
    <cfRule type="expression" dxfId="303" priority="72" stopIfTrue="1">
      <formula>#REF!&gt;0</formula>
    </cfRule>
  </conditionalFormatting>
  <conditionalFormatting sqref="AN13:AO13 AQ13:IV13 AN41 AN14:AN34 AN37:AN38">
    <cfRule type="expression" dxfId="302" priority="73" stopIfTrue="1">
      <formula>#REF!&gt;0</formula>
    </cfRule>
  </conditionalFormatting>
  <conditionalFormatting sqref="AK7:AK34 AK37:AK38">
    <cfRule type="cellIs" dxfId="301" priority="74" stopIfTrue="1" operator="greaterThanOrEqual">
      <formula>0</formula>
    </cfRule>
  </conditionalFormatting>
  <conditionalFormatting sqref="AH7:AH33">
    <cfRule type="expression" dxfId="300" priority="70" stopIfTrue="1">
      <formula>"AE&gt;0"</formula>
    </cfRule>
  </conditionalFormatting>
  <conditionalFormatting sqref="AI39 AL39:AM39 AO39 AQ39:IV39">
    <cfRule type="expression" dxfId="299" priority="66" stopIfTrue="1">
      <formula>"AE&gt;0"</formula>
    </cfRule>
  </conditionalFormatting>
  <conditionalFormatting sqref="AJ39 A39:H39 J39:P39">
    <cfRule type="expression" dxfId="298" priority="67" stopIfTrue="1">
      <formula>#REF!&gt;0</formula>
    </cfRule>
  </conditionalFormatting>
  <conditionalFormatting sqref="AN39">
    <cfRule type="expression" dxfId="297" priority="68" stopIfTrue="1">
      <formula>#REF!&gt;0</formula>
    </cfRule>
  </conditionalFormatting>
  <conditionalFormatting sqref="AK39">
    <cfRule type="cellIs" dxfId="296" priority="69" stopIfTrue="1" operator="greaterThanOrEqual">
      <formula>0</formula>
    </cfRule>
  </conditionalFormatting>
  <conditionalFormatting sqref="AH39">
    <cfRule type="expression" dxfId="295" priority="65" stopIfTrue="1">
      <formula>"AE&gt;0"</formula>
    </cfRule>
  </conditionalFormatting>
  <conditionalFormatting sqref="R39:X39 Z39:AF39">
    <cfRule type="expression" dxfId="294" priority="64" stopIfTrue="1">
      <formula>#REF!&gt;0</formula>
    </cfRule>
  </conditionalFormatting>
  <conditionalFormatting sqref="AP39">
    <cfRule type="expression" dxfId="293" priority="63" stopIfTrue="1">
      <formula>"AE&gt;0"</formula>
    </cfRule>
  </conditionalFormatting>
  <conditionalFormatting sqref="B7:F7 H8 H7:P7 J8:P8 G9:H9 O9:P9 J9:M9 B8:C8 E8:F8 B9:D9">
    <cfRule type="expression" dxfId="292" priority="62" stopIfTrue="1">
      <formula>#REF!&gt;0</formula>
    </cfRule>
  </conditionalFormatting>
  <conditionalFormatting sqref="R33:X33 Z33:AF33">
    <cfRule type="expression" dxfId="291" priority="59" stopIfTrue="1">
      <formula>#REF!&gt;0</formula>
    </cfRule>
  </conditionalFormatting>
  <conditionalFormatting sqref="R7:X8 Z7:AF8 R9:T9 V9:X9 Z9:AB9 AD9:AF9">
    <cfRule type="expression" dxfId="290" priority="61" stopIfTrue="1">
      <formula>#REF!&gt;0</formula>
    </cfRule>
  </conditionalFormatting>
  <conditionalFormatting sqref="J33:N33 B33:F33">
    <cfRule type="expression" dxfId="289" priority="60" stopIfTrue="1">
      <formula>#REF!&gt;0</formula>
    </cfRule>
  </conditionalFormatting>
  <conditionalFormatting sqref="I9:I32">
    <cfRule type="expression" dxfId="288" priority="58" stopIfTrue="1">
      <formula>#REF!&gt;0</formula>
    </cfRule>
  </conditionalFormatting>
  <conditionalFormatting sqref="I39">
    <cfRule type="expression" dxfId="287" priority="55" stopIfTrue="1">
      <formula>#REF!&gt;0</formula>
    </cfRule>
  </conditionalFormatting>
  <conditionalFormatting sqref="I34">
    <cfRule type="expression" dxfId="286" priority="57" stopIfTrue="1">
      <formula>#REF!&gt;0</formula>
    </cfRule>
  </conditionalFormatting>
  <conditionalFormatting sqref="I8">
    <cfRule type="expression" dxfId="285" priority="56" stopIfTrue="1">
      <formula>#REF!&gt;0</formula>
    </cfRule>
  </conditionalFormatting>
  <conditionalFormatting sqref="Q39">
    <cfRule type="expression" dxfId="284" priority="49" stopIfTrue="1">
      <formula>#REF!&gt;0</formula>
    </cfRule>
  </conditionalFormatting>
  <conditionalFormatting sqref="Q41">
    <cfRule type="expression" dxfId="283" priority="54" stopIfTrue="1">
      <formula>#REF!&gt;0</formula>
    </cfRule>
  </conditionalFormatting>
  <conditionalFormatting sqref="Q7">
    <cfRule type="expression" dxfId="282" priority="53" stopIfTrue="1">
      <formula>#REF!&gt;0</formula>
    </cfRule>
  </conditionalFormatting>
  <conditionalFormatting sqref="Q9:Q33">
    <cfRule type="expression" dxfId="281" priority="52" stopIfTrue="1">
      <formula>#REF!&gt;0</formula>
    </cfRule>
  </conditionalFormatting>
  <conditionalFormatting sqref="Y39">
    <cfRule type="expression" dxfId="280" priority="43" stopIfTrue="1">
      <formula>#REF!&gt;0</formula>
    </cfRule>
  </conditionalFormatting>
  <conditionalFormatting sqref="Q34">
    <cfRule type="expression" dxfId="279" priority="51" stopIfTrue="1">
      <formula>#REF!&gt;0</formula>
    </cfRule>
  </conditionalFormatting>
  <conditionalFormatting sqref="Q8">
    <cfRule type="expression" dxfId="278" priority="50" stopIfTrue="1">
      <formula>#REF!&gt;0</formula>
    </cfRule>
  </conditionalFormatting>
  <conditionalFormatting sqref="Y41">
    <cfRule type="expression" dxfId="277" priority="48" stopIfTrue="1">
      <formula>#REF!&gt;0</formula>
    </cfRule>
  </conditionalFormatting>
  <conditionalFormatting sqref="Y7">
    <cfRule type="expression" dxfId="276" priority="47" stopIfTrue="1">
      <formula>#REF!&gt;0</formula>
    </cfRule>
  </conditionalFormatting>
  <conditionalFormatting sqref="Y9:Y33">
    <cfRule type="expression" dxfId="275" priority="46" stopIfTrue="1">
      <formula>#REF!&gt;0</formula>
    </cfRule>
  </conditionalFormatting>
  <conditionalFormatting sqref="Y34">
    <cfRule type="expression" dxfId="274" priority="45" stopIfTrue="1">
      <formula>#REF!&gt;0</formula>
    </cfRule>
  </conditionalFormatting>
  <conditionalFormatting sqref="Y8">
    <cfRule type="expression" dxfId="273" priority="44" stopIfTrue="1">
      <formula>#REF!&gt;0</formula>
    </cfRule>
  </conditionalFormatting>
  <conditionalFormatting sqref="AG39">
    <cfRule type="expression" dxfId="272" priority="37" stopIfTrue="1">
      <formula>#REF!&gt;0</formula>
    </cfRule>
  </conditionalFormatting>
  <conditionalFormatting sqref="AG41">
    <cfRule type="expression" dxfId="271" priority="42" stopIfTrue="1">
      <formula>#REF!&gt;0</formula>
    </cfRule>
  </conditionalFormatting>
  <conditionalFormatting sqref="AG7">
    <cfRule type="expression" dxfId="270" priority="41" stopIfTrue="1">
      <formula>#REF!&gt;0</formula>
    </cfRule>
  </conditionalFormatting>
  <conditionalFormatting sqref="AG9:AG33">
    <cfRule type="expression" dxfId="269" priority="40" stopIfTrue="1">
      <formula>#REF!&gt;0</formula>
    </cfRule>
  </conditionalFormatting>
  <conditionalFormatting sqref="AG34">
    <cfRule type="expression" dxfId="268" priority="39" stopIfTrue="1">
      <formula>#REF!&gt;0</formula>
    </cfRule>
  </conditionalFormatting>
  <conditionalFormatting sqref="AG8">
    <cfRule type="expression" dxfId="267" priority="38" stopIfTrue="1">
      <formula>#REF!&gt;0</formula>
    </cfRule>
  </conditionalFormatting>
  <conditionalFormatting sqref="AI36 AL36:AM36 AP36">
    <cfRule type="expression" dxfId="266" priority="33" stopIfTrue="1">
      <formula>"AE&gt;0"</formula>
    </cfRule>
  </conditionalFormatting>
  <conditionalFormatting sqref="AJ36 A36:H36 J36:P36 R36:X36 Z36:AF36">
    <cfRule type="expression" dxfId="265" priority="34" stopIfTrue="1">
      <formula>#REF!&gt;0</formula>
    </cfRule>
  </conditionalFormatting>
  <conditionalFormatting sqref="AN36">
    <cfRule type="expression" dxfId="264" priority="35" stopIfTrue="1">
      <formula>#REF!&gt;0</formula>
    </cfRule>
  </conditionalFormatting>
  <conditionalFormatting sqref="AK36">
    <cfRule type="cellIs" dxfId="263" priority="36" stopIfTrue="1" operator="greaterThanOrEqual">
      <formula>0</formula>
    </cfRule>
  </conditionalFormatting>
  <conditionalFormatting sqref="I36">
    <cfRule type="expression" dxfId="262" priority="32" stopIfTrue="1">
      <formula>#REF!&gt;0</formula>
    </cfRule>
  </conditionalFormatting>
  <conditionalFormatting sqref="Q36">
    <cfRule type="expression" dxfId="261" priority="31" stopIfTrue="1">
      <formula>#REF!&gt;0</formula>
    </cfRule>
  </conditionalFormatting>
  <conditionalFormatting sqref="Y36">
    <cfRule type="expression" dxfId="260" priority="30" stopIfTrue="1">
      <formula>#REF!&gt;0</formula>
    </cfRule>
  </conditionalFormatting>
  <conditionalFormatting sqref="AG36">
    <cfRule type="expression" dxfId="259" priority="29" stopIfTrue="1">
      <formula>#REF!&gt;0</formula>
    </cfRule>
  </conditionalFormatting>
  <conditionalFormatting sqref="J37:O38 R37:W38 Z37:AE38 C37:G38">
    <cfRule type="expression" dxfId="258" priority="28" stopIfTrue="1">
      <formula>#REF!&gt;0</formula>
    </cfRule>
  </conditionalFormatting>
  <conditionalFormatting sqref="H37:I38">
    <cfRule type="expression" dxfId="257" priority="27" stopIfTrue="1">
      <formula>#REF!&gt;0</formula>
    </cfRule>
  </conditionalFormatting>
  <conditionalFormatting sqref="P37:Q38">
    <cfRule type="expression" dxfId="256" priority="26" stopIfTrue="1">
      <formula>#REF!&gt;0</formula>
    </cfRule>
  </conditionalFormatting>
  <conditionalFormatting sqref="X37:Y38">
    <cfRule type="expression" dxfId="255" priority="25" stopIfTrue="1">
      <formula>#REF!&gt;0</formula>
    </cfRule>
  </conditionalFormatting>
  <conditionalFormatting sqref="AF37:AG38">
    <cfRule type="expression" dxfId="254" priority="24" stopIfTrue="1">
      <formula>#REF!&gt;0</formula>
    </cfRule>
  </conditionalFormatting>
  <conditionalFormatting sqref="A5">
    <cfRule type="expression" dxfId="253" priority="23" stopIfTrue="1">
      <formula>#REF!&gt;0</formula>
    </cfRule>
  </conditionalFormatting>
  <conditionalFormatting sqref="AI40 AL40:AM40 AO40 AQ40:IV40">
    <cfRule type="expression" dxfId="252" priority="19" stopIfTrue="1">
      <formula>"AE&gt;0"</formula>
    </cfRule>
  </conditionalFormatting>
  <conditionalFormatting sqref="AJ40 J40:P40 A40:H40">
    <cfRule type="expression" dxfId="251" priority="20" stopIfTrue="1">
      <formula>#REF!&gt;0</formula>
    </cfRule>
  </conditionalFormatting>
  <conditionalFormatting sqref="AN40">
    <cfRule type="expression" dxfId="250" priority="21" stopIfTrue="1">
      <formula>#REF!&gt;0</formula>
    </cfRule>
  </conditionalFormatting>
  <conditionalFormatting sqref="AK40">
    <cfRule type="cellIs" dxfId="249" priority="22" stopIfTrue="1" operator="greaterThanOrEqual">
      <formula>0</formula>
    </cfRule>
  </conditionalFormatting>
  <conditionalFormatting sqref="AH40">
    <cfRule type="expression" dxfId="248" priority="18" stopIfTrue="1">
      <formula>"AE&gt;0"</formula>
    </cfRule>
  </conditionalFormatting>
  <conditionalFormatting sqref="R40:X40 Z40:AF40">
    <cfRule type="expression" dxfId="247" priority="17" stopIfTrue="1">
      <formula>#REF!&gt;0</formula>
    </cfRule>
  </conditionalFormatting>
  <conditionalFormatting sqref="AP40">
    <cfRule type="expression" dxfId="246" priority="16" stopIfTrue="1">
      <formula>"AE&gt;0"</formula>
    </cfRule>
  </conditionalFormatting>
  <conditionalFormatting sqref="I40">
    <cfRule type="expression" dxfId="245" priority="15" stopIfTrue="1">
      <formula>#REF!&gt;0</formula>
    </cfRule>
  </conditionalFormatting>
  <conditionalFormatting sqref="Q40">
    <cfRule type="expression" dxfId="244" priority="14" stopIfTrue="1">
      <formula>#REF!&gt;0</formula>
    </cfRule>
  </conditionalFormatting>
  <conditionalFormatting sqref="Y40">
    <cfRule type="expression" dxfId="243" priority="13" stopIfTrue="1">
      <formula>#REF!&gt;0</formula>
    </cfRule>
  </conditionalFormatting>
  <conditionalFormatting sqref="AG40">
    <cfRule type="expression" dxfId="242" priority="12" stopIfTrue="1">
      <formula>#REF!&gt;0</formula>
    </cfRule>
  </conditionalFormatting>
  <conditionalFormatting sqref="F9">
    <cfRule type="expression" dxfId="241" priority="11" stopIfTrue="1">
      <formula>#REF!&gt;0</formula>
    </cfRule>
  </conditionalFormatting>
  <conditionalFormatting sqref="N9">
    <cfRule type="expression" dxfId="240" priority="10" stopIfTrue="1">
      <formula>#REF!&gt;0</formula>
    </cfRule>
  </conditionalFormatting>
  <conditionalFormatting sqref="D8">
    <cfRule type="expression" dxfId="239" priority="9" stopIfTrue="1">
      <formula>#REF!&gt;0</formula>
    </cfRule>
  </conditionalFormatting>
  <conditionalFormatting sqref="I33">
    <cfRule type="expression" dxfId="238" priority="8" stopIfTrue="1">
      <formula>#REF!&gt;0</formula>
    </cfRule>
  </conditionalFormatting>
  <conditionalFormatting sqref="G8">
    <cfRule type="expression" dxfId="237" priority="7" stopIfTrue="1">
      <formula>#REF!&gt;0</formula>
    </cfRule>
  </conditionalFormatting>
  <conditionalFormatting sqref="G7">
    <cfRule type="expression" dxfId="236" priority="6" stopIfTrue="1">
      <formula>#REF!&gt;0</formula>
    </cfRule>
  </conditionalFormatting>
  <conditionalFormatting sqref="G33:H33">
    <cfRule type="expression" dxfId="235" priority="5" stopIfTrue="1">
      <formula>#REF!&gt;0</formula>
    </cfRule>
  </conditionalFormatting>
  <conditionalFormatting sqref="O33:P33">
    <cfRule type="expression" dxfId="234" priority="4" stopIfTrue="1">
      <formula>#REF!&gt;0</formula>
    </cfRule>
  </conditionalFormatting>
  <conditionalFormatting sqref="E9">
    <cfRule type="expression" dxfId="233" priority="3" stopIfTrue="1">
      <formula>#REF!&gt;0</formula>
    </cfRule>
  </conditionalFormatting>
  <conditionalFormatting sqref="U9">
    <cfRule type="expression" dxfId="232" priority="2" stopIfTrue="1">
      <formula>#REF!&gt;0</formula>
    </cfRule>
  </conditionalFormatting>
  <conditionalFormatting sqref="AC9">
    <cfRule type="expression" dxfId="231" priority="1" stopIfTrue="1">
      <formula>#REF!&gt;0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1BAF2-CFFA-4E29-A189-D25733521910}">
  <dimension ref="A1:AP51"/>
  <sheetViews>
    <sheetView workbookViewId="0">
      <pane xSplit="1" ySplit="5" topLeftCell="B24" activePane="bottomRight" state="frozen"/>
      <selection activeCell="L33" sqref="L33"/>
      <selection pane="topRight" activeCell="L33" sqref="L33"/>
      <selection pane="bottomLeft" activeCell="L33" sqref="L33"/>
      <selection pane="bottomRight" activeCell="L33" sqref="L33"/>
    </sheetView>
  </sheetViews>
  <sheetFormatPr defaultRowHeight="11.25" outlineLevelCol="1" x14ac:dyDescent="0.2"/>
  <cols>
    <col min="1" max="1" width="18.28515625" style="1" bestFit="1" customWidth="1"/>
    <col min="2" max="4" width="10.85546875" style="1" customWidth="1"/>
    <col min="5" max="5" width="9.140625" style="1" bestFit="1" customWidth="1"/>
    <col min="6" max="6" width="10" style="1" bestFit="1" customWidth="1"/>
    <col min="7" max="7" width="10.5703125" style="1" bestFit="1" customWidth="1"/>
    <col min="8" max="8" width="5.42578125" style="1" customWidth="1"/>
    <col min="9" max="9" width="5.7109375" style="1" customWidth="1"/>
    <col min="10" max="12" width="13.85546875" style="1" bestFit="1" customWidth="1"/>
    <col min="13" max="13" width="10.7109375" style="1" bestFit="1" customWidth="1"/>
    <col min="14" max="14" width="11.7109375" style="1" bestFit="1" customWidth="1"/>
    <col min="15" max="15" width="12.7109375" style="1" bestFit="1" customWidth="1"/>
    <col min="16" max="16" width="6.5703125" style="12" bestFit="1" customWidth="1"/>
    <col min="17" max="17" width="5.85546875" style="1" customWidth="1"/>
    <col min="18" max="20" width="10.85546875" style="1" customWidth="1" outlineLevel="1"/>
    <col min="21" max="21" width="10" style="1" customWidth="1" outlineLevel="1"/>
    <col min="22" max="22" width="9.140625" style="1" customWidth="1" outlineLevel="1"/>
    <col min="23" max="23" width="10" style="1" customWidth="1" outlineLevel="1"/>
    <col min="24" max="24" width="5.140625" style="1" customWidth="1" outlineLevel="1"/>
    <col min="25" max="25" width="5.42578125" style="1" customWidth="1"/>
    <col min="26" max="28" width="11.7109375" style="1" customWidth="1" outlineLevel="1"/>
    <col min="29" max="29" width="11.28515625" style="1" customWidth="1" outlineLevel="1"/>
    <col min="30" max="30" width="10.140625" style="1" customWidth="1" outlineLevel="1"/>
    <col min="31" max="31" width="10.85546875" style="1" customWidth="1" outlineLevel="1"/>
    <col min="32" max="32" width="5.140625" style="1" customWidth="1" outlineLevel="1"/>
    <col min="33" max="33" width="5.42578125" style="1" customWidth="1"/>
    <col min="34" max="34" width="5.140625" style="1" hidden="1" customWidth="1"/>
    <col min="35" max="36" width="5.85546875" style="1" hidden="1" customWidth="1"/>
    <col min="37" max="37" width="5.7109375" style="1" hidden="1" customWidth="1"/>
    <col min="38" max="38" width="5.85546875" style="1" hidden="1" customWidth="1"/>
    <col min="39" max="39" width="10.85546875" style="1" hidden="1" customWidth="1"/>
    <col min="40" max="40" width="9.140625" style="1" hidden="1" customWidth="1"/>
    <col min="41" max="16384" width="9.140625" style="1"/>
  </cols>
  <sheetData>
    <row r="1" spans="1:42" x14ac:dyDescent="0.2">
      <c r="A1" s="9" t="s">
        <v>66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10"/>
      <c r="R1" s="9"/>
      <c r="S1" s="10"/>
      <c r="T1" s="10"/>
      <c r="U1" s="10"/>
      <c r="V1" s="10"/>
      <c r="W1" s="10"/>
      <c r="X1" s="10"/>
      <c r="Y1" s="10"/>
      <c r="Z1" s="9"/>
      <c r="AA1" s="10"/>
      <c r="AB1" s="10"/>
      <c r="AC1" s="10"/>
      <c r="AD1" s="10"/>
      <c r="AE1" s="10"/>
      <c r="AF1" s="10"/>
      <c r="AG1" s="10"/>
    </row>
    <row r="2" spans="1:42" x14ac:dyDescent="0.2">
      <c r="R2" s="33">
        <f>O34+O9</f>
        <v>288280113</v>
      </c>
    </row>
    <row r="3" spans="1:42" x14ac:dyDescent="0.2">
      <c r="A3" s="70" t="s">
        <v>14</v>
      </c>
      <c r="B3" s="13" t="s">
        <v>67</v>
      </c>
      <c r="C3" s="13"/>
      <c r="D3" s="13"/>
      <c r="E3" s="13"/>
      <c r="F3" s="13"/>
      <c r="G3" s="13"/>
      <c r="H3" s="13"/>
      <c r="I3" s="13"/>
      <c r="J3" s="13" t="s">
        <v>68</v>
      </c>
      <c r="K3" s="13"/>
      <c r="L3" s="13"/>
      <c r="M3" s="13"/>
      <c r="N3" s="13"/>
      <c r="O3" s="13"/>
      <c r="P3" s="14"/>
      <c r="Q3" s="13"/>
      <c r="R3" s="13" t="s">
        <v>8</v>
      </c>
      <c r="S3" s="13"/>
      <c r="T3" s="13"/>
      <c r="U3" s="13"/>
      <c r="V3" s="13"/>
      <c r="W3" s="13"/>
      <c r="X3" s="13"/>
      <c r="Y3" s="13"/>
      <c r="Z3" s="13" t="s">
        <v>9</v>
      </c>
      <c r="AA3" s="13"/>
      <c r="AB3" s="13"/>
      <c r="AC3" s="13"/>
      <c r="AD3" s="13"/>
      <c r="AE3" s="13"/>
      <c r="AF3" s="14"/>
      <c r="AG3" s="13"/>
      <c r="AH3" s="6" t="s">
        <v>15</v>
      </c>
      <c r="AI3" s="13" t="s">
        <v>16</v>
      </c>
      <c r="AJ3" s="13"/>
      <c r="AK3" s="13" t="s">
        <v>17</v>
      </c>
      <c r="AL3" s="13"/>
      <c r="AM3" s="15" t="s">
        <v>18</v>
      </c>
      <c r="AN3" s="13"/>
    </row>
    <row r="4" spans="1:42" ht="12.75" customHeight="1" x14ac:dyDescent="0.2">
      <c r="A4" s="70"/>
      <c r="B4" s="73" t="s">
        <v>0</v>
      </c>
      <c r="C4" s="71" t="s">
        <v>5</v>
      </c>
      <c r="D4" s="72"/>
      <c r="E4" s="71" t="s">
        <v>73</v>
      </c>
      <c r="F4" s="72"/>
      <c r="G4" s="73" t="s">
        <v>3</v>
      </c>
      <c r="H4" s="73" t="s">
        <v>1</v>
      </c>
      <c r="I4" s="73" t="s">
        <v>53</v>
      </c>
      <c r="J4" s="73" t="s">
        <v>0</v>
      </c>
      <c r="K4" s="71" t="s">
        <v>5</v>
      </c>
      <c r="L4" s="72"/>
      <c r="M4" s="71" t="s">
        <v>73</v>
      </c>
      <c r="N4" s="72"/>
      <c r="O4" s="73" t="s">
        <v>3</v>
      </c>
      <c r="P4" s="73" t="s">
        <v>1</v>
      </c>
      <c r="Q4" s="73" t="s">
        <v>53</v>
      </c>
      <c r="R4" s="73" t="s">
        <v>0</v>
      </c>
      <c r="S4" s="71" t="s">
        <v>5</v>
      </c>
      <c r="T4" s="72"/>
      <c r="U4" s="71" t="s">
        <v>73</v>
      </c>
      <c r="V4" s="72"/>
      <c r="W4" s="73" t="s">
        <v>3</v>
      </c>
      <c r="X4" s="73" t="s">
        <v>1</v>
      </c>
      <c r="Y4" s="73" t="s">
        <v>53</v>
      </c>
      <c r="Z4" s="73" t="s">
        <v>0</v>
      </c>
      <c r="AA4" s="71" t="s">
        <v>5</v>
      </c>
      <c r="AB4" s="72"/>
      <c r="AC4" s="71" t="s">
        <v>73</v>
      </c>
      <c r="AD4" s="72"/>
      <c r="AE4" s="73" t="s">
        <v>3</v>
      </c>
      <c r="AF4" s="73" t="s">
        <v>1</v>
      </c>
      <c r="AG4" s="73" t="s">
        <v>53</v>
      </c>
      <c r="AH4" s="6"/>
      <c r="AI4" s="13"/>
      <c r="AJ4" s="13"/>
      <c r="AK4" s="13"/>
      <c r="AL4" s="13"/>
      <c r="AM4" s="15"/>
      <c r="AN4" s="13"/>
    </row>
    <row r="5" spans="1:42" ht="30" customHeight="1" x14ac:dyDescent="0.2">
      <c r="A5" s="70"/>
      <c r="B5" s="74"/>
      <c r="C5" s="4" t="s">
        <v>71</v>
      </c>
      <c r="D5" s="4" t="s">
        <v>72</v>
      </c>
      <c r="E5" s="4" t="s">
        <v>74</v>
      </c>
      <c r="F5" s="4" t="s">
        <v>75</v>
      </c>
      <c r="G5" s="74"/>
      <c r="H5" s="74"/>
      <c r="I5" s="74"/>
      <c r="J5" s="74"/>
      <c r="K5" s="4" t="s">
        <v>71</v>
      </c>
      <c r="L5" s="4" t="s">
        <v>72</v>
      </c>
      <c r="M5" s="4" t="s">
        <v>74</v>
      </c>
      <c r="N5" s="4" t="s">
        <v>75</v>
      </c>
      <c r="O5" s="74"/>
      <c r="P5" s="74"/>
      <c r="Q5" s="74"/>
      <c r="R5" s="74"/>
      <c r="S5" s="4" t="s">
        <v>71</v>
      </c>
      <c r="T5" s="4" t="s">
        <v>72</v>
      </c>
      <c r="U5" s="4" t="s">
        <v>74</v>
      </c>
      <c r="V5" s="4" t="s">
        <v>75</v>
      </c>
      <c r="W5" s="74"/>
      <c r="X5" s="74"/>
      <c r="Y5" s="74"/>
      <c r="Z5" s="74"/>
      <c r="AA5" s="4" t="s">
        <v>71</v>
      </c>
      <c r="AB5" s="4" t="s">
        <v>72</v>
      </c>
      <c r="AC5" s="4" t="s">
        <v>74</v>
      </c>
      <c r="AD5" s="4" t="s">
        <v>75</v>
      </c>
      <c r="AE5" s="74"/>
      <c r="AF5" s="74"/>
      <c r="AG5" s="74"/>
      <c r="AH5" s="4" t="s">
        <v>20</v>
      </c>
      <c r="AI5" s="4" t="s">
        <v>21</v>
      </c>
      <c r="AJ5" s="4" t="s">
        <v>22</v>
      </c>
      <c r="AK5" s="4" t="s">
        <v>21</v>
      </c>
      <c r="AL5" s="4" t="s">
        <v>22</v>
      </c>
      <c r="AM5" s="17" t="s">
        <v>23</v>
      </c>
      <c r="AN5" s="18" t="s">
        <v>20</v>
      </c>
    </row>
    <row r="6" spans="1:42" x14ac:dyDescent="0.2">
      <c r="A6" s="25" t="s">
        <v>47</v>
      </c>
      <c r="B6" s="4"/>
      <c r="C6" s="4"/>
      <c r="D6" s="4"/>
      <c r="E6" s="4"/>
      <c r="F6" s="4"/>
      <c r="G6" s="4"/>
      <c r="H6" s="4"/>
      <c r="I6" s="36"/>
      <c r="J6" s="36"/>
      <c r="K6" s="36"/>
      <c r="L6" s="36"/>
      <c r="M6" s="36"/>
      <c r="N6" s="36"/>
      <c r="O6" s="4"/>
      <c r="P6" s="16"/>
      <c r="Q6" s="36"/>
      <c r="R6" s="4"/>
      <c r="S6" s="4"/>
      <c r="T6" s="4"/>
      <c r="U6" s="4"/>
      <c r="V6" s="4"/>
      <c r="W6" s="4"/>
      <c r="X6" s="4"/>
      <c r="Y6" s="36"/>
      <c r="Z6" s="36"/>
      <c r="AA6" s="36"/>
      <c r="AB6" s="36"/>
      <c r="AC6" s="36"/>
      <c r="AD6" s="36"/>
      <c r="AE6" s="4"/>
      <c r="AF6" s="16"/>
      <c r="AG6" s="36"/>
      <c r="AH6" s="4"/>
      <c r="AI6" s="4"/>
      <c r="AJ6" s="4"/>
      <c r="AK6" s="4"/>
      <c r="AL6" s="4"/>
      <c r="AM6" s="17"/>
      <c r="AN6" s="18"/>
    </row>
    <row r="7" spans="1:42" x14ac:dyDescent="0.2">
      <c r="A7" s="6"/>
      <c r="B7" s="4"/>
      <c r="C7" s="4"/>
      <c r="D7" s="4"/>
      <c r="E7" s="4"/>
      <c r="F7" s="4"/>
      <c r="G7" s="4"/>
      <c r="H7" s="4"/>
      <c r="I7" s="36"/>
      <c r="J7" s="36"/>
      <c r="K7" s="36"/>
      <c r="L7" s="36"/>
      <c r="M7" s="36"/>
      <c r="N7" s="36"/>
      <c r="O7" s="4"/>
      <c r="P7" s="16"/>
      <c r="Q7" s="36"/>
      <c r="R7" s="4"/>
      <c r="S7" s="4"/>
      <c r="T7" s="4"/>
      <c r="U7" s="4"/>
      <c r="V7" s="4"/>
      <c r="W7" s="4"/>
      <c r="X7" s="4"/>
      <c r="Y7" s="36"/>
      <c r="Z7" s="36"/>
      <c r="AA7" s="36"/>
      <c r="AB7" s="36"/>
      <c r="AC7" s="36"/>
      <c r="AD7" s="36"/>
      <c r="AE7" s="4"/>
      <c r="AF7" s="16"/>
      <c r="AG7" s="36"/>
      <c r="AH7" s="4"/>
      <c r="AI7" s="4"/>
      <c r="AJ7" s="4"/>
      <c r="AK7" s="4"/>
      <c r="AL7" s="4"/>
      <c r="AM7" s="17"/>
      <c r="AN7" s="18"/>
    </row>
    <row r="8" spans="1:42" x14ac:dyDescent="0.2">
      <c r="A8" s="19" t="s">
        <v>48</v>
      </c>
      <c r="B8" s="2">
        <v>3899334094</v>
      </c>
      <c r="C8" s="2">
        <f>3856425269-D8</f>
        <v>3543323869</v>
      </c>
      <c r="D8" s="2">
        <f>D40</f>
        <v>313101400</v>
      </c>
      <c r="E8" s="2"/>
      <c r="F8" s="2"/>
      <c r="G8" s="2">
        <f>(B8-C8-D8)</f>
        <v>42908825</v>
      </c>
      <c r="H8" s="3">
        <f>(B8-C8-D8)*100/(B8-E8-F8)</f>
        <v>1.100414172410229</v>
      </c>
      <c r="I8" s="3">
        <f>ROUND(G8*100/(B$41),2)</f>
        <v>0.89</v>
      </c>
      <c r="J8" s="2">
        <v>36501589720</v>
      </c>
      <c r="K8" s="2">
        <f>36057500034-L8</f>
        <v>32851976834</v>
      </c>
      <c r="L8" s="2">
        <f>L40</f>
        <v>3205523200</v>
      </c>
      <c r="M8" s="2"/>
      <c r="N8" s="2"/>
      <c r="O8" s="2">
        <f>(J8-K8-L8)</f>
        <v>444089686</v>
      </c>
      <c r="P8" s="3">
        <f>(J8-K8-L8)*100/(J8-M8-N8)</f>
        <v>1.2166310821160586</v>
      </c>
      <c r="Q8" s="3">
        <f>ROUND(O8*100/(J$41),2)</f>
        <v>0.99</v>
      </c>
      <c r="R8" s="2">
        <v>3538789688</v>
      </c>
      <c r="S8" s="2">
        <v>3489955013</v>
      </c>
      <c r="T8" s="2">
        <v>0</v>
      </c>
      <c r="U8" s="2">
        <v>0</v>
      </c>
      <c r="V8" s="2">
        <v>0</v>
      </c>
      <c r="W8" s="2">
        <f>(R8-S8-T8)</f>
        <v>48834675</v>
      </c>
      <c r="X8" s="3">
        <f>(R8-S8-T8)*100/(R8-U8-V8)</f>
        <v>1.3799824037466224</v>
      </c>
      <c r="Y8" s="3">
        <f>W8*100/(R$41)</f>
        <v>1.1084052303425014</v>
      </c>
      <c r="Z8" s="2">
        <v>32648174474</v>
      </c>
      <c r="AA8" s="2">
        <v>32226884728</v>
      </c>
      <c r="AB8" s="2">
        <v>0</v>
      </c>
      <c r="AC8" s="2">
        <v>0</v>
      </c>
      <c r="AD8" s="2">
        <v>0</v>
      </c>
      <c r="AE8" s="2">
        <f>(Z8-AA8-AB8)</f>
        <v>421289746</v>
      </c>
      <c r="AF8" s="3">
        <f>(Z8-AA8-AB8)*100/(Z8-AC8-AD8)</f>
        <v>1.2903929631211146</v>
      </c>
      <c r="AG8" s="3">
        <f>AE8*100/(Z$41)</f>
        <v>1.0360484125722043</v>
      </c>
      <c r="AH8" s="22">
        <v>1.24</v>
      </c>
      <c r="AI8" s="3">
        <f>H8-AH8</f>
        <v>-0.13958582758977101</v>
      </c>
      <c r="AJ8" s="3">
        <f>H8-X8</f>
        <v>-0.27956823133639341</v>
      </c>
      <c r="AK8" s="3">
        <f>P8-AH8</f>
        <v>-2.3368917883941354E-2</v>
      </c>
      <c r="AL8" s="3">
        <f>P8-AF8</f>
        <v>-7.3761881005055985E-2</v>
      </c>
      <c r="AM8" s="20"/>
      <c r="AN8" s="22"/>
      <c r="AP8" s="12"/>
    </row>
    <row r="9" spans="1:42" s="47" customFormat="1" x14ac:dyDescent="0.2">
      <c r="A9" s="41" t="s">
        <v>44</v>
      </c>
      <c r="B9" s="42">
        <v>965041536</v>
      </c>
      <c r="C9" s="42">
        <f>961069700-D9</f>
        <v>716688700</v>
      </c>
      <c r="D9" s="2">
        <v>244381000</v>
      </c>
      <c r="E9" s="42"/>
      <c r="F9" s="42">
        <v>4400</v>
      </c>
      <c r="G9" s="42">
        <f>(B9-C9-D9)</f>
        <v>3971836</v>
      </c>
      <c r="H9" s="43">
        <f>(B9-C9-D9)*100/(B9-E9-F9)</f>
        <v>0.41157338425989859</v>
      </c>
      <c r="I9" s="43">
        <f>ROUND(G9*100/(B$41),2)</f>
        <v>0.08</v>
      </c>
      <c r="J9" s="42">
        <v>9165656727</v>
      </c>
      <c r="K9" s="42">
        <f>9134961871-L9</f>
        <v>6773706731</v>
      </c>
      <c r="L9" s="42">
        <v>2361255140</v>
      </c>
      <c r="M9" s="42"/>
      <c r="N9" s="42">
        <v>2325900</v>
      </c>
      <c r="O9" s="42">
        <f>(J9-K9-L9)</f>
        <v>30694856</v>
      </c>
      <c r="P9" s="43">
        <f>(J9-K9-L9)*100/(J9-M9-N9)</f>
        <v>0.33497487517919555</v>
      </c>
      <c r="Q9" s="43">
        <f>ROUND(O9*100/(J$41),2)</f>
        <v>7.0000000000000007E-2</v>
      </c>
      <c r="R9" s="42">
        <v>927021459</v>
      </c>
      <c r="S9" s="42">
        <v>921991663</v>
      </c>
      <c r="T9" s="42"/>
      <c r="U9" s="42"/>
      <c r="V9" s="42">
        <v>12400</v>
      </c>
      <c r="W9" s="42">
        <f>(R9-S9-T9)</f>
        <v>5029796</v>
      </c>
      <c r="X9" s="43">
        <f>(R9-S9-T9)*100/(R9-U9-V9)</f>
        <v>0.54258326293227732</v>
      </c>
      <c r="Y9" s="43">
        <f>W9*100/(R$41)</f>
        <v>0.11416175481777634</v>
      </c>
      <c r="Z9" s="42">
        <v>8655082844</v>
      </c>
      <c r="AA9" s="42">
        <v>8632249048</v>
      </c>
      <c r="AB9" s="42"/>
      <c r="AC9" s="42"/>
      <c r="AD9" s="42">
        <v>16697100</v>
      </c>
      <c r="AE9" s="42">
        <f>(Z9-AA9-AB9)</f>
        <v>22833796</v>
      </c>
      <c r="AF9" s="43">
        <f>(Z9-AA9-AB9)*100/(Z9-AC9-AD9)</f>
        <v>0.26432943233473644</v>
      </c>
      <c r="AG9" s="43">
        <f>AE9*100/(Z$41)</f>
        <v>5.6153557791073193E-2</v>
      </c>
      <c r="AH9" s="44"/>
      <c r="AI9" s="24"/>
      <c r="AJ9" s="24"/>
      <c r="AK9" s="24"/>
      <c r="AL9" s="24"/>
      <c r="AM9" s="45"/>
      <c r="AN9" s="46"/>
      <c r="AP9" s="48"/>
    </row>
    <row r="10" spans="1:42" s="39" customFormat="1" x14ac:dyDescent="0.2">
      <c r="A10" s="25" t="s">
        <v>69</v>
      </c>
      <c r="B10" s="8">
        <f>SUM(B8:B9)</f>
        <v>4864375630</v>
      </c>
      <c r="C10" s="8">
        <f>SUM(C8:C9)</f>
        <v>4260012569</v>
      </c>
      <c r="D10" s="8">
        <f>SUM(D8:D9)</f>
        <v>557482400</v>
      </c>
      <c r="E10" s="7">
        <f>71888100+5500</f>
        <v>71893600</v>
      </c>
      <c r="F10" s="63"/>
      <c r="G10" s="8">
        <f>SUM(G8:G9)</f>
        <v>46880661</v>
      </c>
      <c r="H10" s="5">
        <f>(B10-C10-D10)*100/(B10-E10-F10)</f>
        <v>0.97821255680326469</v>
      </c>
      <c r="I10" s="5">
        <f>I8+I9</f>
        <v>0.97</v>
      </c>
      <c r="J10" s="8">
        <f>SUM(J8:J9)</f>
        <v>45667246447</v>
      </c>
      <c r="K10" s="8">
        <f>SUM(K8:K9)</f>
        <v>39625683565</v>
      </c>
      <c r="L10" s="8">
        <f>SUM(L8:L9)</f>
        <v>5566778340</v>
      </c>
      <c r="M10" s="7">
        <f>721168927.6+123462700</f>
        <v>844631627.60000002</v>
      </c>
      <c r="N10" s="63">
        <f>SUM(N8:N9)</f>
        <v>2325900</v>
      </c>
      <c r="O10" s="8">
        <f>SUM(O8:O9)</f>
        <v>474784542</v>
      </c>
      <c r="P10" s="5">
        <f>(J10-K10-L10)*100/(J10-M10-N10)</f>
        <v>1.0593071875413422</v>
      </c>
      <c r="Q10" s="5">
        <f>Q8+Q9</f>
        <v>1.06</v>
      </c>
      <c r="R10" s="8">
        <f>SUM(R8:R9)</f>
        <v>4465811147</v>
      </c>
      <c r="S10" s="8">
        <f>SUM(S8:S9)</f>
        <v>4411946676</v>
      </c>
      <c r="T10" s="8"/>
      <c r="U10" s="7">
        <v>87084685</v>
      </c>
      <c r="V10" s="8">
        <f>SUM(V8:V9)</f>
        <v>12400</v>
      </c>
      <c r="W10" s="8">
        <f>SUM(W8:W9)</f>
        <v>53864471</v>
      </c>
      <c r="X10" s="5">
        <f>(R10-S10-T10)*100/(R10-U10-V10)</f>
        <v>1.2301436046590613</v>
      </c>
      <c r="Y10" s="5">
        <f>W10*100/(R$41)</f>
        <v>1.2225669851602776</v>
      </c>
      <c r="Z10" s="8">
        <f>SUM(Z8:Z9)</f>
        <v>41303257318</v>
      </c>
      <c r="AA10" s="8">
        <f>SUM(AA8:AA9)</f>
        <v>40859133776</v>
      </c>
      <c r="AB10" s="8">
        <f>SUM(AB8:AB9)</f>
        <v>0</v>
      </c>
      <c r="AC10" s="7">
        <v>847792081</v>
      </c>
      <c r="AD10" s="8">
        <f>SUM(AD8:AD9)</f>
        <v>16697100</v>
      </c>
      <c r="AE10" s="8">
        <f>SUM(AE8:AE9)</f>
        <v>444123542</v>
      </c>
      <c r="AF10" s="5">
        <f>(Z10-AA10-AB10)*100/(Z10-AC10-AD10)</f>
        <v>1.0982617979246583</v>
      </c>
      <c r="AG10" s="5">
        <f>AE10*100/(Z$41)</f>
        <v>1.0922019703632775</v>
      </c>
      <c r="AH10" s="38"/>
      <c r="AI10" s="5"/>
      <c r="AJ10" s="5"/>
      <c r="AK10" s="5"/>
      <c r="AL10" s="5"/>
      <c r="AM10" s="37"/>
      <c r="AN10" s="35"/>
      <c r="AP10" s="40"/>
    </row>
    <row r="11" spans="1:42" x14ac:dyDescent="0.2">
      <c r="A11" s="19"/>
      <c r="B11" s="2"/>
      <c r="C11" s="2"/>
      <c r="D11" s="2"/>
      <c r="E11" s="2"/>
      <c r="F11" s="2"/>
      <c r="G11" s="2"/>
      <c r="H11" s="3"/>
      <c r="I11" s="3"/>
      <c r="J11" s="20"/>
      <c r="K11" s="20"/>
      <c r="L11" s="20"/>
      <c r="M11" s="20"/>
      <c r="N11" s="20"/>
      <c r="O11" s="2"/>
      <c r="P11" s="3"/>
      <c r="Q11" s="3"/>
      <c r="R11" s="2"/>
      <c r="S11" s="2"/>
      <c r="T11" s="2"/>
      <c r="U11" s="2"/>
      <c r="V11" s="2"/>
      <c r="W11" s="2"/>
      <c r="X11" s="3"/>
      <c r="Y11" s="3"/>
      <c r="Z11" s="20"/>
      <c r="AA11" s="20"/>
      <c r="AB11" s="20"/>
      <c r="AC11" s="20"/>
      <c r="AD11" s="20"/>
      <c r="AE11" s="2"/>
      <c r="AF11" s="3"/>
      <c r="AG11" s="3"/>
      <c r="AH11" s="21"/>
      <c r="AI11" s="3"/>
      <c r="AJ11" s="3"/>
      <c r="AK11" s="3"/>
      <c r="AL11" s="3"/>
      <c r="AM11" s="20"/>
      <c r="AN11" s="22"/>
      <c r="AP11" s="12"/>
    </row>
    <row r="12" spans="1:42" x14ac:dyDescent="0.2">
      <c r="A12" s="25" t="s">
        <v>50</v>
      </c>
      <c r="B12" s="2"/>
      <c r="C12" s="2"/>
      <c r="D12" s="2"/>
      <c r="E12" s="2"/>
      <c r="F12" s="2"/>
      <c r="G12" s="2"/>
      <c r="H12" s="3"/>
      <c r="I12" s="3"/>
      <c r="J12" s="20"/>
      <c r="K12" s="20"/>
      <c r="L12" s="20"/>
      <c r="M12" s="20"/>
      <c r="N12" s="20"/>
      <c r="O12" s="2"/>
      <c r="P12" s="3"/>
      <c r="Q12" s="3"/>
      <c r="R12" s="2"/>
      <c r="S12" s="2"/>
      <c r="T12" s="2"/>
      <c r="U12" s="2"/>
      <c r="V12" s="2"/>
      <c r="W12" s="2"/>
      <c r="X12" s="3"/>
      <c r="Y12" s="3"/>
      <c r="Z12" s="20"/>
      <c r="AA12" s="20"/>
      <c r="AB12" s="20"/>
      <c r="AC12" s="20"/>
      <c r="AD12" s="20"/>
      <c r="AE12" s="2"/>
      <c r="AF12" s="3"/>
      <c r="AG12" s="3"/>
      <c r="AH12" s="21"/>
      <c r="AI12" s="3"/>
      <c r="AJ12" s="3"/>
      <c r="AK12" s="3"/>
      <c r="AL12" s="3"/>
      <c r="AM12" s="20"/>
      <c r="AN12" s="22"/>
      <c r="AP12" s="12"/>
    </row>
    <row r="13" spans="1:42" x14ac:dyDescent="0.2">
      <c r="A13" s="19"/>
      <c r="B13" s="2"/>
      <c r="C13" s="2"/>
      <c r="D13" s="2"/>
      <c r="E13" s="2"/>
      <c r="F13" s="2"/>
      <c r="G13" s="2"/>
      <c r="H13" s="3"/>
      <c r="I13" s="3"/>
      <c r="J13" s="20"/>
      <c r="K13" s="20"/>
      <c r="L13" s="20"/>
      <c r="M13" s="20"/>
      <c r="N13" s="20"/>
      <c r="O13" s="2"/>
      <c r="P13" s="3"/>
      <c r="Q13" s="3"/>
      <c r="R13" s="2"/>
      <c r="S13" s="2"/>
      <c r="T13" s="2"/>
      <c r="U13" s="2"/>
      <c r="V13" s="2"/>
      <c r="W13" s="2"/>
      <c r="X13" s="3"/>
      <c r="Y13" s="3"/>
      <c r="Z13" s="20"/>
      <c r="AA13" s="20"/>
      <c r="AB13" s="20"/>
      <c r="AC13" s="20"/>
      <c r="AD13" s="20"/>
      <c r="AE13" s="2"/>
      <c r="AF13" s="3"/>
      <c r="AG13" s="3"/>
      <c r="AH13" s="21"/>
      <c r="AI13" s="3"/>
      <c r="AJ13" s="3"/>
      <c r="AK13" s="3"/>
      <c r="AL13" s="3"/>
      <c r="AM13" s="20"/>
      <c r="AN13" s="22"/>
      <c r="AP13" s="12"/>
    </row>
    <row r="14" spans="1:42" x14ac:dyDescent="0.2">
      <c r="A14" s="19" t="s">
        <v>24</v>
      </c>
      <c r="B14" s="2">
        <v>110549220</v>
      </c>
      <c r="C14" s="2">
        <v>5790032</v>
      </c>
      <c r="D14" s="2">
        <v>95304057</v>
      </c>
      <c r="E14" s="2">
        <v>133800</v>
      </c>
      <c r="F14" s="2">
        <v>0</v>
      </c>
      <c r="G14" s="2">
        <v>9455131</v>
      </c>
      <c r="H14" s="3">
        <v>8.56</v>
      </c>
      <c r="I14" s="3"/>
      <c r="J14" s="20">
        <v>1053604105</v>
      </c>
      <c r="K14" s="20">
        <v>58140941</v>
      </c>
      <c r="L14" s="20">
        <v>938304898</v>
      </c>
      <c r="M14" s="20">
        <v>1134100</v>
      </c>
      <c r="N14" s="20">
        <v>0</v>
      </c>
      <c r="O14" s="2">
        <v>57158266</v>
      </c>
      <c r="P14" s="3">
        <v>5.43</v>
      </c>
      <c r="Q14" s="3"/>
      <c r="R14" s="2">
        <v>94485180</v>
      </c>
      <c r="S14" s="2">
        <v>4413516</v>
      </c>
      <c r="T14" s="2">
        <v>81788768</v>
      </c>
      <c r="U14" s="2">
        <v>800</v>
      </c>
      <c r="V14" s="2">
        <v>0</v>
      </c>
      <c r="W14" s="2">
        <v>8282896</v>
      </c>
      <c r="X14" s="3">
        <v>8.7699999999999907</v>
      </c>
      <c r="Y14" s="3"/>
      <c r="Z14" s="20">
        <v>902318550</v>
      </c>
      <c r="AA14" s="20">
        <v>42255852</v>
      </c>
      <c r="AB14" s="20">
        <v>803606620</v>
      </c>
      <c r="AC14" s="20">
        <v>709900</v>
      </c>
      <c r="AD14" s="20">
        <v>0</v>
      </c>
      <c r="AE14" s="2">
        <v>56456078</v>
      </c>
      <c r="AF14" s="3">
        <v>6.25999999999999</v>
      </c>
      <c r="AG14" s="3"/>
      <c r="AH14" s="21">
        <v>6.95</v>
      </c>
      <c r="AI14" s="3">
        <f t="shared" ref="AI14:AI33" si="0">H14-AH14</f>
        <v>1.6100000000000003</v>
      </c>
      <c r="AJ14" s="3">
        <f t="shared" ref="AJ14:AJ33" si="1">H14-X14</f>
        <v>-0.20999999999999019</v>
      </c>
      <c r="AK14" s="3">
        <f t="shared" ref="AK14:AK35" si="2">P14-AH14</f>
        <v>-1.5200000000000005</v>
      </c>
      <c r="AL14" s="3">
        <f t="shared" ref="AL14:AL33" si="3">P14-AF14</f>
        <v>-0.8299999999999903</v>
      </c>
      <c r="AM14" s="20" t="e">
        <f>#REF!-#REF!</f>
        <v>#REF!</v>
      </c>
      <c r="AN14" s="3" t="e">
        <f>AM14*100/#REF!</f>
        <v>#REF!</v>
      </c>
      <c r="AP14" s="12"/>
    </row>
    <row r="15" spans="1:42" x14ac:dyDescent="0.2">
      <c r="A15" s="19" t="s">
        <v>25</v>
      </c>
      <c r="B15" s="2">
        <v>174648384</v>
      </c>
      <c r="C15" s="2">
        <v>57633</v>
      </c>
      <c r="D15" s="2">
        <v>152695722</v>
      </c>
      <c r="E15" s="2">
        <v>59800</v>
      </c>
      <c r="F15" s="2">
        <v>0</v>
      </c>
      <c r="G15" s="2">
        <v>21895029</v>
      </c>
      <c r="H15" s="3">
        <v>12.54</v>
      </c>
      <c r="I15" s="3"/>
      <c r="J15" s="20">
        <v>1518896650</v>
      </c>
      <c r="K15" s="20">
        <v>526398</v>
      </c>
      <c r="L15" s="20">
        <v>1405602171</v>
      </c>
      <c r="M15" s="20">
        <v>262600</v>
      </c>
      <c r="N15" s="20">
        <v>0</v>
      </c>
      <c r="O15" s="2">
        <v>112768081</v>
      </c>
      <c r="P15" s="3">
        <v>7.43</v>
      </c>
      <c r="Q15" s="3"/>
      <c r="R15" s="2">
        <v>172289487</v>
      </c>
      <c r="S15" s="2">
        <v>50027</v>
      </c>
      <c r="T15" s="2">
        <v>149258923</v>
      </c>
      <c r="U15" s="2">
        <v>0</v>
      </c>
      <c r="V15" s="2">
        <v>0</v>
      </c>
      <c r="W15" s="2">
        <v>22980537</v>
      </c>
      <c r="X15" s="3">
        <v>13.34</v>
      </c>
      <c r="Y15" s="3"/>
      <c r="Z15" s="20">
        <v>1361900987</v>
      </c>
      <c r="AA15" s="20">
        <v>494957</v>
      </c>
      <c r="AB15" s="20">
        <v>1264424131</v>
      </c>
      <c r="AC15" s="20">
        <v>0</v>
      </c>
      <c r="AD15" s="20">
        <v>0</v>
      </c>
      <c r="AE15" s="2">
        <v>96981899</v>
      </c>
      <c r="AF15" s="3">
        <v>7.12</v>
      </c>
      <c r="AG15" s="3"/>
      <c r="AH15" s="23">
        <v>6.75</v>
      </c>
      <c r="AI15" s="3">
        <f t="shared" si="0"/>
        <v>5.7899999999999991</v>
      </c>
      <c r="AJ15" s="3">
        <f t="shared" si="1"/>
        <v>-0.80000000000000071</v>
      </c>
      <c r="AK15" s="3">
        <f t="shared" si="2"/>
        <v>0.67999999999999972</v>
      </c>
      <c r="AL15" s="3">
        <f t="shared" si="3"/>
        <v>0.30999999999999961</v>
      </c>
      <c r="AM15" s="20" t="e">
        <f>#REF!-#REF!</f>
        <v>#REF!</v>
      </c>
      <c r="AN15" s="3" t="e">
        <f>AM15*100/#REF!</f>
        <v>#REF!</v>
      </c>
      <c r="AP15" s="12"/>
    </row>
    <row r="16" spans="1:42" x14ac:dyDescent="0.2">
      <c r="A16" s="19" t="s">
        <v>26</v>
      </c>
      <c r="B16" s="2">
        <v>84640422</v>
      </c>
      <c r="C16" s="2">
        <v>3104726</v>
      </c>
      <c r="D16" s="2">
        <v>71523008</v>
      </c>
      <c r="E16" s="2">
        <v>4200</v>
      </c>
      <c r="F16" s="2">
        <v>13402</v>
      </c>
      <c r="G16" s="2">
        <v>10012688</v>
      </c>
      <c r="H16" s="3">
        <v>11.83</v>
      </c>
      <c r="I16" s="3"/>
      <c r="J16" s="20">
        <v>830472532</v>
      </c>
      <c r="K16" s="20">
        <v>17749970</v>
      </c>
      <c r="L16" s="20">
        <v>759478958</v>
      </c>
      <c r="M16" s="20">
        <v>528319</v>
      </c>
      <c r="N16" s="20">
        <v>130811</v>
      </c>
      <c r="O16" s="2">
        <v>53243604</v>
      </c>
      <c r="P16" s="3">
        <v>6.42</v>
      </c>
      <c r="Q16" s="3"/>
      <c r="R16" s="2">
        <v>77658536</v>
      </c>
      <c r="S16" s="2">
        <v>2342216</v>
      </c>
      <c r="T16" s="2">
        <v>66158097</v>
      </c>
      <c r="U16" s="2">
        <v>2300</v>
      </c>
      <c r="V16" s="2">
        <v>1369</v>
      </c>
      <c r="W16" s="2">
        <v>9158223</v>
      </c>
      <c r="X16" s="3">
        <v>11.7899999999999</v>
      </c>
      <c r="Y16" s="3"/>
      <c r="Z16" s="20">
        <v>763516343</v>
      </c>
      <c r="AA16" s="20">
        <v>21419841</v>
      </c>
      <c r="AB16" s="20">
        <v>689260684</v>
      </c>
      <c r="AC16" s="20">
        <v>507200</v>
      </c>
      <c r="AD16" s="20">
        <v>12791</v>
      </c>
      <c r="AE16" s="2">
        <v>52835818</v>
      </c>
      <c r="AF16" s="3">
        <v>6.9199999999999902</v>
      </c>
      <c r="AG16" s="3"/>
      <c r="AH16" s="23">
        <v>7.1</v>
      </c>
      <c r="AI16" s="3">
        <f t="shared" si="0"/>
        <v>4.7300000000000004</v>
      </c>
      <c r="AJ16" s="3">
        <f t="shared" si="1"/>
        <v>4.00000000001004E-2</v>
      </c>
      <c r="AK16" s="3">
        <f t="shared" si="2"/>
        <v>-0.67999999999999972</v>
      </c>
      <c r="AL16" s="3">
        <f t="shared" si="3"/>
        <v>-0.49999999999999023</v>
      </c>
      <c r="AM16" s="20" t="e">
        <f>#REF!-#REF!</f>
        <v>#REF!</v>
      </c>
      <c r="AN16" s="3" t="e">
        <f>AM16*100/#REF!</f>
        <v>#REF!</v>
      </c>
      <c r="AP16" s="12"/>
    </row>
    <row r="17" spans="1:42" x14ac:dyDescent="0.2">
      <c r="A17" s="19" t="s">
        <v>27</v>
      </c>
      <c r="B17" s="2">
        <v>755121656</v>
      </c>
      <c r="C17" s="2">
        <v>3658496</v>
      </c>
      <c r="D17" s="2">
        <v>694192505</v>
      </c>
      <c r="E17" s="2">
        <v>0</v>
      </c>
      <c r="F17" s="2">
        <v>11195</v>
      </c>
      <c r="G17" s="2">
        <v>57270655</v>
      </c>
      <c r="H17" s="3">
        <v>7.58</v>
      </c>
      <c r="I17" s="3"/>
      <c r="J17" s="20">
        <v>6839448032</v>
      </c>
      <c r="K17" s="20">
        <v>33455328</v>
      </c>
      <c r="L17" s="20">
        <v>6563667714</v>
      </c>
      <c r="M17" s="20">
        <v>0</v>
      </c>
      <c r="N17" s="20">
        <v>352729</v>
      </c>
      <c r="O17" s="2">
        <v>242324990</v>
      </c>
      <c r="P17" s="3">
        <v>3.54</v>
      </c>
      <c r="Q17" s="3"/>
      <c r="R17" s="2">
        <v>679518631</v>
      </c>
      <c r="S17" s="2">
        <v>2571768</v>
      </c>
      <c r="T17" s="2">
        <v>647149379</v>
      </c>
      <c r="U17" s="2">
        <v>0</v>
      </c>
      <c r="V17" s="2">
        <v>42566</v>
      </c>
      <c r="W17" s="2">
        <v>29797484</v>
      </c>
      <c r="X17" s="3">
        <v>4.3899999999999899</v>
      </c>
      <c r="Y17" s="3"/>
      <c r="Z17" s="20">
        <v>6064443903</v>
      </c>
      <c r="AA17" s="20">
        <v>18763614</v>
      </c>
      <c r="AB17" s="20">
        <v>5834107039</v>
      </c>
      <c r="AC17" s="20">
        <v>0</v>
      </c>
      <c r="AD17" s="20">
        <v>345478</v>
      </c>
      <c r="AE17" s="2">
        <v>211573250</v>
      </c>
      <c r="AF17" s="3">
        <v>3.49</v>
      </c>
      <c r="AG17" s="3"/>
      <c r="AH17" s="23">
        <v>3.71</v>
      </c>
      <c r="AI17" s="3">
        <f t="shared" si="0"/>
        <v>3.87</v>
      </c>
      <c r="AJ17" s="3">
        <f t="shared" si="1"/>
        <v>3.1900000000000102</v>
      </c>
      <c r="AK17" s="3">
        <f t="shared" si="2"/>
        <v>-0.16999999999999993</v>
      </c>
      <c r="AL17" s="3">
        <f t="shared" si="3"/>
        <v>4.9999999999999822E-2</v>
      </c>
      <c r="AM17" s="20" t="e">
        <f>#REF!-#REF!</f>
        <v>#REF!</v>
      </c>
      <c r="AN17" s="3" t="e">
        <f>AM17*100/#REF!</f>
        <v>#REF!</v>
      </c>
      <c r="AP17" s="12"/>
    </row>
    <row r="18" spans="1:42" x14ac:dyDescent="0.2">
      <c r="A18" s="19" t="s">
        <v>28</v>
      </c>
      <c r="B18" s="2">
        <v>229941500</v>
      </c>
      <c r="C18" s="2">
        <v>15299480</v>
      </c>
      <c r="D18" s="2">
        <v>195863144</v>
      </c>
      <c r="E18" s="2">
        <v>139600</v>
      </c>
      <c r="F18" s="2">
        <v>0</v>
      </c>
      <c r="G18" s="2">
        <v>18778876</v>
      </c>
      <c r="H18" s="3">
        <v>8.17</v>
      </c>
      <c r="I18" s="3"/>
      <c r="J18" s="20">
        <v>2089240000</v>
      </c>
      <c r="K18" s="20">
        <v>153114845</v>
      </c>
      <c r="L18" s="20">
        <v>1821883488</v>
      </c>
      <c r="M18" s="20">
        <v>195800</v>
      </c>
      <c r="N18" s="20">
        <v>0</v>
      </c>
      <c r="O18" s="2">
        <v>114241667</v>
      </c>
      <c r="P18" s="3">
        <v>5.47</v>
      </c>
      <c r="Q18" s="3"/>
      <c r="R18" s="2">
        <v>186436300</v>
      </c>
      <c r="S18" s="2">
        <v>13580970</v>
      </c>
      <c r="T18" s="2">
        <v>159353215</v>
      </c>
      <c r="U18" s="2">
        <v>118000</v>
      </c>
      <c r="V18" s="2">
        <v>0</v>
      </c>
      <c r="W18" s="2">
        <v>13502115</v>
      </c>
      <c r="X18" s="3">
        <v>7.25</v>
      </c>
      <c r="Y18" s="3"/>
      <c r="Z18" s="20">
        <v>1664817200</v>
      </c>
      <c r="AA18" s="20">
        <v>140684464</v>
      </c>
      <c r="AB18" s="20">
        <v>1424038746</v>
      </c>
      <c r="AC18" s="20">
        <v>161400</v>
      </c>
      <c r="AD18" s="20">
        <v>0</v>
      </c>
      <c r="AE18" s="2">
        <v>100093990</v>
      </c>
      <c r="AF18" s="3">
        <v>6.00999999999999</v>
      </c>
      <c r="AG18" s="3"/>
      <c r="AH18" s="23">
        <v>5.85</v>
      </c>
      <c r="AI18" s="3">
        <f t="shared" si="0"/>
        <v>2.3200000000000003</v>
      </c>
      <c r="AJ18" s="3">
        <f t="shared" si="1"/>
        <v>0.91999999999999993</v>
      </c>
      <c r="AK18" s="3">
        <f t="shared" si="2"/>
        <v>-0.37999999999999989</v>
      </c>
      <c r="AL18" s="3">
        <f t="shared" si="3"/>
        <v>-0.53999999999999027</v>
      </c>
      <c r="AM18" s="20" t="e">
        <f>#REF!-#REF!</f>
        <v>#REF!</v>
      </c>
      <c r="AN18" s="3" t="e">
        <f>AM18*100/#REF!</f>
        <v>#REF!</v>
      </c>
      <c r="AP18" s="12"/>
    </row>
    <row r="19" spans="1:42" x14ac:dyDescent="0.2">
      <c r="A19" s="19" t="s">
        <v>29</v>
      </c>
      <c r="B19" s="2">
        <v>317183249</v>
      </c>
      <c r="C19" s="2">
        <v>3662338</v>
      </c>
      <c r="D19" s="2">
        <v>287536404</v>
      </c>
      <c r="E19" s="2">
        <v>0</v>
      </c>
      <c r="F19" s="2">
        <v>7049</v>
      </c>
      <c r="G19" s="2">
        <v>25984507</v>
      </c>
      <c r="H19" s="3">
        <v>8.19</v>
      </c>
      <c r="I19" s="3"/>
      <c r="J19" s="20">
        <v>2873944468</v>
      </c>
      <c r="K19" s="20">
        <v>43078856</v>
      </c>
      <c r="L19" s="20">
        <v>2690913395</v>
      </c>
      <c r="M19" s="20">
        <v>0</v>
      </c>
      <c r="N19" s="20">
        <v>64968</v>
      </c>
      <c r="O19" s="2">
        <v>139952217</v>
      </c>
      <c r="P19" s="3">
        <v>4.87</v>
      </c>
      <c r="Q19" s="3"/>
      <c r="R19" s="2">
        <v>271874266</v>
      </c>
      <c r="S19" s="2">
        <v>3956803</v>
      </c>
      <c r="T19" s="2">
        <v>255950095</v>
      </c>
      <c r="U19" s="2">
        <v>0</v>
      </c>
      <c r="V19" s="2">
        <v>6166</v>
      </c>
      <c r="W19" s="2">
        <v>11967368</v>
      </c>
      <c r="X19" s="3">
        <v>4.4000000000000004</v>
      </c>
      <c r="Y19" s="3"/>
      <c r="Z19" s="20">
        <v>2521016303</v>
      </c>
      <c r="AA19" s="20">
        <v>39978993</v>
      </c>
      <c r="AB19" s="20">
        <v>2358577247</v>
      </c>
      <c r="AC19" s="20">
        <v>0</v>
      </c>
      <c r="AD19" s="20">
        <v>62703</v>
      </c>
      <c r="AE19" s="2">
        <v>122460063</v>
      </c>
      <c r="AF19" s="3">
        <v>4.8600000000000003</v>
      </c>
      <c r="AG19" s="3"/>
      <c r="AH19" s="23">
        <v>4.58</v>
      </c>
      <c r="AI19" s="3">
        <f t="shared" si="0"/>
        <v>3.6099999999999994</v>
      </c>
      <c r="AJ19" s="3">
        <f t="shared" si="1"/>
        <v>3.7899999999999991</v>
      </c>
      <c r="AK19" s="3">
        <f t="shared" si="2"/>
        <v>0.29000000000000004</v>
      </c>
      <c r="AL19" s="3">
        <f t="shared" si="3"/>
        <v>9.9999999999997868E-3</v>
      </c>
      <c r="AM19" s="20" t="e">
        <f>#REF!-#REF!</f>
        <v>#REF!</v>
      </c>
      <c r="AN19" s="3" t="e">
        <f>AM19*100/#REF!</f>
        <v>#REF!</v>
      </c>
      <c r="AP19" s="12"/>
    </row>
    <row r="20" spans="1:42" x14ac:dyDescent="0.2">
      <c r="A20" s="19" t="s">
        <v>30</v>
      </c>
      <c r="B20" s="2">
        <v>179903903</v>
      </c>
      <c r="C20" s="2">
        <v>14513373</v>
      </c>
      <c r="D20" s="2">
        <v>153807430</v>
      </c>
      <c r="E20" s="2">
        <v>0</v>
      </c>
      <c r="F20" s="2">
        <v>0</v>
      </c>
      <c r="G20" s="2">
        <v>11583100</v>
      </c>
      <c r="H20" s="3">
        <v>6.44</v>
      </c>
      <c r="I20" s="3"/>
      <c r="J20" s="20">
        <v>1786643135</v>
      </c>
      <c r="K20" s="20">
        <v>157140994</v>
      </c>
      <c r="L20" s="20">
        <v>1552114347</v>
      </c>
      <c r="M20" s="20">
        <v>0</v>
      </c>
      <c r="N20" s="20">
        <v>0</v>
      </c>
      <c r="O20" s="2">
        <v>77387794</v>
      </c>
      <c r="P20" s="3">
        <v>4.33</v>
      </c>
      <c r="Q20" s="3"/>
      <c r="R20" s="2">
        <v>154662333</v>
      </c>
      <c r="S20" s="2">
        <v>12188175</v>
      </c>
      <c r="T20" s="2">
        <v>134121107</v>
      </c>
      <c r="U20" s="2">
        <v>0</v>
      </c>
      <c r="V20" s="2">
        <v>0</v>
      </c>
      <c r="W20" s="2">
        <v>8353051</v>
      </c>
      <c r="X20" s="3">
        <v>5.4</v>
      </c>
      <c r="Y20" s="3"/>
      <c r="Z20" s="20">
        <v>1627656995</v>
      </c>
      <c r="AA20" s="20">
        <v>150366694</v>
      </c>
      <c r="AB20" s="20">
        <v>1409002248</v>
      </c>
      <c r="AC20" s="20">
        <v>0</v>
      </c>
      <c r="AD20" s="20">
        <v>0</v>
      </c>
      <c r="AE20" s="2">
        <v>68288053</v>
      </c>
      <c r="AF20" s="3">
        <v>4.2</v>
      </c>
      <c r="AG20" s="3"/>
      <c r="AH20" s="23">
        <v>6.05</v>
      </c>
      <c r="AI20" s="3">
        <f t="shared" si="0"/>
        <v>0.39000000000000057</v>
      </c>
      <c r="AJ20" s="3">
        <f t="shared" si="1"/>
        <v>1.04</v>
      </c>
      <c r="AK20" s="3">
        <f t="shared" si="2"/>
        <v>-1.7199999999999998</v>
      </c>
      <c r="AL20" s="3">
        <f t="shared" si="3"/>
        <v>0.12999999999999989</v>
      </c>
      <c r="AM20" s="20" t="e">
        <f>#REF!-#REF!</f>
        <v>#REF!</v>
      </c>
      <c r="AN20" s="3" t="e">
        <f>AM20*100/#REF!</f>
        <v>#REF!</v>
      </c>
      <c r="AP20" s="12"/>
    </row>
    <row r="21" spans="1:42" x14ac:dyDescent="0.2">
      <c r="A21" s="19" t="s">
        <v>31</v>
      </c>
      <c r="B21" s="2">
        <v>196943900</v>
      </c>
      <c r="C21" s="2">
        <v>2044152</v>
      </c>
      <c r="D21" s="2">
        <v>177759649</v>
      </c>
      <c r="E21" s="2">
        <v>0</v>
      </c>
      <c r="F21" s="2">
        <v>0</v>
      </c>
      <c r="G21" s="2">
        <v>17140099</v>
      </c>
      <c r="H21" s="3">
        <v>8.6999999999999993</v>
      </c>
      <c r="I21" s="3"/>
      <c r="J21" s="20">
        <v>1890139500</v>
      </c>
      <c r="K21" s="20">
        <v>35104151</v>
      </c>
      <c r="L21" s="20">
        <v>1720158087</v>
      </c>
      <c r="M21" s="20">
        <v>0</v>
      </c>
      <c r="N21" s="20">
        <v>0</v>
      </c>
      <c r="O21" s="2">
        <v>134877262</v>
      </c>
      <c r="P21" s="3">
        <v>7.14</v>
      </c>
      <c r="Q21" s="3"/>
      <c r="R21" s="2">
        <v>179081031</v>
      </c>
      <c r="S21" s="2">
        <v>3044811</v>
      </c>
      <c r="T21" s="2">
        <v>159257873</v>
      </c>
      <c r="U21" s="2">
        <v>0</v>
      </c>
      <c r="V21" s="2">
        <v>0</v>
      </c>
      <c r="W21" s="2">
        <v>16778347</v>
      </c>
      <c r="X21" s="3">
        <v>9.3699999999999903</v>
      </c>
      <c r="Y21" s="3"/>
      <c r="Z21" s="20">
        <v>1674713739</v>
      </c>
      <c r="AA21" s="20">
        <v>11544830</v>
      </c>
      <c r="AB21" s="20">
        <v>1533193616</v>
      </c>
      <c r="AC21" s="20">
        <v>0</v>
      </c>
      <c r="AD21" s="20">
        <v>0</v>
      </c>
      <c r="AE21" s="2">
        <v>129975293</v>
      </c>
      <c r="AF21" s="3">
        <v>7.75999999999999</v>
      </c>
      <c r="AG21" s="3"/>
      <c r="AH21" s="23">
        <v>7.5</v>
      </c>
      <c r="AI21" s="3">
        <f t="shared" si="0"/>
        <v>1.1999999999999993</v>
      </c>
      <c r="AJ21" s="3">
        <f t="shared" si="1"/>
        <v>-0.66999999999999105</v>
      </c>
      <c r="AK21" s="3">
        <f t="shared" si="2"/>
        <v>-0.36000000000000032</v>
      </c>
      <c r="AL21" s="3">
        <f t="shared" si="3"/>
        <v>-0.61999999999999034</v>
      </c>
      <c r="AM21" s="20" t="e">
        <f>#REF!-#REF!</f>
        <v>#REF!</v>
      </c>
      <c r="AN21" s="3" t="e">
        <f>AM21*100/#REF!</f>
        <v>#REF!</v>
      </c>
      <c r="AP21" s="12"/>
    </row>
    <row r="22" spans="1:42" x14ac:dyDescent="0.2">
      <c r="A22" s="19" t="s">
        <v>32</v>
      </c>
      <c r="B22" s="2">
        <v>102345800</v>
      </c>
      <c r="C22" s="2">
        <v>1053220</v>
      </c>
      <c r="D22" s="2">
        <v>92972524</v>
      </c>
      <c r="E22" s="2">
        <v>0</v>
      </c>
      <c r="F22" s="2">
        <v>0</v>
      </c>
      <c r="G22" s="2">
        <v>8320056</v>
      </c>
      <c r="H22" s="3">
        <v>8.1300000000000008</v>
      </c>
      <c r="I22" s="3"/>
      <c r="J22" s="20">
        <v>972630600</v>
      </c>
      <c r="K22" s="20">
        <v>14211710</v>
      </c>
      <c r="L22" s="20">
        <v>894683317</v>
      </c>
      <c r="M22" s="20">
        <v>0</v>
      </c>
      <c r="N22" s="20">
        <v>0</v>
      </c>
      <c r="O22" s="2">
        <v>63735573</v>
      </c>
      <c r="P22" s="3">
        <v>6.55</v>
      </c>
      <c r="Q22" s="3"/>
      <c r="R22" s="2">
        <v>96828104</v>
      </c>
      <c r="S22" s="2">
        <v>1051881</v>
      </c>
      <c r="T22" s="2">
        <v>86810277</v>
      </c>
      <c r="U22" s="2">
        <v>0</v>
      </c>
      <c r="V22" s="2">
        <v>0</v>
      </c>
      <c r="W22" s="2">
        <v>8965946</v>
      </c>
      <c r="X22" s="3">
        <v>9.2599999999999891</v>
      </c>
      <c r="Y22" s="3"/>
      <c r="Z22" s="20">
        <v>904862688</v>
      </c>
      <c r="AA22" s="20">
        <v>17559033</v>
      </c>
      <c r="AB22" s="20">
        <v>812496430</v>
      </c>
      <c r="AC22" s="20">
        <v>0</v>
      </c>
      <c r="AD22" s="20">
        <v>0</v>
      </c>
      <c r="AE22" s="2">
        <v>74807225</v>
      </c>
      <c r="AF22" s="3">
        <v>8.2699999999999907</v>
      </c>
      <c r="AG22" s="3"/>
      <c r="AH22" s="23">
        <v>7.8</v>
      </c>
      <c r="AI22" s="3">
        <f t="shared" si="0"/>
        <v>0.33000000000000096</v>
      </c>
      <c r="AJ22" s="3">
        <f t="shared" si="1"/>
        <v>-1.1299999999999883</v>
      </c>
      <c r="AK22" s="3">
        <f t="shared" si="2"/>
        <v>-1.25</v>
      </c>
      <c r="AL22" s="3">
        <f t="shared" si="3"/>
        <v>-1.7199999999999909</v>
      </c>
      <c r="AM22" s="20" t="e">
        <f>#REF!-#REF!</f>
        <v>#REF!</v>
      </c>
      <c r="AN22" s="3" t="e">
        <f>AM22*100/#REF!</f>
        <v>#REF!</v>
      </c>
      <c r="AP22" s="12"/>
    </row>
    <row r="23" spans="1:42" x14ac:dyDescent="0.2">
      <c r="A23" s="19" t="s">
        <v>33</v>
      </c>
      <c r="B23" s="2">
        <v>69291938</v>
      </c>
      <c r="C23" s="2">
        <v>1540437</v>
      </c>
      <c r="D23" s="2">
        <v>63107265</v>
      </c>
      <c r="E23" s="2">
        <v>0</v>
      </c>
      <c r="F23" s="2">
        <v>0</v>
      </c>
      <c r="G23" s="2">
        <v>4644236</v>
      </c>
      <c r="H23" s="3">
        <v>6.7</v>
      </c>
      <c r="I23" s="3"/>
      <c r="J23" s="20">
        <v>659746981</v>
      </c>
      <c r="K23" s="20">
        <v>16942214</v>
      </c>
      <c r="L23" s="20">
        <v>608682564</v>
      </c>
      <c r="M23" s="20">
        <v>0</v>
      </c>
      <c r="N23" s="20">
        <v>0</v>
      </c>
      <c r="O23" s="2">
        <v>34122203</v>
      </c>
      <c r="P23" s="3">
        <v>5.17</v>
      </c>
      <c r="Q23" s="3"/>
      <c r="R23" s="2">
        <v>62620857</v>
      </c>
      <c r="S23" s="2">
        <v>2198123</v>
      </c>
      <c r="T23" s="2">
        <v>55899943</v>
      </c>
      <c r="U23" s="2">
        <v>0</v>
      </c>
      <c r="V23" s="2">
        <v>0</v>
      </c>
      <c r="W23" s="2">
        <v>4522791</v>
      </c>
      <c r="X23" s="3">
        <v>7.21999999999999</v>
      </c>
      <c r="Y23" s="3"/>
      <c r="Z23" s="20">
        <v>618778467</v>
      </c>
      <c r="AA23" s="20">
        <v>52632748</v>
      </c>
      <c r="AB23" s="20">
        <v>537136365</v>
      </c>
      <c r="AC23" s="20">
        <v>0</v>
      </c>
      <c r="AD23" s="20">
        <v>0</v>
      </c>
      <c r="AE23" s="2">
        <v>29009354</v>
      </c>
      <c r="AF23" s="3">
        <v>4.6899999999999897</v>
      </c>
      <c r="AG23" s="3"/>
      <c r="AH23" s="23">
        <v>5</v>
      </c>
      <c r="AI23" s="3">
        <f t="shared" si="0"/>
        <v>1.7000000000000002</v>
      </c>
      <c r="AJ23" s="3">
        <f t="shared" si="1"/>
        <v>-0.5199999999999898</v>
      </c>
      <c r="AK23" s="3">
        <f t="shared" si="2"/>
        <v>0.16999999999999993</v>
      </c>
      <c r="AL23" s="3">
        <f t="shared" si="3"/>
        <v>0.4800000000000102</v>
      </c>
      <c r="AM23" s="20" t="e">
        <f>#REF!-#REF!</f>
        <v>#REF!</v>
      </c>
      <c r="AN23" s="3" t="e">
        <f>AM23*100/#REF!</f>
        <v>#REF!</v>
      </c>
      <c r="AP23" s="12"/>
    </row>
    <row r="24" spans="1:42" x14ac:dyDescent="0.2">
      <c r="A24" s="19" t="s">
        <v>34</v>
      </c>
      <c r="B24" s="2">
        <v>181325492</v>
      </c>
      <c r="C24" s="2">
        <v>9024698</v>
      </c>
      <c r="D24" s="2">
        <v>163766983</v>
      </c>
      <c r="E24" s="2">
        <v>2338500</v>
      </c>
      <c r="F24" s="2">
        <v>0</v>
      </c>
      <c r="G24" s="2">
        <v>8533811</v>
      </c>
      <c r="H24" s="3">
        <v>4.7699999999999996</v>
      </c>
      <c r="I24" s="3"/>
      <c r="J24" s="20">
        <v>1715051162</v>
      </c>
      <c r="K24" s="20">
        <v>84906779</v>
      </c>
      <c r="L24" s="20">
        <v>1545866129</v>
      </c>
      <c r="M24" s="20">
        <v>25790872</v>
      </c>
      <c r="N24" s="20">
        <v>0</v>
      </c>
      <c r="O24" s="2">
        <v>84278254</v>
      </c>
      <c r="P24" s="3">
        <v>4.99</v>
      </c>
      <c r="Q24" s="3"/>
      <c r="R24" s="2">
        <v>155732887</v>
      </c>
      <c r="S24" s="2">
        <v>8953348</v>
      </c>
      <c r="T24" s="2">
        <v>136871963</v>
      </c>
      <c r="U24" s="2">
        <v>1096550</v>
      </c>
      <c r="V24" s="2">
        <v>0</v>
      </c>
      <c r="W24" s="2">
        <v>9907576</v>
      </c>
      <c r="X24" s="3">
        <v>6.41</v>
      </c>
      <c r="Y24" s="3"/>
      <c r="Z24" s="20">
        <v>1537204805</v>
      </c>
      <c r="AA24" s="20">
        <v>85773529</v>
      </c>
      <c r="AB24" s="20">
        <v>1372694321</v>
      </c>
      <c r="AC24" s="20">
        <v>9652060</v>
      </c>
      <c r="AD24" s="20">
        <v>0</v>
      </c>
      <c r="AE24" s="2">
        <v>78736955</v>
      </c>
      <c r="AF24" s="3">
        <v>5.15</v>
      </c>
      <c r="AG24" s="3"/>
      <c r="AH24" s="23">
        <v>4.5</v>
      </c>
      <c r="AI24" s="3">
        <f t="shared" si="0"/>
        <v>0.26999999999999957</v>
      </c>
      <c r="AJ24" s="3">
        <f t="shared" si="1"/>
        <v>-1.6400000000000006</v>
      </c>
      <c r="AK24" s="3">
        <f t="shared" si="2"/>
        <v>0.49000000000000021</v>
      </c>
      <c r="AL24" s="3">
        <f t="shared" si="3"/>
        <v>-0.16000000000000014</v>
      </c>
      <c r="AM24" s="20" t="e">
        <f>#REF!-#REF!</f>
        <v>#REF!</v>
      </c>
      <c r="AN24" s="3" t="e">
        <f>AM24*100/#REF!</f>
        <v>#REF!</v>
      </c>
      <c r="AP24" s="12"/>
    </row>
    <row r="25" spans="1:42" x14ac:dyDescent="0.2">
      <c r="A25" s="19" t="s">
        <v>35</v>
      </c>
      <c r="B25" s="2">
        <v>172850787</v>
      </c>
      <c r="C25" s="2">
        <v>8637834</v>
      </c>
      <c r="D25" s="2">
        <v>155433236</v>
      </c>
      <c r="E25" s="2">
        <v>0</v>
      </c>
      <c r="F25" s="2">
        <v>0</v>
      </c>
      <c r="G25" s="2">
        <v>8779717</v>
      </c>
      <c r="H25" s="3">
        <v>5.08</v>
      </c>
      <c r="I25" s="3"/>
      <c r="J25" s="20">
        <v>1716463357</v>
      </c>
      <c r="K25" s="20">
        <v>89667268</v>
      </c>
      <c r="L25" s="20">
        <v>1553115858</v>
      </c>
      <c r="M25" s="20">
        <v>0</v>
      </c>
      <c r="N25" s="20">
        <v>0</v>
      </c>
      <c r="O25" s="2">
        <v>73680231</v>
      </c>
      <c r="P25" s="3">
        <v>4.29</v>
      </c>
      <c r="Q25" s="3"/>
      <c r="R25" s="2">
        <v>158409848</v>
      </c>
      <c r="S25" s="2">
        <v>9030310</v>
      </c>
      <c r="T25" s="2">
        <v>139314714</v>
      </c>
      <c r="U25" s="2">
        <v>0</v>
      </c>
      <c r="V25" s="2">
        <v>0</v>
      </c>
      <c r="W25" s="2">
        <v>10064824</v>
      </c>
      <c r="X25" s="3">
        <v>6.3499999999999899</v>
      </c>
      <c r="Y25" s="3"/>
      <c r="Z25" s="20">
        <v>1588420594</v>
      </c>
      <c r="AA25" s="20">
        <v>90684225</v>
      </c>
      <c r="AB25" s="20">
        <v>1425549986</v>
      </c>
      <c r="AC25" s="20">
        <v>0</v>
      </c>
      <c r="AD25" s="20">
        <v>0</v>
      </c>
      <c r="AE25" s="2">
        <v>72186383</v>
      </c>
      <c r="AF25" s="3">
        <v>4.54</v>
      </c>
      <c r="AG25" s="3"/>
      <c r="AH25" s="23">
        <v>5.0999999999999996</v>
      </c>
      <c r="AI25" s="3">
        <f t="shared" si="0"/>
        <v>-1.9999999999999574E-2</v>
      </c>
      <c r="AJ25" s="3">
        <f t="shared" si="1"/>
        <v>-1.2699999999999898</v>
      </c>
      <c r="AK25" s="3">
        <f t="shared" si="2"/>
        <v>-0.80999999999999961</v>
      </c>
      <c r="AL25" s="3">
        <f t="shared" si="3"/>
        <v>-0.25</v>
      </c>
      <c r="AM25" s="20" t="e">
        <f>#REF!-#REF!</f>
        <v>#REF!</v>
      </c>
      <c r="AN25" s="3" t="e">
        <f>AM25*100/#REF!</f>
        <v>#REF!</v>
      </c>
      <c r="AP25" s="12"/>
    </row>
    <row r="26" spans="1:42" x14ac:dyDescent="0.2">
      <c r="A26" s="19" t="s">
        <v>36</v>
      </c>
      <c r="B26" s="2">
        <v>141870400</v>
      </c>
      <c r="C26" s="2">
        <v>4665743</v>
      </c>
      <c r="D26" s="2">
        <v>123916022</v>
      </c>
      <c r="E26" s="2">
        <v>0</v>
      </c>
      <c r="F26" s="2">
        <v>0</v>
      </c>
      <c r="G26" s="2">
        <v>13288635</v>
      </c>
      <c r="H26" s="3">
        <v>9.3699999999999992</v>
      </c>
      <c r="I26" s="3"/>
      <c r="J26" s="20">
        <v>1326185500</v>
      </c>
      <c r="K26" s="20">
        <v>49954779</v>
      </c>
      <c r="L26" s="20">
        <v>1185269960</v>
      </c>
      <c r="M26" s="20">
        <v>0</v>
      </c>
      <c r="N26" s="20">
        <v>0</v>
      </c>
      <c r="O26" s="2">
        <v>90960761</v>
      </c>
      <c r="P26" s="3">
        <v>6.86</v>
      </c>
      <c r="Q26" s="3"/>
      <c r="R26" s="2">
        <v>128561180</v>
      </c>
      <c r="S26" s="2">
        <v>5286897</v>
      </c>
      <c r="T26" s="2">
        <v>115438296</v>
      </c>
      <c r="U26" s="2">
        <v>0</v>
      </c>
      <c r="V26" s="2">
        <v>0</v>
      </c>
      <c r="W26" s="2">
        <v>7835987</v>
      </c>
      <c r="X26" s="3">
        <v>6.0999999999999899</v>
      </c>
      <c r="Y26" s="3"/>
      <c r="Z26" s="20">
        <v>1207561996</v>
      </c>
      <c r="AA26" s="20">
        <v>64234772</v>
      </c>
      <c r="AB26" s="20">
        <v>1051900762</v>
      </c>
      <c r="AC26" s="20">
        <v>0</v>
      </c>
      <c r="AD26" s="20">
        <v>0</v>
      </c>
      <c r="AE26" s="2">
        <v>91426462</v>
      </c>
      <c r="AF26" s="3">
        <v>7.57</v>
      </c>
      <c r="AG26" s="3"/>
      <c r="AH26" s="23">
        <v>6.65</v>
      </c>
      <c r="AI26" s="3">
        <f t="shared" si="0"/>
        <v>2.7199999999999989</v>
      </c>
      <c r="AJ26" s="3">
        <f t="shared" si="1"/>
        <v>3.2700000000000093</v>
      </c>
      <c r="AK26" s="3">
        <f t="shared" si="2"/>
        <v>0.20999999999999996</v>
      </c>
      <c r="AL26" s="3">
        <f t="shared" si="3"/>
        <v>-0.71</v>
      </c>
      <c r="AM26" s="20" t="e">
        <f>#REF!-#REF!</f>
        <v>#REF!</v>
      </c>
      <c r="AN26" s="3" t="e">
        <f>AM26*100/#REF!</f>
        <v>#REF!</v>
      </c>
      <c r="AP26" s="12"/>
    </row>
    <row r="27" spans="1:42" x14ac:dyDescent="0.2">
      <c r="A27" s="19" t="s">
        <v>37</v>
      </c>
      <c r="B27" s="2">
        <v>104067334</v>
      </c>
      <c r="C27" s="2">
        <v>44957</v>
      </c>
      <c r="D27" s="2">
        <v>96049774</v>
      </c>
      <c r="E27" s="2">
        <v>0</v>
      </c>
      <c r="F27" s="2">
        <v>0</v>
      </c>
      <c r="G27" s="2">
        <v>7972603</v>
      </c>
      <c r="H27" s="3">
        <v>7.66</v>
      </c>
      <c r="I27" s="3"/>
      <c r="J27" s="20">
        <v>1000777734</v>
      </c>
      <c r="K27" s="20">
        <v>1278054</v>
      </c>
      <c r="L27" s="20">
        <v>914727692</v>
      </c>
      <c r="M27" s="20">
        <v>0</v>
      </c>
      <c r="N27" s="20">
        <v>0</v>
      </c>
      <c r="O27" s="2">
        <v>84771988</v>
      </c>
      <c r="P27" s="3">
        <v>8.4700000000000006</v>
      </c>
      <c r="Q27" s="3"/>
      <c r="R27" s="2">
        <v>100224500</v>
      </c>
      <c r="S27" s="2">
        <v>37562</v>
      </c>
      <c r="T27" s="2">
        <v>88587862</v>
      </c>
      <c r="U27" s="2">
        <v>0</v>
      </c>
      <c r="V27" s="2">
        <v>0</v>
      </c>
      <c r="W27" s="2">
        <v>11599076</v>
      </c>
      <c r="X27" s="3">
        <v>11.57</v>
      </c>
      <c r="Y27" s="3"/>
      <c r="Z27" s="20">
        <v>929616713</v>
      </c>
      <c r="AA27" s="20">
        <v>3944747</v>
      </c>
      <c r="AB27" s="20">
        <v>822967014</v>
      </c>
      <c r="AC27" s="20">
        <v>0</v>
      </c>
      <c r="AD27" s="20">
        <v>0</v>
      </c>
      <c r="AE27" s="2">
        <v>102704952</v>
      </c>
      <c r="AF27" s="3">
        <v>11.05</v>
      </c>
      <c r="AG27" s="3"/>
      <c r="AH27" s="23">
        <v>8</v>
      </c>
      <c r="AI27" s="3">
        <f t="shared" si="0"/>
        <v>-0.33999999999999986</v>
      </c>
      <c r="AJ27" s="3">
        <f t="shared" si="1"/>
        <v>-3.91</v>
      </c>
      <c r="AK27" s="24">
        <f t="shared" si="2"/>
        <v>0.47000000000000064</v>
      </c>
      <c r="AL27" s="3">
        <f t="shared" si="3"/>
        <v>-2.58</v>
      </c>
      <c r="AM27" s="20" t="e">
        <f>#REF!-#REF!</f>
        <v>#REF!</v>
      </c>
      <c r="AN27" s="3" t="e">
        <f>AM27*100/#REF!</f>
        <v>#REF!</v>
      </c>
      <c r="AP27" s="12"/>
    </row>
    <row r="28" spans="1:42" x14ac:dyDescent="0.2">
      <c r="A28" s="19" t="s">
        <v>38</v>
      </c>
      <c r="B28" s="2">
        <v>252087007</v>
      </c>
      <c r="C28" s="2">
        <v>73729</v>
      </c>
      <c r="D28" s="2">
        <v>229847510</v>
      </c>
      <c r="E28" s="2">
        <v>0</v>
      </c>
      <c r="F28" s="2">
        <v>0</v>
      </c>
      <c r="G28" s="2">
        <v>22165768</v>
      </c>
      <c r="H28" s="3">
        <v>8.7899999999999991</v>
      </c>
      <c r="I28" s="3"/>
      <c r="J28" s="20">
        <v>2377354743</v>
      </c>
      <c r="K28" s="20">
        <v>586804</v>
      </c>
      <c r="L28" s="20">
        <v>2281526288</v>
      </c>
      <c r="M28" s="20">
        <v>0</v>
      </c>
      <c r="N28" s="20">
        <v>0</v>
      </c>
      <c r="O28" s="2">
        <v>95241651</v>
      </c>
      <c r="P28" s="3">
        <v>4.01</v>
      </c>
      <c r="Q28" s="3"/>
      <c r="R28" s="2">
        <v>238813698</v>
      </c>
      <c r="S28" s="2">
        <v>54422</v>
      </c>
      <c r="T28" s="2">
        <v>218777499</v>
      </c>
      <c r="U28" s="2">
        <v>0</v>
      </c>
      <c r="V28" s="2">
        <v>0</v>
      </c>
      <c r="W28" s="2">
        <v>19981777</v>
      </c>
      <c r="X28" s="3">
        <v>8.3699999999999903</v>
      </c>
      <c r="Y28" s="3"/>
      <c r="Z28" s="20">
        <v>2178123321</v>
      </c>
      <c r="AA28" s="20">
        <v>574669</v>
      </c>
      <c r="AB28" s="20">
        <v>2081985639</v>
      </c>
      <c r="AC28" s="20">
        <v>0</v>
      </c>
      <c r="AD28" s="20">
        <v>0</v>
      </c>
      <c r="AE28" s="2">
        <v>95563013</v>
      </c>
      <c r="AF28" s="3">
        <v>4.3899999999999899</v>
      </c>
      <c r="AG28" s="3"/>
      <c r="AH28" s="23">
        <v>4.55</v>
      </c>
      <c r="AI28" s="3">
        <f t="shared" si="0"/>
        <v>4.2399999999999993</v>
      </c>
      <c r="AJ28" s="3">
        <f t="shared" si="1"/>
        <v>0.42000000000000881</v>
      </c>
      <c r="AK28" s="3">
        <f t="shared" si="2"/>
        <v>-0.54</v>
      </c>
      <c r="AL28" s="3">
        <f t="shared" si="3"/>
        <v>-0.37999999999999012</v>
      </c>
      <c r="AM28" s="20" t="e">
        <f>#REF!-#REF!</f>
        <v>#REF!</v>
      </c>
      <c r="AN28" s="3" t="e">
        <f>AM28*100/#REF!</f>
        <v>#REF!</v>
      </c>
      <c r="AP28" s="12"/>
    </row>
    <row r="29" spans="1:42" x14ac:dyDescent="0.2">
      <c r="A29" s="19" t="s">
        <v>39</v>
      </c>
      <c r="B29" s="2">
        <v>60877400</v>
      </c>
      <c r="C29" s="2">
        <v>114028</v>
      </c>
      <c r="D29" s="2">
        <v>56656030</v>
      </c>
      <c r="E29" s="2">
        <v>0</v>
      </c>
      <c r="F29" s="2">
        <v>0</v>
      </c>
      <c r="G29" s="2">
        <v>4107342</v>
      </c>
      <c r="H29" s="3">
        <v>6.75</v>
      </c>
      <c r="I29" s="3"/>
      <c r="J29" s="20">
        <v>616896460</v>
      </c>
      <c r="K29" s="20">
        <v>1098861</v>
      </c>
      <c r="L29" s="20">
        <v>577362175</v>
      </c>
      <c r="M29" s="20">
        <v>0</v>
      </c>
      <c r="N29" s="20">
        <v>0</v>
      </c>
      <c r="O29" s="2">
        <v>38435424</v>
      </c>
      <c r="P29" s="3">
        <v>6.23</v>
      </c>
      <c r="Q29" s="3"/>
      <c r="R29" s="2">
        <v>57206201</v>
      </c>
      <c r="S29" s="2">
        <v>70497</v>
      </c>
      <c r="T29" s="2">
        <v>53423869</v>
      </c>
      <c r="U29" s="2">
        <v>0</v>
      </c>
      <c r="V29" s="2">
        <v>0</v>
      </c>
      <c r="W29" s="2">
        <v>3711835</v>
      </c>
      <c r="X29" s="3">
        <v>6.49</v>
      </c>
      <c r="Y29" s="3"/>
      <c r="Z29" s="20">
        <v>563026252</v>
      </c>
      <c r="AA29" s="20">
        <v>642997</v>
      </c>
      <c r="AB29" s="20">
        <v>520149463</v>
      </c>
      <c r="AC29" s="20">
        <v>0</v>
      </c>
      <c r="AD29" s="20">
        <v>0</v>
      </c>
      <c r="AE29" s="2">
        <v>42233792</v>
      </c>
      <c r="AF29" s="3">
        <v>7.5</v>
      </c>
      <c r="AG29" s="3"/>
      <c r="AH29" s="23">
        <v>6</v>
      </c>
      <c r="AI29" s="3">
        <f t="shared" si="0"/>
        <v>0.75</v>
      </c>
      <c r="AJ29" s="3">
        <f t="shared" si="1"/>
        <v>0.25999999999999979</v>
      </c>
      <c r="AK29" s="3">
        <f t="shared" si="2"/>
        <v>0.23000000000000043</v>
      </c>
      <c r="AL29" s="3">
        <f t="shared" si="3"/>
        <v>-1.2699999999999996</v>
      </c>
      <c r="AM29" s="20" t="e">
        <f>#REF!-#REF!</f>
        <v>#REF!</v>
      </c>
      <c r="AN29" s="3" t="e">
        <f>AM29*100/#REF!</f>
        <v>#REF!</v>
      </c>
      <c r="AP29" s="12"/>
    </row>
    <row r="30" spans="1:42" x14ac:dyDescent="0.2">
      <c r="A30" s="19" t="s">
        <v>40</v>
      </c>
      <c r="B30" s="2">
        <v>95496925</v>
      </c>
      <c r="C30" s="2">
        <v>2979896</v>
      </c>
      <c r="D30" s="2">
        <v>85355019</v>
      </c>
      <c r="E30" s="2">
        <v>0</v>
      </c>
      <c r="F30" s="2">
        <v>0</v>
      </c>
      <c r="G30" s="2">
        <v>7162010</v>
      </c>
      <c r="H30" s="3">
        <v>7.5</v>
      </c>
      <c r="I30" s="3"/>
      <c r="J30" s="20">
        <v>883336119</v>
      </c>
      <c r="K30" s="20">
        <v>16751094</v>
      </c>
      <c r="L30" s="20">
        <v>806280610</v>
      </c>
      <c r="M30" s="20">
        <v>0</v>
      </c>
      <c r="N30" s="20">
        <v>0</v>
      </c>
      <c r="O30" s="2">
        <v>60304415</v>
      </c>
      <c r="P30" s="3">
        <v>6.83</v>
      </c>
      <c r="Q30" s="3"/>
      <c r="R30" s="2">
        <v>91594216</v>
      </c>
      <c r="S30" s="2">
        <v>745742</v>
      </c>
      <c r="T30" s="2">
        <v>80239029</v>
      </c>
      <c r="U30" s="2">
        <v>0</v>
      </c>
      <c r="V30" s="2">
        <v>0</v>
      </c>
      <c r="W30" s="2">
        <v>10609445</v>
      </c>
      <c r="X30" s="3">
        <v>11.58</v>
      </c>
      <c r="Y30" s="3"/>
      <c r="Z30" s="20">
        <v>839246037</v>
      </c>
      <c r="AA30" s="20">
        <v>6435332</v>
      </c>
      <c r="AB30" s="20">
        <v>751164541</v>
      </c>
      <c r="AC30" s="20">
        <v>0</v>
      </c>
      <c r="AD30" s="20">
        <v>0</v>
      </c>
      <c r="AE30" s="2">
        <v>81646164</v>
      </c>
      <c r="AF30" s="3">
        <v>9.73</v>
      </c>
      <c r="AG30" s="3"/>
      <c r="AH30" s="23">
        <v>7.8</v>
      </c>
      <c r="AI30" s="3">
        <f t="shared" si="0"/>
        <v>-0.29999999999999982</v>
      </c>
      <c r="AJ30" s="3">
        <f t="shared" si="1"/>
        <v>-4.08</v>
      </c>
      <c r="AK30" s="3">
        <f t="shared" si="2"/>
        <v>-0.96999999999999975</v>
      </c>
      <c r="AL30" s="3">
        <f t="shared" si="3"/>
        <v>-2.9000000000000004</v>
      </c>
      <c r="AM30" s="20" t="e">
        <f>#REF!-#REF!</f>
        <v>#REF!</v>
      </c>
      <c r="AN30" s="3" t="e">
        <f>AM30*100/#REF!</f>
        <v>#REF!</v>
      </c>
      <c r="AP30" s="12"/>
    </row>
    <row r="31" spans="1:42" x14ac:dyDescent="0.2">
      <c r="A31" s="19" t="s">
        <v>41</v>
      </c>
      <c r="B31" s="2">
        <v>50634400</v>
      </c>
      <c r="C31" s="2">
        <v>1537000</v>
      </c>
      <c r="D31" s="2">
        <v>45642448</v>
      </c>
      <c r="E31" s="2">
        <v>100</v>
      </c>
      <c r="F31" s="2">
        <v>13500</v>
      </c>
      <c r="G31" s="2">
        <v>3454952</v>
      </c>
      <c r="H31" s="3">
        <v>6.83</v>
      </c>
      <c r="I31" s="3"/>
      <c r="J31" s="20">
        <v>475661587</v>
      </c>
      <c r="K31" s="20">
        <v>12746920</v>
      </c>
      <c r="L31" s="20">
        <v>429685408</v>
      </c>
      <c r="M31" s="20">
        <v>2800</v>
      </c>
      <c r="N31" s="20">
        <v>149711</v>
      </c>
      <c r="O31" s="2">
        <v>33229259</v>
      </c>
      <c r="P31" s="3">
        <v>6.99</v>
      </c>
      <c r="Q31" s="3"/>
      <c r="R31" s="2">
        <v>48419300</v>
      </c>
      <c r="S31" s="2">
        <v>2210871</v>
      </c>
      <c r="T31" s="2">
        <v>42587811</v>
      </c>
      <c r="U31" s="2">
        <v>1100</v>
      </c>
      <c r="V31" s="2">
        <v>14700</v>
      </c>
      <c r="W31" s="2">
        <v>3620618</v>
      </c>
      <c r="X31" s="3">
        <v>7.48</v>
      </c>
      <c r="Y31" s="3"/>
      <c r="Z31" s="20">
        <v>451259900</v>
      </c>
      <c r="AA31" s="20">
        <v>15171881</v>
      </c>
      <c r="AB31" s="20">
        <v>404432767</v>
      </c>
      <c r="AC31" s="20">
        <v>4000</v>
      </c>
      <c r="AD31" s="20">
        <v>154600</v>
      </c>
      <c r="AE31" s="2">
        <v>31655252</v>
      </c>
      <c r="AF31" s="3">
        <v>7.0199999999999898</v>
      </c>
      <c r="AG31" s="3"/>
      <c r="AH31" s="23">
        <v>6.55</v>
      </c>
      <c r="AI31" s="3">
        <f t="shared" si="0"/>
        <v>0.28000000000000025</v>
      </c>
      <c r="AJ31" s="3">
        <f t="shared" si="1"/>
        <v>-0.65000000000000036</v>
      </c>
      <c r="AK31" s="3">
        <f t="shared" si="2"/>
        <v>0.44000000000000039</v>
      </c>
      <c r="AL31" s="3">
        <f t="shared" si="3"/>
        <v>-2.9999999999989591E-2</v>
      </c>
      <c r="AM31" s="20" t="e">
        <f>#REF!-#REF!</f>
        <v>#REF!</v>
      </c>
      <c r="AN31" s="3" t="e">
        <f>AM31*100/#REF!</f>
        <v>#REF!</v>
      </c>
      <c r="AP31" s="12"/>
    </row>
    <row r="32" spans="1:42" x14ac:dyDescent="0.2">
      <c r="A32" s="19" t="s">
        <v>42</v>
      </c>
      <c r="B32" s="2">
        <v>74051810</v>
      </c>
      <c r="C32" s="2">
        <v>842766</v>
      </c>
      <c r="D32" s="2">
        <v>66489368</v>
      </c>
      <c r="E32" s="2">
        <v>33100</v>
      </c>
      <c r="F32" s="2">
        <v>0</v>
      </c>
      <c r="G32" s="2">
        <v>6719676</v>
      </c>
      <c r="H32" s="3">
        <v>9.08</v>
      </c>
      <c r="I32" s="3"/>
      <c r="J32" s="20">
        <v>689247260</v>
      </c>
      <c r="K32" s="20">
        <v>15621734</v>
      </c>
      <c r="L32" s="20">
        <v>622221654</v>
      </c>
      <c r="M32" s="20">
        <v>127700</v>
      </c>
      <c r="N32" s="20">
        <v>0</v>
      </c>
      <c r="O32" s="2">
        <v>51403872</v>
      </c>
      <c r="P32" s="3">
        <v>7.46</v>
      </c>
      <c r="Q32" s="3"/>
      <c r="R32" s="2">
        <v>74513740</v>
      </c>
      <c r="S32" s="2">
        <v>5467642</v>
      </c>
      <c r="T32" s="2">
        <v>61901012</v>
      </c>
      <c r="U32" s="2">
        <v>19500</v>
      </c>
      <c r="V32" s="2">
        <v>0</v>
      </c>
      <c r="W32" s="2">
        <v>7145086</v>
      </c>
      <c r="X32" s="3">
        <v>9.5899999999999892</v>
      </c>
      <c r="Y32" s="3"/>
      <c r="Z32" s="20">
        <v>682523140</v>
      </c>
      <c r="AA32" s="20">
        <v>42284917</v>
      </c>
      <c r="AB32" s="20">
        <v>584455686</v>
      </c>
      <c r="AC32" s="20">
        <v>107500</v>
      </c>
      <c r="AD32" s="20">
        <v>0</v>
      </c>
      <c r="AE32" s="2">
        <v>55782537</v>
      </c>
      <c r="AF32" s="3">
        <v>8.1699999999999893</v>
      </c>
      <c r="AG32" s="3"/>
      <c r="AH32" s="23">
        <v>7.4</v>
      </c>
      <c r="AI32" s="3">
        <f t="shared" si="0"/>
        <v>1.6799999999999997</v>
      </c>
      <c r="AJ32" s="3">
        <f t="shared" si="1"/>
        <v>-0.50999999999998913</v>
      </c>
      <c r="AK32" s="3">
        <f t="shared" si="2"/>
        <v>5.9999999999999609E-2</v>
      </c>
      <c r="AL32" s="3">
        <f t="shared" si="3"/>
        <v>-0.70999999999998931</v>
      </c>
      <c r="AM32" s="20" t="e">
        <f>#REF!-#REF!</f>
        <v>#REF!</v>
      </c>
      <c r="AN32" s="3" t="e">
        <f>AM32*100/#REF!</f>
        <v>#REF!</v>
      </c>
      <c r="AP32" s="12"/>
    </row>
    <row r="33" spans="1:42" x14ac:dyDescent="0.2">
      <c r="A33" s="19" t="s">
        <v>43</v>
      </c>
      <c r="B33" s="2">
        <v>54824969</v>
      </c>
      <c r="C33" s="2">
        <v>7103146</v>
      </c>
      <c r="D33" s="2">
        <v>41815528</v>
      </c>
      <c r="E33" s="2">
        <v>0</v>
      </c>
      <c r="F33" s="2">
        <v>0</v>
      </c>
      <c r="G33" s="2">
        <v>5906295</v>
      </c>
      <c r="H33" s="3">
        <v>10.77</v>
      </c>
      <c r="I33" s="3"/>
      <c r="J33" s="20">
        <v>509218340</v>
      </c>
      <c r="K33" s="20">
        <v>72366199</v>
      </c>
      <c r="L33" s="20">
        <v>402571597</v>
      </c>
      <c r="M33" s="20">
        <v>0</v>
      </c>
      <c r="N33" s="20">
        <v>0</v>
      </c>
      <c r="O33" s="2">
        <v>34280544</v>
      </c>
      <c r="P33" s="3">
        <v>6.73</v>
      </c>
      <c r="Q33" s="43"/>
      <c r="R33" s="2">
        <v>50954454</v>
      </c>
      <c r="S33" s="2">
        <v>8557847</v>
      </c>
      <c r="T33" s="2">
        <v>37900823</v>
      </c>
      <c r="U33" s="2">
        <v>0</v>
      </c>
      <c r="V33" s="2">
        <v>0</v>
      </c>
      <c r="W33" s="2">
        <v>4495784</v>
      </c>
      <c r="X33" s="3">
        <v>8.82</v>
      </c>
      <c r="Y33" s="3"/>
      <c r="Z33" s="20">
        <v>477802552</v>
      </c>
      <c r="AA33" s="20">
        <v>83197603</v>
      </c>
      <c r="AB33" s="20">
        <v>362101217</v>
      </c>
      <c r="AC33" s="20">
        <v>0</v>
      </c>
      <c r="AD33" s="20">
        <v>0</v>
      </c>
      <c r="AE33" s="2">
        <v>32503732</v>
      </c>
      <c r="AF33" s="3">
        <v>6.7999999999999901</v>
      </c>
      <c r="AG33" s="3"/>
      <c r="AH33" s="23">
        <v>7</v>
      </c>
      <c r="AI33" s="3">
        <f t="shared" si="0"/>
        <v>3.7699999999999996</v>
      </c>
      <c r="AJ33" s="3">
        <f t="shared" si="1"/>
        <v>1.9499999999999993</v>
      </c>
      <c r="AK33" s="3">
        <f t="shared" si="2"/>
        <v>-0.26999999999999957</v>
      </c>
      <c r="AL33" s="3">
        <f t="shared" si="3"/>
        <v>-6.9999999999989626E-2</v>
      </c>
      <c r="AM33" s="20" t="e">
        <f>#REF!-#REF!</f>
        <v>#REF!</v>
      </c>
      <c r="AN33" s="3" t="e">
        <f>AM33*100/#REF!</f>
        <v>#REF!</v>
      </c>
      <c r="AP33" s="12"/>
    </row>
    <row r="34" spans="1:42" s="47" customFormat="1" x14ac:dyDescent="0.2">
      <c r="A34" s="41" t="s">
        <v>44</v>
      </c>
      <c r="B34" s="42">
        <v>648086683</v>
      </c>
      <c r="C34" s="42">
        <v>4068996</v>
      </c>
      <c r="D34" s="42">
        <v>595721155</v>
      </c>
      <c r="E34" s="42"/>
      <c r="F34" s="42"/>
      <c r="G34" s="42">
        <f>(B34-C34-D34)</f>
        <v>48296532</v>
      </c>
      <c r="H34" s="43">
        <f>(B34-C34-D34)*100/(B34-E34-F34)</f>
        <v>7.4521716410580838</v>
      </c>
      <c r="I34" s="43"/>
      <c r="J34" s="42">
        <v>6086583821</v>
      </c>
      <c r="K34" s="42">
        <v>33699325</v>
      </c>
      <c r="L34" s="42">
        <v>5795299239</v>
      </c>
      <c r="M34" s="42"/>
      <c r="N34" s="42"/>
      <c r="O34" s="42">
        <f>(J34-K34-L34)</f>
        <v>257585257</v>
      </c>
      <c r="P34" s="43">
        <f>(J34-K34-L34)*100/(J34-M34-N34)</f>
        <v>4.2320169174583029</v>
      </c>
      <c r="Q34" s="43"/>
      <c r="R34" s="42">
        <v>588971017</v>
      </c>
      <c r="S34" s="42">
        <v>2287855</v>
      </c>
      <c r="T34" s="42">
        <v>543381704</v>
      </c>
      <c r="U34" s="42"/>
      <c r="V34" s="42"/>
      <c r="W34" s="42">
        <f>(R34-S34-T34)</f>
        <v>43301458</v>
      </c>
      <c r="X34" s="43">
        <f>(R34-S34-T34)*100/(R34-U34-V34)</f>
        <v>7.3520524355445493</v>
      </c>
      <c r="Y34" s="43"/>
      <c r="Z34" s="42">
        <v>5465569570</v>
      </c>
      <c r="AA34" s="42">
        <v>22777859</v>
      </c>
      <c r="AB34" s="42">
        <v>5213125265</v>
      </c>
      <c r="AC34" s="42"/>
      <c r="AD34" s="42"/>
      <c r="AE34" s="42">
        <f>(Z34-AA34-AB34)</f>
        <v>229666446</v>
      </c>
      <c r="AF34" s="43">
        <f>(Z34-AA34-AB34)*100/(Z34-AC34-AD34)</f>
        <v>4.2020587801245384</v>
      </c>
      <c r="AG34" s="43"/>
      <c r="AH34" s="43">
        <v>2.87</v>
      </c>
      <c r="AI34" s="24">
        <v>-7.8</v>
      </c>
      <c r="AJ34" s="24">
        <v>-1.75</v>
      </c>
      <c r="AK34" s="24">
        <f t="shared" si="2"/>
        <v>1.3620169174583028</v>
      </c>
      <c r="AL34" s="24">
        <v>-8.73</v>
      </c>
      <c r="AM34" s="45"/>
      <c r="AN34" s="24"/>
      <c r="AP34" s="48"/>
    </row>
    <row r="35" spans="1:42" s="39" customFormat="1" x14ac:dyDescent="0.2">
      <c r="A35" s="25" t="s">
        <v>70</v>
      </c>
      <c r="B35" s="8">
        <f t="shared" ref="B35:G35" si="4">SUM(B14:B34)</f>
        <v>4056743179</v>
      </c>
      <c r="C35" s="8">
        <f t="shared" si="4"/>
        <v>89816680</v>
      </c>
      <c r="D35" s="8">
        <f t="shared" si="4"/>
        <v>3645454781</v>
      </c>
      <c r="E35" s="8">
        <f t="shared" si="4"/>
        <v>2709100</v>
      </c>
      <c r="F35" s="8">
        <f t="shared" si="4"/>
        <v>45146</v>
      </c>
      <c r="G35" s="8">
        <f t="shared" si="4"/>
        <v>321471718</v>
      </c>
      <c r="H35" s="5">
        <f>(B35-C35-D35)*100/(B35-E35-F35)</f>
        <v>7.9297630879842362</v>
      </c>
      <c r="I35" s="5">
        <f>ROUND(G35*100/(B$41),2)</f>
        <v>6.66</v>
      </c>
      <c r="J35" s="37">
        <f>SUM(J14:J34)</f>
        <v>37911542086</v>
      </c>
      <c r="K35" s="8">
        <f>SUM(K14:K34)</f>
        <v>908143224</v>
      </c>
      <c r="L35" s="8">
        <f>SUM(L14:L34)</f>
        <v>35069415549</v>
      </c>
      <c r="M35" s="8">
        <f>SUM(M14:M34)</f>
        <v>28042191</v>
      </c>
      <c r="N35" s="8">
        <f>SUM(N14:N34)</f>
        <v>698219</v>
      </c>
      <c r="O35" s="8">
        <f>J35-K35-L35</f>
        <v>1933983313</v>
      </c>
      <c r="P35" s="5">
        <f>(J35-K35-L35)*100/(J35-M35-N35)</f>
        <v>5.1051749803004727</v>
      </c>
      <c r="Q35" s="5">
        <f>O35*100/(J$41)</f>
        <v>4.2934476349987136</v>
      </c>
      <c r="R35" s="8">
        <f t="shared" ref="R35:W35" si="5">SUM(R14:R34)</f>
        <v>3668855766</v>
      </c>
      <c r="S35" s="8">
        <f t="shared" si="5"/>
        <v>88101283</v>
      </c>
      <c r="T35" s="8">
        <f t="shared" si="5"/>
        <v>3314172259</v>
      </c>
      <c r="U35" s="8">
        <f t="shared" si="5"/>
        <v>1238250</v>
      </c>
      <c r="V35" s="8">
        <f t="shared" si="5"/>
        <v>64801</v>
      </c>
      <c r="W35" s="8">
        <f t="shared" si="5"/>
        <v>266582224</v>
      </c>
      <c r="X35" s="5">
        <f>(R35-S35-T35)*100/(R35-U35-V35)</f>
        <v>7.2686678206341746</v>
      </c>
      <c r="Y35" s="5">
        <f>W35*100/(R$41)</f>
        <v>6.0506419137208605</v>
      </c>
      <c r="Z35" s="37">
        <f>SUM(Z14:Z34)</f>
        <v>34024380055</v>
      </c>
      <c r="AA35" s="8">
        <f>SUM(AA14:AA34)</f>
        <v>911423557</v>
      </c>
      <c r="AB35" s="8">
        <f>SUM(AB14:AB34)</f>
        <v>31256369787</v>
      </c>
      <c r="AC35" s="8">
        <f>SUM(AC14:AC34)</f>
        <v>11142060</v>
      </c>
      <c r="AD35" s="8">
        <f>SUM(AD14:AD34)</f>
        <v>575572</v>
      </c>
      <c r="AE35" s="8">
        <f>Z35-AA35-AB35</f>
        <v>1856586711</v>
      </c>
      <c r="AF35" s="5">
        <f>(Z35-AA35-AB35)*100/(Z35-AC35-AD35)</f>
        <v>5.4585162664141844</v>
      </c>
      <c r="AG35" s="5">
        <f>AE35*100/(Z$41)</f>
        <v>4.5657738717765985</v>
      </c>
      <c r="AH35" s="38"/>
      <c r="AI35" s="5">
        <f>H35-AH35</f>
        <v>7.9297630879842362</v>
      </c>
      <c r="AJ35" s="5">
        <f>H35-X35</f>
        <v>0.66109526735006163</v>
      </c>
      <c r="AK35" s="5">
        <f t="shared" si="2"/>
        <v>5.1051749803004727</v>
      </c>
      <c r="AL35" s="5">
        <f>P35-AF35</f>
        <v>-0.35334128611371174</v>
      </c>
      <c r="AM35" s="37" t="e">
        <f>#REF!-#REF!</f>
        <v>#REF!</v>
      </c>
      <c r="AN35" s="5" t="e">
        <f>AM35*100/#REF!</f>
        <v>#REF!</v>
      </c>
      <c r="AP35" s="40"/>
    </row>
    <row r="36" spans="1:42" x14ac:dyDescent="0.2">
      <c r="A36" s="6"/>
      <c r="B36" s="4"/>
      <c r="C36" s="4"/>
      <c r="D36" s="4"/>
      <c r="E36" s="4"/>
      <c r="F36" s="4"/>
      <c r="G36" s="4"/>
      <c r="H36" s="4"/>
      <c r="I36" s="36"/>
      <c r="J36" s="36"/>
      <c r="K36" s="36"/>
      <c r="L36" s="36"/>
      <c r="M36" s="36"/>
      <c r="N36" s="36"/>
      <c r="O36" s="4"/>
      <c r="P36" s="16"/>
      <c r="Q36" s="36"/>
      <c r="R36" s="4"/>
      <c r="S36" s="4"/>
      <c r="T36" s="4"/>
      <c r="U36" s="4"/>
      <c r="V36" s="4"/>
      <c r="W36" s="4"/>
      <c r="X36" s="4"/>
      <c r="Y36" s="36"/>
      <c r="Z36" s="36"/>
      <c r="AA36" s="36"/>
      <c r="AB36" s="36"/>
      <c r="AC36" s="36"/>
      <c r="AD36" s="36"/>
      <c r="AE36" s="4"/>
      <c r="AF36" s="16"/>
      <c r="AG36" s="36"/>
      <c r="AH36" s="4"/>
      <c r="AI36" s="4"/>
      <c r="AJ36" s="4"/>
      <c r="AK36" s="4"/>
      <c r="AL36" s="4"/>
      <c r="AM36" s="17"/>
      <c r="AN36" s="18"/>
    </row>
    <row r="37" spans="1:42" s="39" customFormat="1" x14ac:dyDescent="0.2">
      <c r="A37" s="25" t="s">
        <v>52</v>
      </c>
      <c r="B37" s="8"/>
      <c r="C37" s="8"/>
      <c r="D37" s="8"/>
      <c r="E37" s="8"/>
      <c r="F37" s="8"/>
      <c r="G37" s="8"/>
      <c r="H37" s="5"/>
      <c r="I37" s="5"/>
      <c r="J37" s="37"/>
      <c r="K37" s="8"/>
      <c r="L37" s="8"/>
      <c r="M37" s="8"/>
      <c r="N37" s="8"/>
      <c r="O37" s="8"/>
      <c r="P37" s="5"/>
      <c r="Q37" s="5"/>
      <c r="R37" s="8"/>
      <c r="S37" s="8"/>
      <c r="T37" s="8"/>
      <c r="U37" s="8"/>
      <c r="V37" s="8"/>
      <c r="W37" s="8"/>
      <c r="X37" s="5"/>
      <c r="Y37" s="5"/>
      <c r="Z37" s="37"/>
      <c r="AA37" s="8"/>
      <c r="AB37" s="8"/>
      <c r="AC37" s="8"/>
      <c r="AD37" s="8"/>
      <c r="AE37" s="8"/>
      <c r="AF37" s="5"/>
      <c r="AG37" s="5"/>
      <c r="AH37" s="38"/>
      <c r="AI37" s="5"/>
      <c r="AJ37" s="5"/>
      <c r="AK37" s="5"/>
      <c r="AL37" s="5"/>
      <c r="AM37" s="37"/>
      <c r="AN37" s="5"/>
      <c r="AP37" s="40"/>
    </row>
    <row r="38" spans="1:42" x14ac:dyDescent="0.2">
      <c r="A38" s="19" t="s">
        <v>54</v>
      </c>
      <c r="B38" s="2">
        <f>B10</f>
        <v>4864375630</v>
      </c>
      <c r="C38" s="2">
        <f t="shared" ref="C38:AG38" si="6">C10</f>
        <v>4260012569</v>
      </c>
      <c r="D38" s="2">
        <f t="shared" si="6"/>
        <v>557482400</v>
      </c>
      <c r="E38" s="2">
        <f t="shared" si="6"/>
        <v>71893600</v>
      </c>
      <c r="F38" s="2">
        <f t="shared" si="6"/>
        <v>0</v>
      </c>
      <c r="G38" s="2">
        <f t="shared" si="6"/>
        <v>46880661</v>
      </c>
      <c r="H38" s="3">
        <f t="shared" si="6"/>
        <v>0.97821255680326469</v>
      </c>
      <c r="I38" s="3">
        <f t="shared" si="6"/>
        <v>0.97</v>
      </c>
      <c r="J38" s="2">
        <f t="shared" si="6"/>
        <v>45667246447</v>
      </c>
      <c r="K38" s="2">
        <f t="shared" si="6"/>
        <v>39625683565</v>
      </c>
      <c r="L38" s="2">
        <f t="shared" si="6"/>
        <v>5566778340</v>
      </c>
      <c r="M38" s="2">
        <f t="shared" si="6"/>
        <v>844631627.60000002</v>
      </c>
      <c r="N38" s="2">
        <f t="shared" si="6"/>
        <v>2325900</v>
      </c>
      <c r="O38" s="2">
        <f t="shared" si="6"/>
        <v>474784542</v>
      </c>
      <c r="P38" s="3">
        <f t="shared" si="6"/>
        <v>1.0593071875413422</v>
      </c>
      <c r="Q38" s="3">
        <f t="shared" si="6"/>
        <v>1.06</v>
      </c>
      <c r="R38" s="2">
        <f t="shared" si="6"/>
        <v>4465811147</v>
      </c>
      <c r="S38" s="2">
        <f t="shared" si="6"/>
        <v>4411946676</v>
      </c>
      <c r="T38" s="2">
        <f t="shared" si="6"/>
        <v>0</v>
      </c>
      <c r="U38" s="2">
        <f t="shared" si="6"/>
        <v>87084685</v>
      </c>
      <c r="V38" s="2">
        <f t="shared" si="6"/>
        <v>12400</v>
      </c>
      <c r="W38" s="2">
        <f t="shared" si="6"/>
        <v>53864471</v>
      </c>
      <c r="X38" s="3">
        <f t="shared" si="6"/>
        <v>1.2301436046590613</v>
      </c>
      <c r="Y38" s="3">
        <f t="shared" si="6"/>
        <v>1.2225669851602776</v>
      </c>
      <c r="Z38" s="2">
        <f t="shared" si="6"/>
        <v>41303257318</v>
      </c>
      <c r="AA38" s="2">
        <f t="shared" si="6"/>
        <v>40859133776</v>
      </c>
      <c r="AB38" s="2">
        <f t="shared" si="6"/>
        <v>0</v>
      </c>
      <c r="AC38" s="2">
        <f t="shared" si="6"/>
        <v>847792081</v>
      </c>
      <c r="AD38" s="2">
        <f t="shared" si="6"/>
        <v>16697100</v>
      </c>
      <c r="AE38" s="2">
        <f t="shared" si="6"/>
        <v>444123542</v>
      </c>
      <c r="AF38" s="3">
        <f t="shared" si="6"/>
        <v>1.0982617979246583</v>
      </c>
      <c r="AG38" s="3">
        <f t="shared" si="6"/>
        <v>1.0922019703632775</v>
      </c>
      <c r="AH38" s="21"/>
      <c r="AI38" s="3"/>
      <c r="AJ38" s="3"/>
      <c r="AK38" s="3"/>
      <c r="AL38" s="3"/>
      <c r="AM38" s="20"/>
      <c r="AN38" s="3"/>
      <c r="AP38" s="12"/>
    </row>
    <row r="39" spans="1:42" x14ac:dyDescent="0.2">
      <c r="A39" s="19" t="s">
        <v>55</v>
      </c>
      <c r="B39" s="2">
        <f>B35</f>
        <v>4056743179</v>
      </c>
      <c r="C39" s="2">
        <f t="shared" ref="C39:AG39" si="7">C35</f>
        <v>89816680</v>
      </c>
      <c r="D39" s="2">
        <f t="shared" si="7"/>
        <v>3645454781</v>
      </c>
      <c r="E39" s="2">
        <f t="shared" si="7"/>
        <v>2709100</v>
      </c>
      <c r="F39" s="2">
        <f t="shared" si="7"/>
        <v>45146</v>
      </c>
      <c r="G39" s="2">
        <f t="shared" si="7"/>
        <v>321471718</v>
      </c>
      <c r="H39" s="3">
        <f t="shared" si="7"/>
        <v>7.9297630879842362</v>
      </c>
      <c r="I39" s="3">
        <f t="shared" si="7"/>
        <v>6.66</v>
      </c>
      <c r="J39" s="2">
        <f t="shared" si="7"/>
        <v>37911542086</v>
      </c>
      <c r="K39" s="2">
        <f t="shared" si="7"/>
        <v>908143224</v>
      </c>
      <c r="L39" s="2">
        <f t="shared" si="7"/>
        <v>35069415549</v>
      </c>
      <c r="M39" s="2">
        <f t="shared" si="7"/>
        <v>28042191</v>
      </c>
      <c r="N39" s="2">
        <f t="shared" si="7"/>
        <v>698219</v>
      </c>
      <c r="O39" s="2">
        <f t="shared" si="7"/>
        <v>1933983313</v>
      </c>
      <c r="P39" s="3">
        <f t="shared" si="7"/>
        <v>5.1051749803004727</v>
      </c>
      <c r="Q39" s="3">
        <f t="shared" si="7"/>
        <v>4.2934476349987136</v>
      </c>
      <c r="R39" s="2">
        <f t="shared" si="7"/>
        <v>3668855766</v>
      </c>
      <c r="S39" s="2">
        <f t="shared" si="7"/>
        <v>88101283</v>
      </c>
      <c r="T39" s="2">
        <f t="shared" si="7"/>
        <v>3314172259</v>
      </c>
      <c r="U39" s="2">
        <f t="shared" si="7"/>
        <v>1238250</v>
      </c>
      <c r="V39" s="2">
        <f t="shared" si="7"/>
        <v>64801</v>
      </c>
      <c r="W39" s="2">
        <f t="shared" si="7"/>
        <v>266582224</v>
      </c>
      <c r="X39" s="3">
        <f t="shared" si="7"/>
        <v>7.2686678206341746</v>
      </c>
      <c r="Y39" s="3">
        <f t="shared" si="7"/>
        <v>6.0506419137208605</v>
      </c>
      <c r="Z39" s="2">
        <f t="shared" si="7"/>
        <v>34024380055</v>
      </c>
      <c r="AA39" s="2">
        <f t="shared" si="7"/>
        <v>911423557</v>
      </c>
      <c r="AB39" s="2">
        <f t="shared" si="7"/>
        <v>31256369787</v>
      </c>
      <c r="AC39" s="2">
        <f t="shared" si="7"/>
        <v>11142060</v>
      </c>
      <c r="AD39" s="2">
        <f t="shared" si="7"/>
        <v>575572</v>
      </c>
      <c r="AE39" s="2">
        <f t="shared" si="7"/>
        <v>1856586711</v>
      </c>
      <c r="AF39" s="3">
        <f t="shared" si="7"/>
        <v>5.4585162664141844</v>
      </c>
      <c r="AG39" s="3">
        <f t="shared" si="7"/>
        <v>4.5657738717765985</v>
      </c>
      <c r="AH39" s="21"/>
      <c r="AI39" s="3"/>
      <c r="AJ39" s="3"/>
      <c r="AK39" s="3"/>
      <c r="AL39" s="3"/>
      <c r="AM39" s="20"/>
      <c r="AN39" s="3"/>
      <c r="AP39" s="12"/>
    </row>
    <row r="40" spans="1:42" s="54" customFormat="1" x14ac:dyDescent="0.2">
      <c r="A40" s="49" t="s">
        <v>56</v>
      </c>
      <c r="B40" s="50">
        <v>313101400</v>
      </c>
      <c r="C40" s="50">
        <v>0</v>
      </c>
      <c r="D40" s="50">
        <v>313101400</v>
      </c>
      <c r="E40" s="50"/>
      <c r="F40" s="50"/>
      <c r="G40" s="50"/>
      <c r="H40" s="51">
        <v>0</v>
      </c>
      <c r="I40" s="52"/>
      <c r="J40" s="53">
        <v>3205523200</v>
      </c>
      <c r="K40" s="53">
        <v>0</v>
      </c>
      <c r="L40" s="53">
        <v>3205523200</v>
      </c>
      <c r="M40" s="53"/>
      <c r="N40" s="53"/>
      <c r="O40" s="50"/>
      <c r="P40" s="51">
        <v>0</v>
      </c>
      <c r="Q40" s="52"/>
      <c r="R40" s="50">
        <v>323612100</v>
      </c>
      <c r="S40" s="50">
        <v>0</v>
      </c>
      <c r="T40" s="50">
        <v>323612100</v>
      </c>
      <c r="U40" s="50">
        <v>0</v>
      </c>
      <c r="V40" s="50">
        <v>0</v>
      </c>
      <c r="W40" s="50">
        <v>0</v>
      </c>
      <c r="X40" s="51">
        <v>0</v>
      </c>
      <c r="Y40" s="52"/>
      <c r="Z40" s="53">
        <v>3036446844</v>
      </c>
      <c r="AA40" s="53">
        <v>0</v>
      </c>
      <c r="AB40" s="53">
        <v>3036446844</v>
      </c>
      <c r="AC40" s="53">
        <v>0</v>
      </c>
      <c r="AD40" s="53">
        <v>0</v>
      </c>
      <c r="AE40" s="50">
        <v>0</v>
      </c>
      <c r="AF40" s="51">
        <v>0</v>
      </c>
      <c r="AG40" s="52"/>
      <c r="AH40" s="52"/>
      <c r="AI40" s="51"/>
      <c r="AJ40" s="51"/>
      <c r="AK40" s="51"/>
      <c r="AL40" s="51"/>
      <c r="AM40" s="53" t="e">
        <f>#REF!-#REF!</f>
        <v>#REF!</v>
      </c>
      <c r="AN40" s="51" t="e">
        <f>AM40*100/#REF!</f>
        <v>#REF!</v>
      </c>
      <c r="AP40" s="55"/>
    </row>
    <row r="41" spans="1:42" s="61" customFormat="1" x14ac:dyDescent="0.2">
      <c r="A41" s="56" t="s">
        <v>45</v>
      </c>
      <c r="B41" s="57">
        <v>4828957258</v>
      </c>
      <c r="C41" s="57">
        <v>257869959</v>
      </c>
      <c r="D41" s="57">
        <v>4202937181</v>
      </c>
      <c r="E41" s="57"/>
      <c r="F41" s="57">
        <v>52329</v>
      </c>
      <c r="G41" s="57">
        <f>B41-C41-D41</f>
        <v>368150118</v>
      </c>
      <c r="H41" s="58">
        <f>(B41-C41-D41)*100/(B41-F41)</f>
        <v>7.6238841603418948</v>
      </c>
      <c r="I41" s="59">
        <f>I35+I10</f>
        <v>7.63</v>
      </c>
      <c r="J41" s="60">
        <v>45044995943</v>
      </c>
      <c r="K41" s="60">
        <v>1999184934</v>
      </c>
      <c r="L41" s="60">
        <v>40636160101</v>
      </c>
      <c r="M41" s="60"/>
      <c r="N41" s="60">
        <v>2714821</v>
      </c>
      <c r="O41" s="57">
        <f>J41-K41-L41</f>
        <v>2409650908</v>
      </c>
      <c r="P41" s="58">
        <f>(J41-K41-L41)*100/(J41-N41)</f>
        <v>5.3497532717610392</v>
      </c>
      <c r="Q41" s="59">
        <f>Q35+Q10</f>
        <v>5.3534476349987141</v>
      </c>
      <c r="R41" s="57">
        <v>4405850285</v>
      </c>
      <c r="S41" s="57">
        <v>190289768</v>
      </c>
      <c r="T41" s="57">
        <v>3895040922</v>
      </c>
      <c r="U41" s="57"/>
      <c r="V41" s="57">
        <v>67918</v>
      </c>
      <c r="W41" s="57">
        <f>R41-S41-T41</f>
        <v>320519595</v>
      </c>
      <c r="X41" s="58">
        <f>(R41-S41-T41)*100/(R41-V41)</f>
        <v>7.2749756638172141</v>
      </c>
      <c r="Y41" s="59">
        <f>Y35+Y10</f>
        <v>7.2732088988811379</v>
      </c>
      <c r="Z41" s="60">
        <v>40663133198</v>
      </c>
      <c r="AA41" s="60">
        <v>1685444913</v>
      </c>
      <c r="AB41" s="60">
        <v>36677033882</v>
      </c>
      <c r="AC41" s="60"/>
      <c r="AD41" s="60">
        <v>17288982</v>
      </c>
      <c r="AE41" s="57">
        <f>Z41-AA41-AB41</f>
        <v>2300654403</v>
      </c>
      <c r="AF41" s="58">
        <f>(Z41-AA41-AB41)*100/(Z41-AD41)</f>
        <v>5.6602450936284425</v>
      </c>
      <c r="AG41" s="59">
        <f>AG35+AG10</f>
        <v>5.6579758421398765</v>
      </c>
      <c r="AH41" s="59">
        <v>5.48</v>
      </c>
      <c r="AI41" s="58">
        <f>H41-AH41</f>
        <v>2.1438841603418943</v>
      </c>
      <c r="AJ41" s="58">
        <f>H41-X41</f>
        <v>0.3489084965246807</v>
      </c>
      <c r="AK41" s="58">
        <f>P41-AH41</f>
        <v>-0.13024672823896122</v>
      </c>
      <c r="AL41" s="58">
        <f>P41-AF41</f>
        <v>-0.31049182186740332</v>
      </c>
      <c r="AM41" s="60"/>
      <c r="AN41" s="58"/>
      <c r="AP41" s="62"/>
    </row>
    <row r="42" spans="1:42" hidden="1" x14ac:dyDescent="0.2">
      <c r="A42" s="26"/>
      <c r="B42" s="27"/>
      <c r="C42" s="27"/>
      <c r="D42" s="27"/>
      <c r="E42" s="27"/>
      <c r="F42" s="27"/>
      <c r="G42" s="28"/>
      <c r="H42" s="29" t="s">
        <v>46</v>
      </c>
      <c r="I42" s="29"/>
      <c r="J42" s="27">
        <f>B41*31/30</f>
        <v>4989922499.9333334</v>
      </c>
      <c r="K42" s="27">
        <f>C41*31/30</f>
        <v>266465624.30000001</v>
      </c>
      <c r="L42" s="27">
        <f>D41*30/31</f>
        <v>4067358562.2580647</v>
      </c>
      <c r="M42" s="27">
        <f>E41*31/30</f>
        <v>0</v>
      </c>
      <c r="N42" s="27">
        <f>F41*31/30</f>
        <v>54073.3</v>
      </c>
      <c r="O42" s="27">
        <f>J42-K42-L42</f>
        <v>656098313.37526846</v>
      </c>
      <c r="P42" s="30">
        <f>(J42-K42-L42)*100/(J42-N42)</f>
        <v>13.148609487844519</v>
      </c>
      <c r="Q42" s="29"/>
      <c r="R42" s="27"/>
      <c r="S42" s="27"/>
      <c r="T42" s="27"/>
      <c r="U42" s="27"/>
      <c r="V42" s="27"/>
      <c r="W42" s="27"/>
      <c r="X42" s="31"/>
      <c r="Y42" s="29"/>
      <c r="Z42" s="27"/>
      <c r="AA42" s="27"/>
      <c r="AB42" s="27"/>
      <c r="AC42" s="27"/>
      <c r="AD42" s="27"/>
      <c r="AE42" s="27"/>
      <c r="AF42" s="31"/>
      <c r="AG42" s="29"/>
      <c r="AH42" s="12"/>
      <c r="AI42" s="31"/>
      <c r="AJ42" s="31"/>
      <c r="AK42" s="31"/>
      <c r="AL42" s="32"/>
      <c r="AM42" s="20"/>
      <c r="AN42" s="3"/>
    </row>
    <row r="43" spans="1:42" hidden="1" x14ac:dyDescent="0.2">
      <c r="C43" s="33"/>
      <c r="D43" s="34"/>
      <c r="E43" s="33"/>
      <c r="F43" s="33"/>
      <c r="G43" s="33"/>
      <c r="H43" s="35">
        <v>2011</v>
      </c>
      <c r="I43" s="35"/>
      <c r="J43" s="2">
        <f>J41+J42</f>
        <v>50034918442.933334</v>
      </c>
      <c r="K43" s="2">
        <f>K41+K42</f>
        <v>2265650558.3000002</v>
      </c>
      <c r="L43" s="2">
        <f>L41+L42</f>
        <v>44703518663.258064</v>
      </c>
      <c r="M43" s="2"/>
      <c r="N43" s="2">
        <f>N41+N42</f>
        <v>2768894.3</v>
      </c>
      <c r="O43" s="2">
        <f>J43-K43-L43</f>
        <v>3065749221.375267</v>
      </c>
      <c r="P43" s="5">
        <f>(J43-K43-L43)*100/(J43-N43)</f>
        <v>6.1275584779647163</v>
      </c>
      <c r="Q43" s="35"/>
      <c r="U43" s="33"/>
      <c r="V43" s="33"/>
      <c r="W43" s="33"/>
      <c r="Y43" s="35"/>
      <c r="AC43" s="33"/>
      <c r="AD43" s="33"/>
      <c r="AE43" s="33"/>
      <c r="AG43" s="35"/>
    </row>
    <row r="44" spans="1:42" hidden="1" x14ac:dyDescent="0.2">
      <c r="C44" s="33"/>
      <c r="D44" s="33">
        <f>D35+D38+D40</f>
        <v>4516038581</v>
      </c>
      <c r="E44" s="33"/>
      <c r="F44" s="33"/>
      <c r="G44" s="33">
        <f>G34+G9</f>
        <v>52268368</v>
      </c>
      <c r="I44" s="12"/>
      <c r="K44" s="33"/>
      <c r="L44" s="33"/>
      <c r="M44" s="33"/>
      <c r="N44" s="33"/>
      <c r="O44" s="33">
        <f>O34+O9</f>
        <v>288280113</v>
      </c>
      <c r="P44" s="12" t="s">
        <v>57</v>
      </c>
      <c r="Q44" s="12">
        <f>Q34+Q33</f>
        <v>0</v>
      </c>
      <c r="U44" s="33"/>
      <c r="V44" s="33"/>
      <c r="W44" s="33"/>
      <c r="AC44" s="33"/>
      <c r="AD44" s="33"/>
      <c r="AE44" s="33"/>
      <c r="AG44" s="12"/>
    </row>
    <row r="45" spans="1:42" hidden="1" x14ac:dyDescent="0.2">
      <c r="C45" s="33"/>
      <c r="D45" s="33"/>
      <c r="E45" s="33"/>
      <c r="F45" s="33"/>
      <c r="G45" s="33">
        <v>64770238</v>
      </c>
      <c r="J45" s="33"/>
      <c r="K45" s="33"/>
      <c r="L45" s="33"/>
      <c r="M45" s="33"/>
      <c r="N45" s="33"/>
      <c r="O45" s="33">
        <v>127905791</v>
      </c>
      <c r="Q45" s="12"/>
      <c r="U45" s="33"/>
      <c r="V45" s="33"/>
      <c r="W45" s="33"/>
      <c r="AC45" s="33"/>
      <c r="AD45" s="33"/>
      <c r="AE45" s="33"/>
    </row>
    <row r="46" spans="1:42" x14ac:dyDescent="0.2">
      <c r="C46" s="33"/>
      <c r="D46" s="33"/>
      <c r="E46" s="33"/>
      <c r="F46" s="33"/>
      <c r="G46" s="33"/>
      <c r="J46" s="33"/>
      <c r="K46" s="33"/>
      <c r="L46" s="33"/>
      <c r="M46" s="33"/>
      <c r="N46" s="33"/>
      <c r="O46" s="33"/>
      <c r="U46" s="33"/>
      <c r="V46" s="33"/>
      <c r="W46" s="33"/>
      <c r="AC46" s="33"/>
      <c r="AD46" s="33"/>
      <c r="AE46" s="33"/>
    </row>
    <row r="47" spans="1:42" x14ac:dyDescent="0.2">
      <c r="C47" s="33"/>
      <c r="D47" s="33"/>
      <c r="E47" s="33"/>
      <c r="F47" s="33"/>
      <c r="G47" s="33"/>
      <c r="J47" s="33"/>
      <c r="K47" s="33"/>
      <c r="L47" s="33"/>
      <c r="M47" s="33"/>
      <c r="N47" s="33"/>
      <c r="O47" s="33"/>
      <c r="U47" s="33"/>
      <c r="V47" s="33"/>
      <c r="W47" s="33"/>
      <c r="AC47" s="33"/>
      <c r="AD47" s="33"/>
      <c r="AE47" s="33"/>
    </row>
    <row r="48" spans="1:42" x14ac:dyDescent="0.2">
      <c r="C48" s="33"/>
      <c r="D48" s="33"/>
      <c r="E48" s="33"/>
      <c r="F48" s="33"/>
      <c r="G48" s="33"/>
      <c r="K48" s="33"/>
      <c r="L48" s="33"/>
      <c r="M48" s="33"/>
      <c r="N48" s="33"/>
      <c r="O48" s="33"/>
      <c r="U48" s="33"/>
      <c r="V48" s="33"/>
      <c r="W48" s="33"/>
      <c r="AC48" s="33"/>
      <c r="AD48" s="33"/>
      <c r="AE48" s="33"/>
    </row>
    <row r="49" spans="3:31" x14ac:dyDescent="0.2">
      <c r="C49" s="33"/>
      <c r="D49" s="33"/>
      <c r="E49" s="33"/>
      <c r="F49" s="33"/>
      <c r="G49" s="33"/>
      <c r="J49" s="33"/>
      <c r="K49" s="33"/>
      <c r="L49" s="33"/>
      <c r="M49" s="33"/>
      <c r="N49" s="33"/>
      <c r="O49" s="33"/>
      <c r="U49" s="33"/>
      <c r="V49" s="33"/>
      <c r="W49" s="33"/>
      <c r="AC49" s="33"/>
      <c r="AD49" s="33"/>
      <c r="AE49" s="33"/>
    </row>
    <row r="50" spans="3:31" x14ac:dyDescent="0.2">
      <c r="C50" s="33"/>
      <c r="D50" s="33"/>
      <c r="E50" s="33"/>
      <c r="F50" s="33"/>
      <c r="G50" s="33"/>
      <c r="J50" s="33"/>
      <c r="K50" s="33"/>
      <c r="L50" s="33"/>
      <c r="M50" s="33"/>
      <c r="N50" s="33"/>
      <c r="O50" s="33"/>
      <c r="U50" s="33"/>
      <c r="V50" s="33"/>
      <c r="W50" s="33"/>
      <c r="AC50" s="33"/>
      <c r="AD50" s="33"/>
      <c r="AE50" s="33"/>
    </row>
    <row r="51" spans="3:31" x14ac:dyDescent="0.2">
      <c r="C51" s="33"/>
      <c r="D51" s="33"/>
      <c r="E51" s="33"/>
      <c r="F51" s="33"/>
      <c r="G51" s="33"/>
      <c r="K51" s="33"/>
      <c r="L51" s="33"/>
      <c r="M51" s="33"/>
      <c r="N51" s="33"/>
      <c r="O51" s="33"/>
      <c r="U51" s="33"/>
      <c r="V51" s="33"/>
      <c r="W51" s="33"/>
      <c r="AC51" s="33"/>
      <c r="AD51" s="33"/>
      <c r="AE51" s="33"/>
    </row>
  </sheetData>
  <mergeCells count="25">
    <mergeCell ref="U4:V4"/>
    <mergeCell ref="W4:W5"/>
    <mergeCell ref="AG4:AG5"/>
    <mergeCell ref="AA4:AB4"/>
    <mergeCell ref="AF4:AF5"/>
    <mergeCell ref="AC4:AD4"/>
    <mergeCell ref="AE4:AE5"/>
    <mergeCell ref="A3:A5"/>
    <mergeCell ref="C4:D4"/>
    <mergeCell ref="E4:F4"/>
    <mergeCell ref="B4:B5"/>
    <mergeCell ref="I4:I5"/>
    <mergeCell ref="J4:J5"/>
    <mergeCell ref="G4:G5"/>
    <mergeCell ref="H4:H5"/>
    <mergeCell ref="M4:N4"/>
    <mergeCell ref="Z4:Z5"/>
    <mergeCell ref="K4:L4"/>
    <mergeCell ref="O4:O5"/>
    <mergeCell ref="P4:P5"/>
    <mergeCell ref="Q4:Q5"/>
    <mergeCell ref="Y4:Y5"/>
    <mergeCell ref="X4:X5"/>
    <mergeCell ref="R4:R5"/>
    <mergeCell ref="S4:T4"/>
  </mergeCells>
  <conditionalFormatting sqref="AO42:IV42 AL8:IV13 AO15:AO34 AQ15:IV34 AK42:AM42 AI42 AI8:AI35 AL14:AM35 AP14:AP35 AP38:AP39 AL38:AM39 AI38:AI39">
    <cfRule type="expression" dxfId="230" priority="75" stopIfTrue="1">
      <formula>"AE&gt;0"</formula>
    </cfRule>
  </conditionalFormatting>
  <conditionalFormatting sqref="R42:X42 A42:N42 AJ42 AJ8:AJ35 A38:B39 AJ38:AJ39 A8:A10 A11:H33 A35:H35 A34 J35:P35 J11:P33 R11:X33 R35:X35 Z35:AF35 Z11:AF33 Z42:AF42">
    <cfRule type="expression" dxfId="229" priority="76" stopIfTrue="1">
      <formula>#REF!&gt;0</formula>
    </cfRule>
  </conditionalFormatting>
  <conditionalFormatting sqref="AN14:AO14 AQ14:IV14 AN42 AN15:AN35 AN38:AN39">
    <cfRule type="expression" dxfId="228" priority="77" stopIfTrue="1">
      <formula>#REF!&gt;0</formula>
    </cfRule>
  </conditionalFormatting>
  <conditionalFormatting sqref="AK8:AK35 AK38:AK39">
    <cfRule type="cellIs" dxfId="227" priority="78" stopIfTrue="1" operator="greaterThanOrEqual">
      <formula>0</formula>
    </cfRule>
  </conditionalFormatting>
  <conditionalFormatting sqref="AH8:AH34">
    <cfRule type="expression" dxfId="226" priority="74" stopIfTrue="1">
      <formula>"AE&gt;0"</formula>
    </cfRule>
  </conditionalFormatting>
  <conditionalFormatting sqref="AI40 AL40:AM40 AO40 AQ40:IV40">
    <cfRule type="expression" dxfId="225" priority="70" stopIfTrue="1">
      <formula>"AE&gt;0"</formula>
    </cfRule>
  </conditionalFormatting>
  <conditionalFormatting sqref="AJ40 A40:H40 J40:P40">
    <cfRule type="expression" dxfId="224" priority="71" stopIfTrue="1">
      <formula>#REF!&gt;0</formula>
    </cfRule>
  </conditionalFormatting>
  <conditionalFormatting sqref="AN40">
    <cfRule type="expression" dxfId="223" priority="72" stopIfTrue="1">
      <formula>#REF!&gt;0</formula>
    </cfRule>
  </conditionalFormatting>
  <conditionalFormatting sqref="AK40">
    <cfRule type="cellIs" dxfId="222" priority="73" stopIfTrue="1" operator="greaterThanOrEqual">
      <formula>0</formula>
    </cfRule>
  </conditionalFormatting>
  <conditionalFormatting sqref="AH40">
    <cfRule type="expression" dxfId="221" priority="69" stopIfTrue="1">
      <formula>"AE&gt;0"</formula>
    </cfRule>
  </conditionalFormatting>
  <conditionalFormatting sqref="R40:X40 Z40:AF40">
    <cfRule type="expression" dxfId="220" priority="68" stopIfTrue="1">
      <formula>#REF!&gt;0</formula>
    </cfRule>
  </conditionalFormatting>
  <conditionalFormatting sqref="AP40">
    <cfRule type="expression" dxfId="219" priority="67" stopIfTrue="1">
      <formula>"AE&gt;0"</formula>
    </cfRule>
  </conditionalFormatting>
  <conditionalFormatting sqref="B8:F8 H9 H8:P8 J9:P9 G10:H10 O10:P10 J10:M10 B9:C9 E9:F9 B10:D10">
    <cfRule type="expression" dxfId="218" priority="66" stopIfTrue="1">
      <formula>#REF!&gt;0</formula>
    </cfRule>
  </conditionalFormatting>
  <conditionalFormatting sqref="R34:X34 Z34:AF34">
    <cfRule type="expression" dxfId="217" priority="63" stopIfTrue="1">
      <formula>#REF!&gt;0</formula>
    </cfRule>
  </conditionalFormatting>
  <conditionalFormatting sqref="R8:X9 Z8:AF9 R10:T10 V10:X10 Z10:AB10 AD10:AF10">
    <cfRule type="expression" dxfId="216" priority="65" stopIfTrue="1">
      <formula>#REF!&gt;0</formula>
    </cfRule>
  </conditionalFormatting>
  <conditionalFormatting sqref="J34:N34 B34:F34">
    <cfRule type="expression" dxfId="215" priority="64" stopIfTrue="1">
      <formula>#REF!&gt;0</formula>
    </cfRule>
  </conditionalFormatting>
  <conditionalFormatting sqref="I10:I33">
    <cfRule type="expression" dxfId="214" priority="62" stopIfTrue="1">
      <formula>#REF!&gt;0</formula>
    </cfRule>
  </conditionalFormatting>
  <conditionalFormatting sqref="I40">
    <cfRule type="expression" dxfId="213" priority="59" stopIfTrue="1">
      <formula>#REF!&gt;0</formula>
    </cfRule>
  </conditionalFormatting>
  <conditionalFormatting sqref="I35">
    <cfRule type="expression" dxfId="212" priority="61" stopIfTrue="1">
      <formula>#REF!&gt;0</formula>
    </cfRule>
  </conditionalFormatting>
  <conditionalFormatting sqref="I9">
    <cfRule type="expression" dxfId="211" priority="60" stopIfTrue="1">
      <formula>#REF!&gt;0</formula>
    </cfRule>
  </conditionalFormatting>
  <conditionalFormatting sqref="Q40">
    <cfRule type="expression" dxfId="210" priority="53" stopIfTrue="1">
      <formula>#REF!&gt;0</formula>
    </cfRule>
  </conditionalFormatting>
  <conditionalFormatting sqref="Q42">
    <cfRule type="expression" dxfId="209" priority="58" stopIfTrue="1">
      <formula>#REF!&gt;0</formula>
    </cfRule>
  </conditionalFormatting>
  <conditionalFormatting sqref="Q11:Q34">
    <cfRule type="expression" dxfId="208" priority="56" stopIfTrue="1">
      <formula>#REF!&gt;0</formula>
    </cfRule>
  </conditionalFormatting>
  <conditionalFormatting sqref="Y40">
    <cfRule type="expression" dxfId="207" priority="47" stopIfTrue="1">
      <formula>#REF!&gt;0</formula>
    </cfRule>
  </conditionalFormatting>
  <conditionalFormatting sqref="Q35">
    <cfRule type="expression" dxfId="206" priority="55" stopIfTrue="1">
      <formula>#REF!&gt;0</formula>
    </cfRule>
  </conditionalFormatting>
  <conditionalFormatting sqref="Y42">
    <cfRule type="expression" dxfId="205" priority="52" stopIfTrue="1">
      <formula>#REF!&gt;0</formula>
    </cfRule>
  </conditionalFormatting>
  <conditionalFormatting sqref="Y8">
    <cfRule type="expression" dxfId="204" priority="51" stopIfTrue="1">
      <formula>#REF!&gt;0</formula>
    </cfRule>
  </conditionalFormatting>
  <conditionalFormatting sqref="Y10:Y34">
    <cfRule type="expression" dxfId="203" priority="50" stopIfTrue="1">
      <formula>#REF!&gt;0</formula>
    </cfRule>
  </conditionalFormatting>
  <conditionalFormatting sqref="Y35">
    <cfRule type="expression" dxfId="202" priority="49" stopIfTrue="1">
      <formula>#REF!&gt;0</formula>
    </cfRule>
  </conditionalFormatting>
  <conditionalFormatting sqref="Y9">
    <cfRule type="expression" dxfId="201" priority="48" stopIfTrue="1">
      <formula>#REF!&gt;0</formula>
    </cfRule>
  </conditionalFormatting>
  <conditionalFormatting sqref="AG40">
    <cfRule type="expression" dxfId="200" priority="41" stopIfTrue="1">
      <formula>#REF!&gt;0</formula>
    </cfRule>
  </conditionalFormatting>
  <conditionalFormatting sqref="AG42">
    <cfRule type="expression" dxfId="199" priority="46" stopIfTrue="1">
      <formula>#REF!&gt;0</formula>
    </cfRule>
  </conditionalFormatting>
  <conditionalFormatting sqref="AG8">
    <cfRule type="expression" dxfId="198" priority="45" stopIfTrue="1">
      <formula>#REF!&gt;0</formula>
    </cfRule>
  </conditionalFormatting>
  <conditionalFormatting sqref="AG10:AG34">
    <cfRule type="expression" dxfId="197" priority="44" stopIfTrue="1">
      <formula>#REF!&gt;0</formula>
    </cfRule>
  </conditionalFormatting>
  <conditionalFormatting sqref="AG35">
    <cfRule type="expression" dxfId="196" priority="43" stopIfTrue="1">
      <formula>#REF!&gt;0</formula>
    </cfRule>
  </conditionalFormatting>
  <conditionalFormatting sqref="AG9">
    <cfRule type="expression" dxfId="195" priority="42" stopIfTrue="1">
      <formula>#REF!&gt;0</formula>
    </cfRule>
  </conditionalFormatting>
  <conditionalFormatting sqref="AI37 AL37:AM37 AP37">
    <cfRule type="expression" dxfId="194" priority="37" stopIfTrue="1">
      <formula>"AE&gt;0"</formula>
    </cfRule>
  </conditionalFormatting>
  <conditionalFormatting sqref="AJ37 A37:H37 J37:P37 R37:X37 Z37:AF37">
    <cfRule type="expression" dxfId="193" priority="38" stopIfTrue="1">
      <formula>#REF!&gt;0</formula>
    </cfRule>
  </conditionalFormatting>
  <conditionalFormatting sqref="AN37">
    <cfRule type="expression" dxfId="192" priority="39" stopIfTrue="1">
      <formula>#REF!&gt;0</formula>
    </cfRule>
  </conditionalFormatting>
  <conditionalFormatting sqref="AK37">
    <cfRule type="cellIs" dxfId="191" priority="40" stopIfTrue="1" operator="greaterThanOrEqual">
      <formula>0</formula>
    </cfRule>
  </conditionalFormatting>
  <conditionalFormatting sqref="I37">
    <cfRule type="expression" dxfId="190" priority="36" stopIfTrue="1">
      <formula>#REF!&gt;0</formula>
    </cfRule>
  </conditionalFormatting>
  <conditionalFormatting sqref="Q37">
    <cfRule type="expression" dxfId="189" priority="35" stopIfTrue="1">
      <formula>#REF!&gt;0</formula>
    </cfRule>
  </conditionalFormatting>
  <conditionalFormatting sqref="Y37">
    <cfRule type="expression" dxfId="188" priority="34" stopIfTrue="1">
      <formula>#REF!&gt;0</formula>
    </cfRule>
  </conditionalFormatting>
  <conditionalFormatting sqref="AG37">
    <cfRule type="expression" dxfId="187" priority="33" stopIfTrue="1">
      <formula>#REF!&gt;0</formula>
    </cfRule>
  </conditionalFormatting>
  <conditionalFormatting sqref="J38:O39 R38:W39 Z38:AE39 C38:G39">
    <cfRule type="expression" dxfId="186" priority="32" stopIfTrue="1">
      <formula>#REF!&gt;0</formula>
    </cfRule>
  </conditionalFormatting>
  <conditionalFormatting sqref="H38:I39">
    <cfRule type="expression" dxfId="185" priority="31" stopIfTrue="1">
      <formula>#REF!&gt;0</formula>
    </cfRule>
  </conditionalFormatting>
  <conditionalFormatting sqref="P38:Q39">
    <cfRule type="expression" dxfId="184" priority="30" stopIfTrue="1">
      <formula>#REF!&gt;0</formula>
    </cfRule>
  </conditionalFormatting>
  <conditionalFormatting sqref="X38:Y39">
    <cfRule type="expression" dxfId="183" priority="29" stopIfTrue="1">
      <formula>#REF!&gt;0</formula>
    </cfRule>
  </conditionalFormatting>
  <conditionalFormatting sqref="AF38:AG39">
    <cfRule type="expression" dxfId="182" priority="28" stopIfTrue="1">
      <formula>#REF!&gt;0</formula>
    </cfRule>
  </conditionalFormatting>
  <conditionalFormatting sqref="A6">
    <cfRule type="expression" dxfId="181" priority="27" stopIfTrue="1">
      <formula>#REF!&gt;0</formula>
    </cfRule>
  </conditionalFormatting>
  <conditionalFormatting sqref="AI41 AL41:AM41 AO41 AQ41:IV41">
    <cfRule type="expression" dxfId="180" priority="23" stopIfTrue="1">
      <formula>"AE&gt;0"</formula>
    </cfRule>
  </conditionalFormatting>
  <conditionalFormatting sqref="AJ41 J41:P41 A41:H41">
    <cfRule type="expression" dxfId="179" priority="24" stopIfTrue="1">
      <formula>#REF!&gt;0</formula>
    </cfRule>
  </conditionalFormatting>
  <conditionalFormatting sqref="AN41">
    <cfRule type="expression" dxfId="178" priority="25" stopIfTrue="1">
      <formula>#REF!&gt;0</formula>
    </cfRule>
  </conditionalFormatting>
  <conditionalFormatting sqref="AK41">
    <cfRule type="cellIs" dxfId="177" priority="26" stopIfTrue="1" operator="greaterThanOrEqual">
      <formula>0</formula>
    </cfRule>
  </conditionalFormatting>
  <conditionalFormatting sqref="AH41">
    <cfRule type="expression" dxfId="176" priority="22" stopIfTrue="1">
      <formula>"AE&gt;0"</formula>
    </cfRule>
  </conditionalFormatting>
  <conditionalFormatting sqref="R41:X41 Z41:AF41">
    <cfRule type="expression" dxfId="175" priority="21" stopIfTrue="1">
      <formula>#REF!&gt;0</formula>
    </cfRule>
  </conditionalFormatting>
  <conditionalFormatting sqref="AP41">
    <cfRule type="expression" dxfId="174" priority="20" stopIfTrue="1">
      <formula>"AE&gt;0"</formula>
    </cfRule>
  </conditionalFormatting>
  <conditionalFormatting sqref="I41">
    <cfRule type="expression" dxfId="173" priority="19" stopIfTrue="1">
      <formula>#REF!&gt;0</formula>
    </cfRule>
  </conditionalFormatting>
  <conditionalFormatting sqref="Q41">
    <cfRule type="expression" dxfId="172" priority="18" stopIfTrue="1">
      <formula>#REF!&gt;0</formula>
    </cfRule>
  </conditionalFormatting>
  <conditionalFormatting sqref="Y41">
    <cfRule type="expression" dxfId="171" priority="17" stopIfTrue="1">
      <formula>#REF!&gt;0</formula>
    </cfRule>
  </conditionalFormatting>
  <conditionalFormatting sqref="AG41">
    <cfRule type="expression" dxfId="170" priority="16" stopIfTrue="1">
      <formula>#REF!&gt;0</formula>
    </cfRule>
  </conditionalFormatting>
  <conditionalFormatting sqref="F10">
    <cfRule type="expression" dxfId="169" priority="15" stopIfTrue="1">
      <formula>#REF!&gt;0</formula>
    </cfRule>
  </conditionalFormatting>
  <conditionalFormatting sqref="N10">
    <cfRule type="expression" dxfId="168" priority="14" stopIfTrue="1">
      <formula>#REF!&gt;0</formula>
    </cfRule>
  </conditionalFormatting>
  <conditionalFormatting sqref="D9">
    <cfRule type="expression" dxfId="167" priority="13" stopIfTrue="1">
      <formula>#REF!&gt;0</formula>
    </cfRule>
  </conditionalFormatting>
  <conditionalFormatting sqref="I34">
    <cfRule type="expression" dxfId="166" priority="12" stopIfTrue="1">
      <formula>#REF!&gt;0</formula>
    </cfRule>
  </conditionalFormatting>
  <conditionalFormatting sqref="G9">
    <cfRule type="expression" dxfId="165" priority="11" stopIfTrue="1">
      <formula>#REF!&gt;0</formula>
    </cfRule>
  </conditionalFormatting>
  <conditionalFormatting sqref="G8">
    <cfRule type="expression" dxfId="164" priority="10" stopIfTrue="1">
      <formula>#REF!&gt;0</formula>
    </cfRule>
  </conditionalFormatting>
  <conditionalFormatting sqref="G34:H34">
    <cfRule type="expression" dxfId="163" priority="9" stopIfTrue="1">
      <formula>#REF!&gt;0</formula>
    </cfRule>
  </conditionalFormatting>
  <conditionalFormatting sqref="O34:P34">
    <cfRule type="expression" dxfId="162" priority="8" stopIfTrue="1">
      <formula>#REF!&gt;0</formula>
    </cfRule>
  </conditionalFormatting>
  <conditionalFormatting sqref="E10">
    <cfRule type="expression" dxfId="161" priority="7" stopIfTrue="1">
      <formula>#REF!&gt;0</formula>
    </cfRule>
  </conditionalFormatting>
  <conditionalFormatting sqref="U10">
    <cfRule type="expression" dxfId="160" priority="6" stopIfTrue="1">
      <formula>#REF!&gt;0</formula>
    </cfRule>
  </conditionalFormatting>
  <conditionalFormatting sqref="AC10">
    <cfRule type="expression" dxfId="159" priority="5" stopIfTrue="1">
      <formula>#REF!&gt;0</formula>
    </cfRule>
  </conditionalFormatting>
  <conditionalFormatting sqref="Q8">
    <cfRule type="expression" dxfId="158" priority="3" stopIfTrue="1">
      <formula>#REF!&gt;0</formula>
    </cfRule>
  </conditionalFormatting>
  <conditionalFormatting sqref="Q10">
    <cfRule type="expression" dxfId="157" priority="2" stopIfTrue="1">
      <formula>#REF!&gt;0</formula>
    </cfRule>
  </conditionalFormatting>
  <conditionalFormatting sqref="Q9">
    <cfRule type="expression" dxfId="156" priority="1" stopIfTrue="1">
      <formula>#REF!&gt;0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CDD3-6330-419A-A490-65C1C7700D2B}">
  <dimension ref="A1:AP51"/>
  <sheetViews>
    <sheetView workbookViewId="0">
      <pane xSplit="1" ySplit="5" topLeftCell="B24" activePane="bottomRight" state="frozen"/>
      <selection activeCell="L33" sqref="L33"/>
      <selection pane="topRight" activeCell="L33" sqref="L33"/>
      <selection pane="bottomLeft" activeCell="L33" sqref="L33"/>
      <selection pane="bottomRight" activeCell="L33" sqref="L33"/>
    </sheetView>
  </sheetViews>
  <sheetFormatPr defaultRowHeight="11.25" outlineLevelCol="1" x14ac:dyDescent="0.2"/>
  <cols>
    <col min="1" max="1" width="18.28515625" style="1" bestFit="1" customWidth="1"/>
    <col min="2" max="4" width="10.85546875" style="1" customWidth="1"/>
    <col min="5" max="5" width="9.140625" style="1" bestFit="1" customWidth="1"/>
    <col min="6" max="6" width="10" style="1" bestFit="1" customWidth="1"/>
    <col min="7" max="7" width="10.5703125" style="1" bestFit="1" customWidth="1"/>
    <col min="8" max="8" width="5.42578125" style="1" customWidth="1"/>
    <col min="9" max="9" width="5.7109375" style="1" customWidth="1"/>
    <col min="10" max="12" width="13.85546875" style="1" bestFit="1" customWidth="1"/>
    <col min="13" max="13" width="10.7109375" style="1" bestFit="1" customWidth="1"/>
    <col min="14" max="14" width="11.7109375" style="1" bestFit="1" customWidth="1"/>
    <col min="15" max="15" width="12.7109375" style="1" bestFit="1" customWidth="1"/>
    <col min="16" max="16" width="6.5703125" style="12" bestFit="1" customWidth="1"/>
    <col min="17" max="17" width="5.85546875" style="1" customWidth="1"/>
    <col min="18" max="20" width="10.85546875" style="1" customWidth="1" outlineLevel="1"/>
    <col min="21" max="21" width="10" style="1" customWidth="1" outlineLevel="1"/>
    <col min="22" max="22" width="9.140625" style="1" customWidth="1" outlineLevel="1"/>
    <col min="23" max="23" width="10" style="1" customWidth="1" outlineLevel="1"/>
    <col min="24" max="24" width="5.140625" style="1" customWidth="1" outlineLevel="1"/>
    <col min="25" max="25" width="5.42578125" style="1" customWidth="1"/>
    <col min="26" max="28" width="11.7109375" style="1" customWidth="1" outlineLevel="1"/>
    <col min="29" max="29" width="11.28515625" style="1" customWidth="1" outlineLevel="1"/>
    <col min="30" max="30" width="10.140625" style="1" customWidth="1" outlineLevel="1"/>
    <col min="31" max="31" width="10.85546875" style="1" customWidth="1" outlineLevel="1"/>
    <col min="32" max="32" width="5.140625" style="1" customWidth="1" outlineLevel="1"/>
    <col min="33" max="33" width="5.42578125" style="1" customWidth="1"/>
    <col min="34" max="34" width="5.140625" style="1" hidden="1" customWidth="1"/>
    <col min="35" max="36" width="5.85546875" style="1" hidden="1" customWidth="1"/>
    <col min="37" max="37" width="5.7109375" style="1" hidden="1" customWidth="1"/>
    <col min="38" max="38" width="5.85546875" style="1" hidden="1" customWidth="1"/>
    <col min="39" max="39" width="10.85546875" style="1" hidden="1" customWidth="1"/>
    <col min="40" max="40" width="9.140625" style="1" hidden="1" customWidth="1"/>
    <col min="41" max="16384" width="9.140625" style="1"/>
  </cols>
  <sheetData>
    <row r="1" spans="1:42" x14ac:dyDescent="0.2">
      <c r="A1" s="9" t="s">
        <v>78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10"/>
      <c r="R1" s="9"/>
      <c r="S1" s="10"/>
      <c r="T1" s="10"/>
      <c r="U1" s="10"/>
      <c r="V1" s="10"/>
      <c r="W1" s="10"/>
      <c r="X1" s="10"/>
      <c r="Y1" s="10"/>
      <c r="Z1" s="9"/>
      <c r="AA1" s="10"/>
      <c r="AB1" s="10"/>
      <c r="AC1" s="10"/>
      <c r="AD1" s="10"/>
      <c r="AE1" s="10"/>
      <c r="AF1" s="10"/>
      <c r="AG1" s="10"/>
    </row>
    <row r="2" spans="1:42" x14ac:dyDescent="0.2">
      <c r="R2" s="33">
        <f>O34+O9</f>
        <v>297529862</v>
      </c>
    </row>
    <row r="3" spans="1:42" x14ac:dyDescent="0.2">
      <c r="A3" s="70" t="s">
        <v>14</v>
      </c>
      <c r="B3" s="13" t="s">
        <v>76</v>
      </c>
      <c r="C3" s="13"/>
      <c r="D3" s="13"/>
      <c r="E3" s="13"/>
      <c r="F3" s="13"/>
      <c r="G3" s="13"/>
      <c r="H3" s="13"/>
      <c r="I3" s="13"/>
      <c r="J3" s="13" t="s">
        <v>77</v>
      </c>
      <c r="K3" s="13"/>
      <c r="L3" s="13"/>
      <c r="M3" s="13"/>
      <c r="N3" s="13"/>
      <c r="O3" s="13"/>
      <c r="P3" s="14"/>
      <c r="Q3" s="13"/>
      <c r="R3" s="13" t="s">
        <v>10</v>
      </c>
      <c r="S3" s="13"/>
      <c r="T3" s="13"/>
      <c r="U3" s="13"/>
      <c r="V3" s="13"/>
      <c r="W3" s="13"/>
      <c r="X3" s="13"/>
      <c r="Y3" s="13"/>
      <c r="Z3" s="13" t="s">
        <v>11</v>
      </c>
      <c r="AA3" s="13"/>
      <c r="AB3" s="13"/>
      <c r="AC3" s="13"/>
      <c r="AD3" s="13"/>
      <c r="AE3" s="13"/>
      <c r="AF3" s="14"/>
      <c r="AG3" s="13"/>
      <c r="AH3" s="6" t="s">
        <v>15</v>
      </c>
      <c r="AI3" s="13" t="s">
        <v>16</v>
      </c>
      <c r="AJ3" s="13"/>
      <c r="AK3" s="13" t="s">
        <v>17</v>
      </c>
      <c r="AL3" s="13"/>
      <c r="AM3" s="15" t="s">
        <v>18</v>
      </c>
      <c r="AN3" s="13"/>
    </row>
    <row r="4" spans="1:42" ht="12.75" customHeight="1" x14ac:dyDescent="0.2">
      <c r="A4" s="70"/>
      <c r="B4" s="73" t="s">
        <v>0</v>
      </c>
      <c r="C4" s="71" t="s">
        <v>5</v>
      </c>
      <c r="D4" s="72"/>
      <c r="E4" s="71" t="s">
        <v>73</v>
      </c>
      <c r="F4" s="72"/>
      <c r="G4" s="73" t="s">
        <v>3</v>
      </c>
      <c r="H4" s="73" t="s">
        <v>1</v>
      </c>
      <c r="I4" s="73" t="s">
        <v>53</v>
      </c>
      <c r="J4" s="73" t="s">
        <v>0</v>
      </c>
      <c r="K4" s="71" t="s">
        <v>5</v>
      </c>
      <c r="L4" s="72"/>
      <c r="M4" s="71" t="s">
        <v>73</v>
      </c>
      <c r="N4" s="72"/>
      <c r="O4" s="73" t="s">
        <v>3</v>
      </c>
      <c r="P4" s="73" t="s">
        <v>1</v>
      </c>
      <c r="Q4" s="73" t="s">
        <v>53</v>
      </c>
      <c r="R4" s="73" t="s">
        <v>0</v>
      </c>
      <c r="S4" s="71" t="s">
        <v>5</v>
      </c>
      <c r="T4" s="72"/>
      <c r="U4" s="71" t="s">
        <v>73</v>
      </c>
      <c r="V4" s="72"/>
      <c r="W4" s="73" t="s">
        <v>3</v>
      </c>
      <c r="X4" s="73" t="s">
        <v>1</v>
      </c>
      <c r="Y4" s="73" t="s">
        <v>53</v>
      </c>
      <c r="Z4" s="73" t="s">
        <v>0</v>
      </c>
      <c r="AA4" s="71" t="s">
        <v>5</v>
      </c>
      <c r="AB4" s="72"/>
      <c r="AC4" s="71" t="s">
        <v>73</v>
      </c>
      <c r="AD4" s="72"/>
      <c r="AE4" s="73" t="s">
        <v>3</v>
      </c>
      <c r="AF4" s="73" t="s">
        <v>1</v>
      </c>
      <c r="AG4" s="73" t="s">
        <v>53</v>
      </c>
      <c r="AH4" s="6"/>
      <c r="AI4" s="13"/>
      <c r="AJ4" s="13"/>
      <c r="AK4" s="13"/>
      <c r="AL4" s="13"/>
      <c r="AM4" s="15"/>
      <c r="AN4" s="13"/>
    </row>
    <row r="5" spans="1:42" ht="30" customHeight="1" x14ac:dyDescent="0.2">
      <c r="A5" s="70"/>
      <c r="B5" s="74"/>
      <c r="C5" s="4" t="s">
        <v>71</v>
      </c>
      <c r="D5" s="4" t="s">
        <v>72</v>
      </c>
      <c r="E5" s="4" t="s">
        <v>74</v>
      </c>
      <c r="F5" s="4" t="s">
        <v>75</v>
      </c>
      <c r="G5" s="74"/>
      <c r="H5" s="74"/>
      <c r="I5" s="74"/>
      <c r="J5" s="74"/>
      <c r="K5" s="4" t="s">
        <v>71</v>
      </c>
      <c r="L5" s="4" t="s">
        <v>72</v>
      </c>
      <c r="M5" s="4" t="s">
        <v>74</v>
      </c>
      <c r="N5" s="4" t="s">
        <v>75</v>
      </c>
      <c r="O5" s="74"/>
      <c r="P5" s="74"/>
      <c r="Q5" s="74"/>
      <c r="R5" s="74"/>
      <c r="S5" s="4" t="s">
        <v>71</v>
      </c>
      <c r="T5" s="4" t="s">
        <v>72</v>
      </c>
      <c r="U5" s="4" t="s">
        <v>74</v>
      </c>
      <c r="V5" s="4" t="s">
        <v>75</v>
      </c>
      <c r="W5" s="74"/>
      <c r="X5" s="74"/>
      <c r="Y5" s="74"/>
      <c r="Z5" s="74"/>
      <c r="AA5" s="4" t="s">
        <v>71</v>
      </c>
      <c r="AB5" s="4" t="s">
        <v>72</v>
      </c>
      <c r="AC5" s="4" t="s">
        <v>74</v>
      </c>
      <c r="AD5" s="4" t="s">
        <v>75</v>
      </c>
      <c r="AE5" s="74"/>
      <c r="AF5" s="74"/>
      <c r="AG5" s="74"/>
      <c r="AH5" s="4" t="s">
        <v>20</v>
      </c>
      <c r="AI5" s="4" t="s">
        <v>21</v>
      </c>
      <c r="AJ5" s="4" t="s">
        <v>22</v>
      </c>
      <c r="AK5" s="4" t="s">
        <v>21</v>
      </c>
      <c r="AL5" s="4" t="s">
        <v>22</v>
      </c>
      <c r="AM5" s="17" t="s">
        <v>23</v>
      </c>
      <c r="AN5" s="18" t="s">
        <v>20</v>
      </c>
    </row>
    <row r="6" spans="1:42" x14ac:dyDescent="0.2">
      <c r="A6" s="25" t="s">
        <v>47</v>
      </c>
      <c r="B6" s="4"/>
      <c r="C6" s="4"/>
      <c r="D6" s="4"/>
      <c r="E6" s="4"/>
      <c r="F6" s="4"/>
      <c r="G6" s="4"/>
      <c r="H6" s="4"/>
      <c r="I6" s="36"/>
      <c r="J6" s="36"/>
      <c r="K6" s="36"/>
      <c r="L6" s="36"/>
      <c r="M6" s="36"/>
      <c r="N6" s="36"/>
      <c r="O6" s="4"/>
      <c r="P6" s="16"/>
      <c r="Q6" s="36"/>
      <c r="R6" s="4"/>
      <c r="S6" s="4"/>
      <c r="T6" s="4"/>
      <c r="U6" s="4"/>
      <c r="V6" s="4"/>
      <c r="W6" s="4"/>
      <c r="X6" s="4"/>
      <c r="Y6" s="36"/>
      <c r="Z6" s="36"/>
      <c r="AA6" s="36"/>
      <c r="AB6" s="36"/>
      <c r="AC6" s="36"/>
      <c r="AD6" s="36"/>
      <c r="AE6" s="4"/>
      <c r="AF6" s="16"/>
      <c r="AG6" s="36"/>
      <c r="AH6" s="4"/>
      <c r="AI6" s="4"/>
      <c r="AJ6" s="4"/>
      <c r="AK6" s="4"/>
      <c r="AL6" s="4"/>
      <c r="AM6" s="17"/>
      <c r="AN6" s="18"/>
    </row>
    <row r="7" spans="1:42" x14ac:dyDescent="0.2">
      <c r="A7" s="6"/>
      <c r="B7" s="4"/>
      <c r="C7" s="4"/>
      <c r="D7" s="4"/>
      <c r="E7" s="4"/>
      <c r="F7" s="4"/>
      <c r="G7" s="4"/>
      <c r="H7" s="4"/>
      <c r="I7" s="36"/>
      <c r="J7" s="36"/>
      <c r="K7" s="36"/>
      <c r="L7" s="36"/>
      <c r="M7" s="36"/>
      <c r="N7" s="36"/>
      <c r="O7" s="4"/>
      <c r="P7" s="16"/>
      <c r="Q7" s="36"/>
      <c r="R7" s="4"/>
      <c r="S7" s="4"/>
      <c r="T7" s="4"/>
      <c r="U7" s="4"/>
      <c r="V7" s="4"/>
      <c r="W7" s="4"/>
      <c r="X7" s="4"/>
      <c r="Y7" s="36"/>
      <c r="Z7" s="36"/>
      <c r="AA7" s="36"/>
      <c r="AB7" s="36"/>
      <c r="AC7" s="36"/>
      <c r="AD7" s="36"/>
      <c r="AE7" s="4"/>
      <c r="AF7" s="16"/>
      <c r="AG7" s="36"/>
      <c r="AH7" s="4"/>
      <c r="AI7" s="4"/>
      <c r="AJ7" s="4"/>
      <c r="AK7" s="4"/>
      <c r="AL7" s="4"/>
      <c r="AM7" s="17"/>
      <c r="AN7" s="18"/>
    </row>
    <row r="8" spans="1:42" x14ac:dyDescent="0.2">
      <c r="A8" s="19" t="s">
        <v>48</v>
      </c>
      <c r="B8" s="2">
        <v>3852365499</v>
      </c>
      <c r="C8" s="2">
        <f>3803688614-D8</f>
        <v>3493663320</v>
      </c>
      <c r="D8" s="2">
        <v>310025294</v>
      </c>
      <c r="E8" s="2"/>
      <c r="F8" s="2"/>
      <c r="G8" s="2">
        <f>(B8-C8-D8)</f>
        <v>48676885</v>
      </c>
      <c r="H8" s="3">
        <f>(B8-C8-D8)*100/(B8-E8-F8)</f>
        <v>1.2635583257257283</v>
      </c>
      <c r="I8" s="3">
        <f>ROUND(G8*100/(B$41),2)</f>
        <v>1.03</v>
      </c>
      <c r="J8" s="2">
        <v>40353952336</v>
      </c>
      <c r="K8" s="2">
        <f>39861188648-L8</f>
        <v>36345640154</v>
      </c>
      <c r="L8" s="2">
        <v>3515548494</v>
      </c>
      <c r="M8" s="2"/>
      <c r="N8" s="2"/>
      <c r="O8" s="2">
        <f>(J8-K8-L8)</f>
        <v>492763688</v>
      </c>
      <c r="P8" s="3">
        <f>(J8-K8-L8)*100/(J8-M8-N8)</f>
        <v>1.2211039055037061</v>
      </c>
      <c r="Q8" s="3">
        <f>ROUND(O8*100/(J$41),2)</f>
        <v>0.99</v>
      </c>
      <c r="R8" s="2">
        <v>3436057614</v>
      </c>
      <c r="S8" s="2">
        <f>3389888377-T8</f>
        <v>3078331477</v>
      </c>
      <c r="T8" s="2">
        <f>T40</f>
        <v>311556900</v>
      </c>
      <c r="U8" s="2">
        <v>0</v>
      </c>
      <c r="V8" s="2">
        <v>0</v>
      </c>
      <c r="W8" s="2">
        <f>(R8-S8-T8)</f>
        <v>46169237</v>
      </c>
      <c r="X8" s="3">
        <f>(R8-S8-T8)*100/(R8-U8-V8)</f>
        <v>1.3436688841271565</v>
      </c>
      <c r="Y8" s="3">
        <f>W8*100/(R$41)</f>
        <v>1.0782666618205443</v>
      </c>
      <c r="Z8" s="2">
        <v>36084304988</v>
      </c>
      <c r="AA8" s="2">
        <f>35616773105-AB8</f>
        <v>32268769361</v>
      </c>
      <c r="AB8" s="2">
        <f>AB40</f>
        <v>3348003744</v>
      </c>
      <c r="AC8" s="2">
        <v>0</v>
      </c>
      <c r="AD8" s="2">
        <v>0</v>
      </c>
      <c r="AE8" s="2">
        <f>(Z8-AA8-AB8)</f>
        <v>467531883</v>
      </c>
      <c r="AF8" s="3">
        <f>(Z8-AA8-AB8)*100/(Z8-AC8-AD8)</f>
        <v>1.2956654788154569</v>
      </c>
      <c r="AG8" s="3">
        <f>AE8*100/(Z$41)</f>
        <v>1.0402326473551244</v>
      </c>
      <c r="AH8" s="22">
        <v>1.24</v>
      </c>
      <c r="AI8" s="3">
        <f>H8-AH8</f>
        <v>2.3558325725728357E-2</v>
      </c>
      <c r="AJ8" s="3">
        <f>H8-X8</f>
        <v>-8.0110558401428111E-2</v>
      </c>
      <c r="AK8" s="3">
        <f>P8-AH8</f>
        <v>-1.8896094496293925E-2</v>
      </c>
      <c r="AL8" s="3">
        <f>P8-AF8</f>
        <v>-7.4561573311750839E-2</v>
      </c>
      <c r="AM8" s="20"/>
      <c r="AN8" s="22"/>
      <c r="AP8" s="12"/>
    </row>
    <row r="9" spans="1:42" s="47" customFormat="1" x14ac:dyDescent="0.2">
      <c r="A9" s="41" t="s">
        <v>44</v>
      </c>
      <c r="B9" s="42">
        <v>946145173</v>
      </c>
      <c r="C9" s="42">
        <f>940862100-D9</f>
        <v>703830100</v>
      </c>
      <c r="D9" s="2">
        <v>237032000</v>
      </c>
      <c r="E9" s="42"/>
      <c r="F9" s="42">
        <v>4800</v>
      </c>
      <c r="G9" s="42">
        <f>(B9-C9-D9)</f>
        <v>5283073</v>
      </c>
      <c r="H9" s="43">
        <f>(B9-C9-D9)*100/(B9-E9-F9)</f>
        <v>0.55838152041314482</v>
      </c>
      <c r="I9" s="43">
        <f>ROUND(G9*100/(B$41),2)</f>
        <v>0.11</v>
      </c>
      <c r="J9" s="42">
        <v>10111801900</v>
      </c>
      <c r="K9" s="42">
        <f>10075823971-L9</f>
        <v>7477536831</v>
      </c>
      <c r="L9" s="42">
        <v>2598287140</v>
      </c>
      <c r="M9" s="42"/>
      <c r="N9" s="42">
        <v>2330700</v>
      </c>
      <c r="O9" s="42">
        <f>(J9-K9-L9)</f>
        <v>35977929</v>
      </c>
      <c r="P9" s="43">
        <f>(J9-K9-L9)*100/(J9-M9-N9)</f>
        <v>0.35588339180391554</v>
      </c>
      <c r="Q9" s="43">
        <f>ROUND(O9*100/(J$41),2)</f>
        <v>7.0000000000000007E-2</v>
      </c>
      <c r="R9" s="42">
        <v>893357894</v>
      </c>
      <c r="S9" s="42">
        <f>889406810-T9</f>
        <v>644660810</v>
      </c>
      <c r="T9" s="42">
        <v>244746000</v>
      </c>
      <c r="U9" s="42"/>
      <c r="V9" s="42">
        <v>15761</v>
      </c>
      <c r="W9" s="42">
        <f>(R9-S9-T9)</f>
        <v>3951084</v>
      </c>
      <c r="X9" s="43">
        <f>(R9-S9-T9)*100/(R9-U9-V9)</f>
        <v>0.44228116575354676</v>
      </c>
      <c r="Y9" s="43">
        <f>W9*100/(R$41)</f>
        <v>9.2276208836905058E-2</v>
      </c>
      <c r="Z9" s="42">
        <v>9548440738</v>
      </c>
      <c r="AA9" s="42">
        <f>9521655858-AB9</f>
        <v>6892689095</v>
      </c>
      <c r="AB9" s="42">
        <v>2628966763</v>
      </c>
      <c r="AC9" s="42"/>
      <c r="AD9" s="42">
        <v>16712861</v>
      </c>
      <c r="AE9" s="42">
        <f>(Z9-AA9-AB9)</f>
        <v>26784880</v>
      </c>
      <c r="AF9" s="43">
        <f>(Z9-AA9-AB9)*100/(Z9-AC9-AD9)</f>
        <v>0.28100760266805086</v>
      </c>
      <c r="AG9" s="43">
        <f>AE9*100/(Z$41)</f>
        <v>5.9594880359184671E-2</v>
      </c>
      <c r="AH9" s="44"/>
      <c r="AI9" s="24"/>
      <c r="AJ9" s="24"/>
      <c r="AK9" s="24"/>
      <c r="AL9" s="24"/>
      <c r="AM9" s="45"/>
      <c r="AN9" s="46"/>
      <c r="AP9" s="48"/>
    </row>
    <row r="10" spans="1:42" s="39" customFormat="1" x14ac:dyDescent="0.2">
      <c r="A10" s="25" t="s">
        <v>69</v>
      </c>
      <c r="B10" s="8">
        <f>SUM(B8:B9)</f>
        <v>4798510672</v>
      </c>
      <c r="C10" s="8">
        <f>SUM(C8:C9)</f>
        <v>4197493420</v>
      </c>
      <c r="D10" s="8">
        <f>SUM(D8:D9)</f>
        <v>547057294</v>
      </c>
      <c r="E10" s="7">
        <f>9239300+70164100</f>
        <v>79403400</v>
      </c>
      <c r="F10" s="63"/>
      <c r="G10" s="8">
        <f>SUM(G8:G9)</f>
        <v>53959958</v>
      </c>
      <c r="H10" s="5">
        <f>(B10-C10-D10)*100/(B10-E10-F10)</f>
        <v>1.1434357154829262</v>
      </c>
      <c r="I10" s="5">
        <f>I8+I9</f>
        <v>1.1400000000000001</v>
      </c>
      <c r="J10" s="8">
        <f>SUM(J8:J9)</f>
        <v>50465754236</v>
      </c>
      <c r="K10" s="8">
        <f>SUM(K8:K9)</f>
        <v>43823176985</v>
      </c>
      <c r="L10" s="8">
        <f>SUM(L8:L9)</f>
        <v>6113835634</v>
      </c>
      <c r="M10" s="7">
        <f>791333027.6+132702000</f>
        <v>924035027.60000002</v>
      </c>
      <c r="N10" s="63">
        <f>SUM(N8:N9)</f>
        <v>2330700</v>
      </c>
      <c r="O10" s="8">
        <f>SUM(O8:O9)</f>
        <v>528741617</v>
      </c>
      <c r="P10" s="5">
        <f>(J10-K10-L10)*100/(J10-M10-N10)</f>
        <v>1.0673155905231764</v>
      </c>
      <c r="Q10" s="5">
        <f>Q8+Q9</f>
        <v>1.06</v>
      </c>
      <c r="R10" s="8">
        <f>SUM(R8:R9)</f>
        <v>4329415508</v>
      </c>
      <c r="S10" s="8">
        <f>SUM(S8:S9)</f>
        <v>3722992287</v>
      </c>
      <c r="T10" s="8">
        <f>SUM(T8:T9)</f>
        <v>556302900</v>
      </c>
      <c r="U10" s="7">
        <v>72938610</v>
      </c>
      <c r="V10" s="8">
        <f>SUM(V8:V9)</f>
        <v>15761</v>
      </c>
      <c r="W10" s="8">
        <f>SUM(W8:W9)</f>
        <v>50120321</v>
      </c>
      <c r="X10" s="5">
        <f>(R10-S10-T10)*100/(R10-U10-V10)</f>
        <v>1.1775115380314585</v>
      </c>
      <c r="Y10" s="5">
        <f>W10*100/(R$41)</f>
        <v>1.1705428706574494</v>
      </c>
      <c r="Z10" s="8">
        <f>SUM(Z8:Z9)</f>
        <v>45632745726</v>
      </c>
      <c r="AA10" s="8">
        <f>SUM(AA8:AA9)</f>
        <v>39161458456</v>
      </c>
      <c r="AB10" s="8">
        <f>SUM(AB8:AB9)</f>
        <v>5976970507</v>
      </c>
      <c r="AC10" s="7">
        <v>920730691</v>
      </c>
      <c r="AD10" s="8">
        <f>SUM(AD8:AD9)</f>
        <v>16712861</v>
      </c>
      <c r="AE10" s="8">
        <f>SUM(AE8:AE9)</f>
        <v>494316763</v>
      </c>
      <c r="AF10" s="5">
        <f>(Z10-AA10-AB10)*100/(Z10-AC10-AD10)</f>
        <v>1.1059702898430168</v>
      </c>
      <c r="AG10" s="5">
        <f>AE10*100/(Z$41)</f>
        <v>1.099827527714309</v>
      </c>
      <c r="AH10" s="38"/>
      <c r="AI10" s="5"/>
      <c r="AJ10" s="5"/>
      <c r="AK10" s="5"/>
      <c r="AL10" s="5"/>
      <c r="AM10" s="37"/>
      <c r="AN10" s="35"/>
      <c r="AP10" s="40"/>
    </row>
    <row r="11" spans="1:42" x14ac:dyDescent="0.2">
      <c r="A11" s="19"/>
      <c r="B11" s="2"/>
      <c r="C11" s="2"/>
      <c r="D11" s="2"/>
      <c r="E11" s="2"/>
      <c r="F11" s="2"/>
      <c r="G11" s="2"/>
      <c r="H11" s="3"/>
      <c r="I11" s="3"/>
      <c r="J11" s="20"/>
      <c r="K11" s="20"/>
      <c r="L11" s="20"/>
      <c r="M11" s="20"/>
      <c r="N11" s="20"/>
      <c r="O11" s="2"/>
      <c r="P11" s="3"/>
      <c r="Q11" s="3"/>
      <c r="R11" s="2"/>
      <c r="S11" s="2"/>
      <c r="T11" s="2"/>
      <c r="U11" s="2"/>
      <c r="V11" s="2"/>
      <c r="W11" s="2"/>
      <c r="X11" s="3"/>
      <c r="Y11" s="3"/>
      <c r="Z11" s="20"/>
      <c r="AA11" s="20"/>
      <c r="AB11" s="20"/>
      <c r="AC11" s="20"/>
      <c r="AD11" s="20"/>
      <c r="AE11" s="2"/>
      <c r="AF11" s="3"/>
      <c r="AG11" s="3"/>
      <c r="AH11" s="21"/>
      <c r="AI11" s="3"/>
      <c r="AJ11" s="3"/>
      <c r="AK11" s="3"/>
      <c r="AL11" s="3"/>
      <c r="AM11" s="20"/>
      <c r="AN11" s="22"/>
      <c r="AP11" s="12"/>
    </row>
    <row r="12" spans="1:42" x14ac:dyDescent="0.2">
      <c r="A12" s="25" t="s">
        <v>50</v>
      </c>
      <c r="B12" s="2"/>
      <c r="C12" s="2"/>
      <c r="D12" s="2"/>
      <c r="E12" s="2"/>
      <c r="F12" s="2"/>
      <c r="G12" s="2"/>
      <c r="H12" s="3"/>
      <c r="I12" s="3"/>
      <c r="J12" s="20"/>
      <c r="K12" s="20"/>
      <c r="L12" s="20"/>
      <c r="M12" s="20"/>
      <c r="N12" s="20"/>
      <c r="O12" s="2"/>
      <c r="P12" s="3"/>
      <c r="Q12" s="3"/>
      <c r="R12" s="2"/>
      <c r="S12" s="2"/>
      <c r="T12" s="2"/>
      <c r="U12" s="2"/>
      <c r="V12" s="2"/>
      <c r="W12" s="2"/>
      <c r="X12" s="3"/>
      <c r="Y12" s="3"/>
      <c r="Z12" s="20"/>
      <c r="AA12" s="20"/>
      <c r="AB12" s="20"/>
      <c r="AC12" s="20"/>
      <c r="AD12" s="20"/>
      <c r="AE12" s="2"/>
      <c r="AF12" s="3"/>
      <c r="AG12" s="3"/>
      <c r="AH12" s="21"/>
      <c r="AI12" s="3"/>
      <c r="AJ12" s="3"/>
      <c r="AK12" s="3"/>
      <c r="AL12" s="3"/>
      <c r="AM12" s="20"/>
      <c r="AN12" s="22"/>
      <c r="AP12" s="12"/>
    </row>
    <row r="13" spans="1:42" x14ac:dyDescent="0.2">
      <c r="A13" s="19"/>
      <c r="B13" s="2"/>
      <c r="C13" s="2"/>
      <c r="D13" s="2"/>
      <c r="E13" s="2"/>
      <c r="F13" s="2"/>
      <c r="G13" s="2"/>
      <c r="H13" s="3"/>
      <c r="I13" s="3"/>
      <c r="J13" s="20"/>
      <c r="K13" s="20"/>
      <c r="L13" s="20"/>
      <c r="M13" s="20"/>
      <c r="N13" s="20"/>
      <c r="O13" s="2"/>
      <c r="P13" s="3"/>
      <c r="Q13" s="3"/>
      <c r="R13" s="2"/>
      <c r="S13" s="2"/>
      <c r="T13" s="2"/>
      <c r="U13" s="2"/>
      <c r="V13" s="2"/>
      <c r="W13" s="2"/>
      <c r="X13" s="3"/>
      <c r="Y13" s="3"/>
      <c r="Z13" s="20"/>
      <c r="AA13" s="20"/>
      <c r="AB13" s="20"/>
      <c r="AC13" s="20"/>
      <c r="AD13" s="20"/>
      <c r="AE13" s="2"/>
      <c r="AF13" s="3"/>
      <c r="AG13" s="3"/>
      <c r="AH13" s="21"/>
      <c r="AI13" s="3"/>
      <c r="AJ13" s="3"/>
      <c r="AK13" s="3"/>
      <c r="AL13" s="3"/>
      <c r="AM13" s="20"/>
      <c r="AN13" s="22"/>
      <c r="AP13" s="12"/>
    </row>
    <row r="14" spans="1:42" x14ac:dyDescent="0.2">
      <c r="A14" s="19" t="s">
        <v>24</v>
      </c>
      <c r="B14" s="2">
        <v>112475149</v>
      </c>
      <c r="C14" s="2">
        <v>7364747</v>
      </c>
      <c r="D14" s="2">
        <v>103655061</v>
      </c>
      <c r="E14" s="2">
        <v>225700</v>
      </c>
      <c r="F14" s="2">
        <v>0</v>
      </c>
      <c r="G14" s="2">
        <v>1455341</v>
      </c>
      <c r="H14" s="3">
        <v>1.3</v>
      </c>
      <c r="I14" s="3"/>
      <c r="J14" s="20">
        <v>1166079254</v>
      </c>
      <c r="K14" s="20">
        <v>65505688</v>
      </c>
      <c r="L14" s="20">
        <v>1041959959</v>
      </c>
      <c r="M14" s="20">
        <v>1359800</v>
      </c>
      <c r="N14" s="20">
        <v>0</v>
      </c>
      <c r="O14" s="2">
        <v>58613607</v>
      </c>
      <c r="P14" s="3">
        <v>5.03</v>
      </c>
      <c r="Q14" s="3"/>
      <c r="R14" s="2">
        <v>95084658</v>
      </c>
      <c r="S14" s="2">
        <v>4482156</v>
      </c>
      <c r="T14" s="2">
        <v>85920452</v>
      </c>
      <c r="U14" s="2">
        <v>55200</v>
      </c>
      <c r="V14" s="2">
        <v>0</v>
      </c>
      <c r="W14" s="2">
        <v>4682050</v>
      </c>
      <c r="X14" s="3">
        <v>4.9299999999999899</v>
      </c>
      <c r="Y14" s="3"/>
      <c r="Z14" s="20">
        <v>997403208</v>
      </c>
      <c r="AA14" s="20">
        <v>46738008</v>
      </c>
      <c r="AB14" s="20">
        <v>889527072</v>
      </c>
      <c r="AC14" s="20">
        <v>765100</v>
      </c>
      <c r="AD14" s="20">
        <v>0</v>
      </c>
      <c r="AE14" s="2">
        <v>61138128</v>
      </c>
      <c r="AF14" s="3">
        <v>6.1299999999999901</v>
      </c>
      <c r="AG14" s="3"/>
      <c r="AH14" s="21">
        <v>6.95</v>
      </c>
      <c r="AI14" s="3">
        <f t="shared" ref="AI14:AI33" si="0">H14-AH14</f>
        <v>-5.65</v>
      </c>
      <c r="AJ14" s="3">
        <f t="shared" ref="AJ14:AJ33" si="1">H14-X14</f>
        <v>-3.6299999999999901</v>
      </c>
      <c r="AK14" s="3">
        <f t="shared" ref="AK14:AK35" si="2">P14-AH14</f>
        <v>-1.92</v>
      </c>
      <c r="AL14" s="3">
        <f t="shared" ref="AL14:AL33" si="3">P14-AF14</f>
        <v>-1.0999999999999899</v>
      </c>
      <c r="AM14" s="20" t="e">
        <f>#REF!-#REF!</f>
        <v>#REF!</v>
      </c>
      <c r="AN14" s="3" t="e">
        <f>AM14*100/#REF!</f>
        <v>#REF!</v>
      </c>
      <c r="AP14" s="12"/>
    </row>
    <row r="15" spans="1:42" x14ac:dyDescent="0.2">
      <c r="A15" s="19" t="s">
        <v>25</v>
      </c>
      <c r="B15" s="2">
        <v>195008071</v>
      </c>
      <c r="C15" s="2">
        <v>61333</v>
      </c>
      <c r="D15" s="2">
        <v>184773570</v>
      </c>
      <c r="E15" s="2">
        <v>17300</v>
      </c>
      <c r="F15" s="2">
        <v>0</v>
      </c>
      <c r="G15" s="2">
        <v>10173168</v>
      </c>
      <c r="H15" s="3">
        <v>5.22</v>
      </c>
      <c r="I15" s="3"/>
      <c r="J15" s="20">
        <v>1713904721</v>
      </c>
      <c r="K15" s="20">
        <v>587731</v>
      </c>
      <c r="L15" s="20">
        <v>1590375741</v>
      </c>
      <c r="M15" s="20">
        <v>279900</v>
      </c>
      <c r="N15" s="20">
        <v>0</v>
      </c>
      <c r="O15" s="2">
        <v>122941249</v>
      </c>
      <c r="P15" s="3">
        <v>7.17</v>
      </c>
      <c r="Q15" s="3"/>
      <c r="R15" s="2">
        <v>183580129</v>
      </c>
      <c r="S15" s="2">
        <v>51221</v>
      </c>
      <c r="T15" s="2">
        <v>171654314</v>
      </c>
      <c r="U15" s="2">
        <v>0</v>
      </c>
      <c r="V15" s="2">
        <v>0</v>
      </c>
      <c r="W15" s="2">
        <v>11874594</v>
      </c>
      <c r="X15" s="3">
        <v>6.46999999999999</v>
      </c>
      <c r="Y15" s="3"/>
      <c r="Z15" s="20">
        <v>1545481116</v>
      </c>
      <c r="AA15" s="20">
        <v>546178</v>
      </c>
      <c r="AB15" s="20">
        <v>1436078445</v>
      </c>
      <c r="AC15" s="20">
        <v>0</v>
      </c>
      <c r="AD15" s="20">
        <v>0</v>
      </c>
      <c r="AE15" s="2">
        <v>108856493</v>
      </c>
      <c r="AF15" s="3">
        <v>7.04</v>
      </c>
      <c r="AG15" s="3"/>
      <c r="AH15" s="23">
        <v>6.75</v>
      </c>
      <c r="AI15" s="3">
        <f t="shared" si="0"/>
        <v>-1.5300000000000002</v>
      </c>
      <c r="AJ15" s="3">
        <f t="shared" si="1"/>
        <v>-1.2499999999999902</v>
      </c>
      <c r="AK15" s="3">
        <f t="shared" si="2"/>
        <v>0.41999999999999993</v>
      </c>
      <c r="AL15" s="3">
        <f t="shared" si="3"/>
        <v>0.12999999999999989</v>
      </c>
      <c r="AM15" s="20" t="e">
        <f>#REF!-#REF!</f>
        <v>#REF!</v>
      </c>
      <c r="AN15" s="3" t="e">
        <f>AM15*100/#REF!</f>
        <v>#REF!</v>
      </c>
      <c r="AP15" s="12"/>
    </row>
    <row r="16" spans="1:42" x14ac:dyDescent="0.2">
      <c r="A16" s="19" t="s">
        <v>26</v>
      </c>
      <c r="B16" s="2">
        <v>85601941</v>
      </c>
      <c r="C16" s="2">
        <v>2968115</v>
      </c>
      <c r="D16" s="2">
        <v>77093040</v>
      </c>
      <c r="E16" s="2">
        <v>36000</v>
      </c>
      <c r="F16" s="2">
        <v>12498</v>
      </c>
      <c r="G16" s="2">
        <v>5540786</v>
      </c>
      <c r="H16" s="3">
        <v>6.48</v>
      </c>
      <c r="I16" s="3"/>
      <c r="J16" s="20">
        <v>916074473</v>
      </c>
      <c r="K16" s="20">
        <v>20718085</v>
      </c>
      <c r="L16" s="20">
        <v>836571998</v>
      </c>
      <c r="M16" s="20">
        <v>564319</v>
      </c>
      <c r="N16" s="20">
        <v>143309</v>
      </c>
      <c r="O16" s="2">
        <v>58784390</v>
      </c>
      <c r="P16" s="3">
        <v>6.42</v>
      </c>
      <c r="Q16" s="3"/>
      <c r="R16" s="2">
        <v>80376860</v>
      </c>
      <c r="S16" s="2">
        <v>1842351</v>
      </c>
      <c r="T16" s="2">
        <v>71671703</v>
      </c>
      <c r="U16" s="2">
        <v>11200</v>
      </c>
      <c r="V16" s="2">
        <v>1280</v>
      </c>
      <c r="W16" s="2">
        <v>6862806</v>
      </c>
      <c r="X16" s="3">
        <v>8.5399999999999903</v>
      </c>
      <c r="Y16" s="3"/>
      <c r="Z16" s="20">
        <v>843893203</v>
      </c>
      <c r="AA16" s="20">
        <v>23262192</v>
      </c>
      <c r="AB16" s="20">
        <v>760932387</v>
      </c>
      <c r="AC16" s="20">
        <v>518400</v>
      </c>
      <c r="AD16" s="20">
        <v>14071</v>
      </c>
      <c r="AE16" s="2">
        <v>59698624</v>
      </c>
      <c r="AF16" s="3">
        <v>7.08</v>
      </c>
      <c r="AG16" s="3"/>
      <c r="AH16" s="23">
        <v>7.1</v>
      </c>
      <c r="AI16" s="3">
        <f t="shared" si="0"/>
        <v>-0.61999999999999922</v>
      </c>
      <c r="AJ16" s="3">
        <f t="shared" si="1"/>
        <v>-2.0599999999999898</v>
      </c>
      <c r="AK16" s="3">
        <f t="shared" si="2"/>
        <v>-0.67999999999999972</v>
      </c>
      <c r="AL16" s="3">
        <f t="shared" si="3"/>
        <v>-0.66000000000000014</v>
      </c>
      <c r="AM16" s="20" t="e">
        <f>#REF!-#REF!</f>
        <v>#REF!</v>
      </c>
      <c r="AN16" s="3" t="e">
        <f>AM16*100/#REF!</f>
        <v>#REF!</v>
      </c>
      <c r="AP16" s="12"/>
    </row>
    <row r="17" spans="1:42" x14ac:dyDescent="0.2">
      <c r="A17" s="19" t="s">
        <v>27</v>
      </c>
      <c r="B17" s="2">
        <v>739359586</v>
      </c>
      <c r="C17" s="2">
        <v>3603841</v>
      </c>
      <c r="D17" s="2">
        <v>737805404</v>
      </c>
      <c r="E17" s="2">
        <v>0</v>
      </c>
      <c r="F17" s="2">
        <v>11437</v>
      </c>
      <c r="G17" s="2">
        <v>-2049659</v>
      </c>
      <c r="H17" s="3">
        <v>-0.28000000000000003</v>
      </c>
      <c r="I17" s="3"/>
      <c r="J17" s="20">
        <v>7578807618</v>
      </c>
      <c r="K17" s="20">
        <v>37059169</v>
      </c>
      <c r="L17" s="20">
        <v>7301473118</v>
      </c>
      <c r="M17" s="20">
        <v>0</v>
      </c>
      <c r="N17" s="20">
        <v>364166</v>
      </c>
      <c r="O17" s="2">
        <v>240275331</v>
      </c>
      <c r="P17" s="3">
        <v>3.17</v>
      </c>
      <c r="Q17" s="3"/>
      <c r="R17" s="2">
        <v>656019357</v>
      </c>
      <c r="S17" s="2">
        <v>3007518</v>
      </c>
      <c r="T17" s="2">
        <v>651681749</v>
      </c>
      <c r="U17" s="2">
        <v>0</v>
      </c>
      <c r="V17" s="2">
        <v>42989</v>
      </c>
      <c r="W17" s="2">
        <v>1330090</v>
      </c>
      <c r="X17" s="3">
        <v>0.2</v>
      </c>
      <c r="Y17" s="3"/>
      <c r="Z17" s="20">
        <v>6720463260</v>
      </c>
      <c r="AA17" s="20">
        <v>21771132</v>
      </c>
      <c r="AB17" s="20">
        <v>6485788788</v>
      </c>
      <c r="AC17" s="20">
        <v>0</v>
      </c>
      <c r="AD17" s="20">
        <v>388467</v>
      </c>
      <c r="AE17" s="2">
        <v>212903340</v>
      </c>
      <c r="AF17" s="3">
        <v>3.1699999999999902</v>
      </c>
      <c r="AG17" s="3"/>
      <c r="AH17" s="23">
        <v>3.71</v>
      </c>
      <c r="AI17" s="3">
        <f t="shared" si="0"/>
        <v>-3.99</v>
      </c>
      <c r="AJ17" s="3">
        <f t="shared" si="1"/>
        <v>-0.48000000000000004</v>
      </c>
      <c r="AK17" s="3">
        <f t="shared" si="2"/>
        <v>-0.54</v>
      </c>
      <c r="AL17" s="3">
        <f t="shared" si="3"/>
        <v>9.7699626167013776E-15</v>
      </c>
      <c r="AM17" s="20" t="e">
        <f>#REF!-#REF!</f>
        <v>#REF!</v>
      </c>
      <c r="AN17" s="3" t="e">
        <f>AM17*100/#REF!</f>
        <v>#REF!</v>
      </c>
      <c r="AP17" s="12"/>
    </row>
    <row r="18" spans="1:42" x14ac:dyDescent="0.2">
      <c r="A18" s="19" t="s">
        <v>28</v>
      </c>
      <c r="B18" s="2">
        <v>233596200</v>
      </c>
      <c r="C18" s="2">
        <v>15171085</v>
      </c>
      <c r="D18" s="2">
        <v>212516036</v>
      </c>
      <c r="E18" s="2">
        <v>35700</v>
      </c>
      <c r="F18" s="2">
        <v>0</v>
      </c>
      <c r="G18" s="2">
        <v>5909079</v>
      </c>
      <c r="H18" s="3">
        <v>2.5299999999999998</v>
      </c>
      <c r="I18" s="3"/>
      <c r="J18" s="20">
        <v>2322836200</v>
      </c>
      <c r="K18" s="20">
        <v>168285930</v>
      </c>
      <c r="L18" s="20">
        <v>2034399524</v>
      </c>
      <c r="M18" s="20">
        <v>231500</v>
      </c>
      <c r="N18" s="20">
        <v>0</v>
      </c>
      <c r="O18" s="2">
        <v>120150746</v>
      </c>
      <c r="P18" s="3">
        <v>5.17</v>
      </c>
      <c r="Q18" s="3"/>
      <c r="R18" s="2">
        <v>190831900</v>
      </c>
      <c r="S18" s="2">
        <v>13702410</v>
      </c>
      <c r="T18" s="2">
        <v>172145694</v>
      </c>
      <c r="U18" s="2">
        <v>39900</v>
      </c>
      <c r="V18" s="2">
        <v>0</v>
      </c>
      <c r="W18" s="2">
        <v>4983796</v>
      </c>
      <c r="X18" s="3">
        <v>2.6099999999999901</v>
      </c>
      <c r="Y18" s="3"/>
      <c r="Z18" s="20">
        <v>1855649100</v>
      </c>
      <c r="AA18" s="20">
        <v>154386874</v>
      </c>
      <c r="AB18" s="20">
        <v>1596184440</v>
      </c>
      <c r="AC18" s="20">
        <v>201300</v>
      </c>
      <c r="AD18" s="20">
        <v>0</v>
      </c>
      <c r="AE18" s="2">
        <v>105077786</v>
      </c>
      <c r="AF18" s="3">
        <v>5.66</v>
      </c>
      <c r="AG18" s="3"/>
      <c r="AH18" s="23">
        <v>5.85</v>
      </c>
      <c r="AI18" s="3">
        <f t="shared" si="0"/>
        <v>-3.32</v>
      </c>
      <c r="AJ18" s="3">
        <f t="shared" si="1"/>
        <v>-7.9999999999990301E-2</v>
      </c>
      <c r="AK18" s="3">
        <f t="shared" si="2"/>
        <v>-0.67999999999999972</v>
      </c>
      <c r="AL18" s="3">
        <f t="shared" si="3"/>
        <v>-0.49000000000000021</v>
      </c>
      <c r="AM18" s="20" t="e">
        <f>#REF!-#REF!</f>
        <v>#REF!</v>
      </c>
      <c r="AN18" s="3" t="e">
        <f>AM18*100/#REF!</f>
        <v>#REF!</v>
      </c>
      <c r="AP18" s="12"/>
    </row>
    <row r="19" spans="1:42" x14ac:dyDescent="0.2">
      <c r="A19" s="19" t="s">
        <v>29</v>
      </c>
      <c r="B19" s="2">
        <v>311655852</v>
      </c>
      <c r="C19" s="2">
        <v>3884857</v>
      </c>
      <c r="D19" s="2">
        <v>314301613</v>
      </c>
      <c r="E19" s="2">
        <v>0</v>
      </c>
      <c r="F19" s="2">
        <v>6852</v>
      </c>
      <c r="G19" s="2">
        <v>-6530618</v>
      </c>
      <c r="H19" s="3">
        <v>-2.1</v>
      </c>
      <c r="I19" s="3"/>
      <c r="J19" s="20">
        <v>3185600320</v>
      </c>
      <c r="K19" s="20">
        <v>46963713</v>
      </c>
      <c r="L19" s="20">
        <v>3005215008</v>
      </c>
      <c r="M19" s="20">
        <v>0</v>
      </c>
      <c r="N19" s="20">
        <v>71820</v>
      </c>
      <c r="O19" s="2">
        <v>133421599</v>
      </c>
      <c r="P19" s="3">
        <v>4.1900000000000004</v>
      </c>
      <c r="Q19" s="3"/>
      <c r="R19" s="2">
        <v>271495757</v>
      </c>
      <c r="S19" s="2">
        <v>3866015</v>
      </c>
      <c r="T19" s="2">
        <v>267101773</v>
      </c>
      <c r="U19" s="2">
        <v>0</v>
      </c>
      <c r="V19" s="2">
        <v>6157</v>
      </c>
      <c r="W19" s="2">
        <v>527969</v>
      </c>
      <c r="X19" s="3">
        <v>0.19</v>
      </c>
      <c r="Y19" s="3"/>
      <c r="Z19" s="20">
        <v>2792512060</v>
      </c>
      <c r="AA19" s="20">
        <v>43845008</v>
      </c>
      <c r="AB19" s="20">
        <v>2625679020</v>
      </c>
      <c r="AC19" s="20">
        <v>0</v>
      </c>
      <c r="AD19" s="20">
        <v>68860</v>
      </c>
      <c r="AE19" s="2">
        <v>122988032</v>
      </c>
      <c r="AF19" s="3">
        <v>4.4000000000000004</v>
      </c>
      <c r="AG19" s="3"/>
      <c r="AH19" s="23">
        <v>4.58</v>
      </c>
      <c r="AI19" s="3">
        <f t="shared" si="0"/>
        <v>-6.68</v>
      </c>
      <c r="AJ19" s="3">
        <f t="shared" si="1"/>
        <v>-2.29</v>
      </c>
      <c r="AK19" s="3">
        <f t="shared" si="2"/>
        <v>-0.38999999999999968</v>
      </c>
      <c r="AL19" s="3">
        <f t="shared" si="3"/>
        <v>-0.20999999999999996</v>
      </c>
      <c r="AM19" s="20" t="e">
        <f>#REF!-#REF!</f>
        <v>#REF!</v>
      </c>
      <c r="AN19" s="3" t="e">
        <f>AM19*100/#REF!</f>
        <v>#REF!</v>
      </c>
      <c r="AP19" s="12"/>
    </row>
    <row r="20" spans="1:42" x14ac:dyDescent="0.2">
      <c r="A20" s="19" t="s">
        <v>30</v>
      </c>
      <c r="B20" s="2">
        <v>171813225</v>
      </c>
      <c r="C20" s="2">
        <v>11373133</v>
      </c>
      <c r="D20" s="2">
        <v>150312468</v>
      </c>
      <c r="E20" s="2">
        <v>0</v>
      </c>
      <c r="F20" s="2">
        <v>0</v>
      </c>
      <c r="G20" s="2">
        <v>10127624</v>
      </c>
      <c r="H20" s="3">
        <v>5.89</v>
      </c>
      <c r="I20" s="3"/>
      <c r="J20" s="20">
        <v>1958456360</v>
      </c>
      <c r="K20" s="20">
        <v>168514127</v>
      </c>
      <c r="L20" s="20">
        <v>1702426815</v>
      </c>
      <c r="M20" s="20">
        <v>0</v>
      </c>
      <c r="N20" s="20">
        <v>0</v>
      </c>
      <c r="O20" s="2">
        <v>87515418</v>
      </c>
      <c r="P20" s="3">
        <v>4.47</v>
      </c>
      <c r="Q20" s="3"/>
      <c r="R20" s="2">
        <v>158874191</v>
      </c>
      <c r="S20" s="2">
        <v>12897260</v>
      </c>
      <c r="T20" s="2">
        <v>129147802</v>
      </c>
      <c r="U20" s="2">
        <v>0</v>
      </c>
      <c r="V20" s="2">
        <v>0</v>
      </c>
      <c r="W20" s="2">
        <v>16829129</v>
      </c>
      <c r="X20" s="3">
        <v>10.59</v>
      </c>
      <c r="Y20" s="3"/>
      <c r="Z20" s="20">
        <v>1786531186</v>
      </c>
      <c r="AA20" s="20">
        <v>163263954</v>
      </c>
      <c r="AB20" s="20">
        <v>1538150050</v>
      </c>
      <c r="AC20" s="20">
        <v>0</v>
      </c>
      <c r="AD20" s="20">
        <v>0</v>
      </c>
      <c r="AE20" s="2">
        <v>85117182</v>
      </c>
      <c r="AF20" s="3">
        <v>4.75999999999999</v>
      </c>
      <c r="AG20" s="3"/>
      <c r="AH20" s="23">
        <v>6.05</v>
      </c>
      <c r="AI20" s="3">
        <f t="shared" si="0"/>
        <v>-0.16000000000000014</v>
      </c>
      <c r="AJ20" s="3">
        <f t="shared" si="1"/>
        <v>-4.7</v>
      </c>
      <c r="AK20" s="3">
        <f t="shared" si="2"/>
        <v>-1.58</v>
      </c>
      <c r="AL20" s="3">
        <f t="shared" si="3"/>
        <v>-0.28999999999999027</v>
      </c>
      <c r="AM20" s="20" t="e">
        <f>#REF!-#REF!</f>
        <v>#REF!</v>
      </c>
      <c r="AN20" s="3" t="e">
        <f>AM20*100/#REF!</f>
        <v>#REF!</v>
      </c>
      <c r="AP20" s="12"/>
    </row>
    <row r="21" spans="1:42" x14ac:dyDescent="0.2">
      <c r="A21" s="19" t="s">
        <v>31</v>
      </c>
      <c r="B21" s="2">
        <v>196541961</v>
      </c>
      <c r="C21" s="2">
        <v>1986865</v>
      </c>
      <c r="D21" s="2">
        <v>181187397</v>
      </c>
      <c r="E21" s="2">
        <v>0</v>
      </c>
      <c r="F21" s="2">
        <v>0</v>
      </c>
      <c r="G21" s="2">
        <v>13367699</v>
      </c>
      <c r="H21" s="3">
        <v>6.8</v>
      </c>
      <c r="I21" s="3"/>
      <c r="J21" s="20">
        <v>2086681461</v>
      </c>
      <c r="K21" s="20">
        <v>37091016</v>
      </c>
      <c r="L21" s="20">
        <v>1901345168</v>
      </c>
      <c r="M21" s="20">
        <v>0</v>
      </c>
      <c r="N21" s="20">
        <v>0</v>
      </c>
      <c r="O21" s="2">
        <v>148245277</v>
      </c>
      <c r="P21" s="3">
        <v>7.1</v>
      </c>
      <c r="Q21" s="3"/>
      <c r="R21" s="2">
        <v>176941000</v>
      </c>
      <c r="S21" s="2">
        <v>3509093</v>
      </c>
      <c r="T21" s="2">
        <v>163234394</v>
      </c>
      <c r="U21" s="2">
        <v>0</v>
      </c>
      <c r="V21" s="2">
        <v>0</v>
      </c>
      <c r="W21" s="2">
        <v>10197513</v>
      </c>
      <c r="X21" s="3">
        <v>5.75999999999999</v>
      </c>
      <c r="Y21" s="3"/>
      <c r="Z21" s="20">
        <v>1851654739</v>
      </c>
      <c r="AA21" s="20">
        <v>15053923</v>
      </c>
      <c r="AB21" s="20">
        <v>1696428010</v>
      </c>
      <c r="AC21" s="20">
        <v>0</v>
      </c>
      <c r="AD21" s="20">
        <v>0</v>
      </c>
      <c r="AE21" s="2">
        <v>140172806</v>
      </c>
      <c r="AF21" s="3">
        <v>7.57</v>
      </c>
      <c r="AG21" s="3"/>
      <c r="AH21" s="23">
        <v>7.5</v>
      </c>
      <c r="AI21" s="3">
        <f t="shared" si="0"/>
        <v>-0.70000000000000018</v>
      </c>
      <c r="AJ21" s="3">
        <f t="shared" si="1"/>
        <v>1.0400000000000098</v>
      </c>
      <c r="AK21" s="3">
        <f t="shared" si="2"/>
        <v>-0.40000000000000036</v>
      </c>
      <c r="AL21" s="3">
        <f t="shared" si="3"/>
        <v>-0.47000000000000064</v>
      </c>
      <c r="AM21" s="20" t="e">
        <f>#REF!-#REF!</f>
        <v>#REF!</v>
      </c>
      <c r="AN21" s="3" t="e">
        <f>AM21*100/#REF!</f>
        <v>#REF!</v>
      </c>
      <c r="AP21" s="12"/>
    </row>
    <row r="22" spans="1:42" x14ac:dyDescent="0.2">
      <c r="A22" s="19" t="s">
        <v>32</v>
      </c>
      <c r="B22" s="2">
        <v>99177310</v>
      </c>
      <c r="C22" s="2">
        <v>1045010</v>
      </c>
      <c r="D22" s="2">
        <v>92755636</v>
      </c>
      <c r="E22" s="2">
        <v>0</v>
      </c>
      <c r="F22" s="2">
        <v>0</v>
      </c>
      <c r="G22" s="2">
        <v>5376664</v>
      </c>
      <c r="H22" s="3">
        <v>5.42</v>
      </c>
      <c r="I22" s="3"/>
      <c r="J22" s="20">
        <v>1071807910</v>
      </c>
      <c r="K22" s="20">
        <v>15256720</v>
      </c>
      <c r="L22" s="20">
        <v>987438953</v>
      </c>
      <c r="M22" s="20">
        <v>0</v>
      </c>
      <c r="N22" s="20">
        <v>0</v>
      </c>
      <c r="O22" s="2">
        <v>69112237</v>
      </c>
      <c r="P22" s="3">
        <v>6.45</v>
      </c>
      <c r="Q22" s="3"/>
      <c r="R22" s="2">
        <v>91584500</v>
      </c>
      <c r="S22" s="2">
        <v>975755</v>
      </c>
      <c r="T22" s="2">
        <v>89548039</v>
      </c>
      <c r="U22" s="2">
        <v>0</v>
      </c>
      <c r="V22" s="2">
        <v>0</v>
      </c>
      <c r="W22" s="2">
        <v>1060706</v>
      </c>
      <c r="X22" s="3">
        <v>1.1599999999999899</v>
      </c>
      <c r="Y22" s="3"/>
      <c r="Z22" s="20">
        <v>996447188</v>
      </c>
      <c r="AA22" s="20">
        <v>18534788</v>
      </c>
      <c r="AB22" s="20">
        <v>902044469</v>
      </c>
      <c r="AC22" s="20">
        <v>0</v>
      </c>
      <c r="AD22" s="20">
        <v>0</v>
      </c>
      <c r="AE22" s="2">
        <v>75867931</v>
      </c>
      <c r="AF22" s="3">
        <v>7.61</v>
      </c>
      <c r="AG22" s="3"/>
      <c r="AH22" s="23">
        <v>7.8</v>
      </c>
      <c r="AI22" s="3">
        <f t="shared" si="0"/>
        <v>-2.38</v>
      </c>
      <c r="AJ22" s="3">
        <f t="shared" si="1"/>
        <v>4.2600000000000104</v>
      </c>
      <c r="AK22" s="3">
        <f t="shared" si="2"/>
        <v>-1.3499999999999996</v>
      </c>
      <c r="AL22" s="3">
        <f t="shared" si="3"/>
        <v>-1.1600000000000001</v>
      </c>
      <c r="AM22" s="20" t="e">
        <f>#REF!-#REF!</f>
        <v>#REF!</v>
      </c>
      <c r="AN22" s="3" t="e">
        <f>AM22*100/#REF!</f>
        <v>#REF!</v>
      </c>
      <c r="AP22" s="12"/>
    </row>
    <row r="23" spans="1:42" x14ac:dyDescent="0.2">
      <c r="A23" s="19" t="s">
        <v>33</v>
      </c>
      <c r="B23" s="2">
        <v>66721535</v>
      </c>
      <c r="C23" s="2">
        <v>1565734</v>
      </c>
      <c r="D23" s="2">
        <v>65239059</v>
      </c>
      <c r="E23" s="2">
        <v>0</v>
      </c>
      <c r="F23" s="2">
        <v>0</v>
      </c>
      <c r="G23" s="2">
        <v>-83258</v>
      </c>
      <c r="H23" s="3">
        <v>-0.12</v>
      </c>
      <c r="I23" s="3"/>
      <c r="J23" s="20">
        <v>726468516</v>
      </c>
      <c r="K23" s="20">
        <v>18507948</v>
      </c>
      <c r="L23" s="20">
        <v>673921623</v>
      </c>
      <c r="M23" s="20">
        <v>0</v>
      </c>
      <c r="N23" s="20">
        <v>0</v>
      </c>
      <c r="O23" s="2">
        <v>34038945</v>
      </c>
      <c r="P23" s="3">
        <v>4.6900000000000004</v>
      </c>
      <c r="Q23" s="3"/>
      <c r="R23" s="2">
        <v>61052127</v>
      </c>
      <c r="S23" s="2">
        <v>4475457</v>
      </c>
      <c r="T23" s="2">
        <v>56833698</v>
      </c>
      <c r="U23" s="2">
        <v>0</v>
      </c>
      <c r="V23" s="2">
        <v>0</v>
      </c>
      <c r="W23" s="2">
        <v>-257028</v>
      </c>
      <c r="X23" s="3">
        <v>-0.41999999999999899</v>
      </c>
      <c r="Y23" s="3"/>
      <c r="Z23" s="20">
        <v>679830594</v>
      </c>
      <c r="AA23" s="20">
        <v>57108205</v>
      </c>
      <c r="AB23" s="20">
        <v>593970063</v>
      </c>
      <c r="AC23" s="20">
        <v>0</v>
      </c>
      <c r="AD23" s="20">
        <v>0</v>
      </c>
      <c r="AE23" s="2">
        <v>28752326</v>
      </c>
      <c r="AF23" s="3">
        <v>4.2300000000000004</v>
      </c>
      <c r="AG23" s="3"/>
      <c r="AH23" s="23">
        <v>5</v>
      </c>
      <c r="AI23" s="3">
        <f t="shared" si="0"/>
        <v>-5.12</v>
      </c>
      <c r="AJ23" s="3">
        <f t="shared" si="1"/>
        <v>0.29999999999999899</v>
      </c>
      <c r="AK23" s="3">
        <f t="shared" si="2"/>
        <v>-0.30999999999999961</v>
      </c>
      <c r="AL23" s="3">
        <f t="shared" si="3"/>
        <v>0.45999999999999996</v>
      </c>
      <c r="AM23" s="20" t="e">
        <f>#REF!-#REF!</f>
        <v>#REF!</v>
      </c>
      <c r="AN23" s="3" t="e">
        <f>AM23*100/#REF!</f>
        <v>#REF!</v>
      </c>
      <c r="AP23" s="12"/>
    </row>
    <row r="24" spans="1:42" x14ac:dyDescent="0.2">
      <c r="A24" s="19" t="s">
        <v>34</v>
      </c>
      <c r="B24" s="2">
        <v>173806398</v>
      </c>
      <c r="C24" s="2">
        <v>8082064</v>
      </c>
      <c r="D24" s="2">
        <v>162099256</v>
      </c>
      <c r="E24" s="2">
        <v>1554900</v>
      </c>
      <c r="F24" s="2">
        <v>0</v>
      </c>
      <c r="G24" s="2">
        <v>4625078</v>
      </c>
      <c r="H24" s="3">
        <v>2.1</v>
      </c>
      <c r="I24" s="3"/>
      <c r="J24" s="20">
        <v>1888857560</v>
      </c>
      <c r="K24" s="20">
        <v>92988843</v>
      </c>
      <c r="L24" s="20">
        <v>1707965385</v>
      </c>
      <c r="M24" s="20">
        <v>27345772</v>
      </c>
      <c r="N24" s="20">
        <v>0</v>
      </c>
      <c r="O24" s="2">
        <v>88903332</v>
      </c>
      <c r="P24" s="3">
        <v>4.72</v>
      </c>
      <c r="Q24" s="3"/>
      <c r="R24" s="2">
        <v>155751350</v>
      </c>
      <c r="S24" s="2">
        <v>8783559</v>
      </c>
      <c r="T24" s="2">
        <v>143060797</v>
      </c>
      <c r="U24" s="2">
        <v>800640</v>
      </c>
      <c r="V24" s="2">
        <v>0</v>
      </c>
      <c r="W24" s="2">
        <v>3906994</v>
      </c>
      <c r="X24" s="3">
        <v>2.52</v>
      </c>
      <c r="Y24" s="3"/>
      <c r="Z24" s="20">
        <v>1692956155</v>
      </c>
      <c r="AA24" s="20">
        <v>94557088</v>
      </c>
      <c r="AB24" s="20">
        <v>1515755118</v>
      </c>
      <c r="AC24" s="20">
        <v>10452700</v>
      </c>
      <c r="AD24" s="20">
        <v>0</v>
      </c>
      <c r="AE24" s="2">
        <v>82643949</v>
      </c>
      <c r="AF24" s="3">
        <v>4.91</v>
      </c>
      <c r="AG24" s="3"/>
      <c r="AH24" s="23">
        <v>4.5</v>
      </c>
      <c r="AI24" s="3">
        <f t="shared" si="0"/>
        <v>-2.4</v>
      </c>
      <c r="AJ24" s="3">
        <f t="shared" si="1"/>
        <v>-0.41999999999999993</v>
      </c>
      <c r="AK24" s="3">
        <f t="shared" si="2"/>
        <v>0.21999999999999975</v>
      </c>
      <c r="AL24" s="3">
        <f t="shared" si="3"/>
        <v>-0.19000000000000039</v>
      </c>
      <c r="AM24" s="20" t="e">
        <f>#REF!-#REF!</f>
        <v>#REF!</v>
      </c>
      <c r="AN24" s="3" t="e">
        <f>AM24*100/#REF!</f>
        <v>#REF!</v>
      </c>
      <c r="AP24" s="12"/>
    </row>
    <row r="25" spans="1:42" x14ac:dyDescent="0.2">
      <c r="A25" s="19" t="s">
        <v>35</v>
      </c>
      <c r="B25" s="2">
        <v>168957721</v>
      </c>
      <c r="C25" s="2">
        <v>8410360</v>
      </c>
      <c r="D25" s="2">
        <v>156943945</v>
      </c>
      <c r="E25" s="2">
        <v>0</v>
      </c>
      <c r="F25" s="2">
        <v>0</v>
      </c>
      <c r="G25" s="2">
        <v>3603416</v>
      </c>
      <c r="H25" s="3">
        <v>2.13</v>
      </c>
      <c r="I25" s="3"/>
      <c r="J25" s="20">
        <v>1885421078</v>
      </c>
      <c r="K25" s="20">
        <v>98077628</v>
      </c>
      <c r="L25" s="20">
        <v>1710059803</v>
      </c>
      <c r="M25" s="20">
        <v>0</v>
      </c>
      <c r="N25" s="20">
        <v>0</v>
      </c>
      <c r="O25" s="2">
        <v>77283647</v>
      </c>
      <c r="P25" s="3">
        <v>4.0999999999999996</v>
      </c>
      <c r="Q25" s="3"/>
      <c r="R25" s="2">
        <v>154672934</v>
      </c>
      <c r="S25" s="2">
        <v>9071390</v>
      </c>
      <c r="T25" s="2">
        <v>144147094</v>
      </c>
      <c r="U25" s="2">
        <v>0</v>
      </c>
      <c r="V25" s="2">
        <v>0</v>
      </c>
      <c r="W25" s="2">
        <v>1454450</v>
      </c>
      <c r="X25" s="3">
        <v>0.93999999999999895</v>
      </c>
      <c r="Y25" s="3"/>
      <c r="Z25" s="20">
        <v>1743093528</v>
      </c>
      <c r="AA25" s="20">
        <v>99755615</v>
      </c>
      <c r="AB25" s="20">
        <v>1569697080</v>
      </c>
      <c r="AC25" s="20">
        <v>0</v>
      </c>
      <c r="AD25" s="20">
        <v>0</v>
      </c>
      <c r="AE25" s="2">
        <v>73640833</v>
      </c>
      <c r="AF25" s="3">
        <v>4.21999999999999</v>
      </c>
      <c r="AG25" s="3"/>
      <c r="AH25" s="23">
        <v>5.0999999999999996</v>
      </c>
      <c r="AI25" s="3">
        <f t="shared" si="0"/>
        <v>-2.9699999999999998</v>
      </c>
      <c r="AJ25" s="3">
        <f t="shared" si="1"/>
        <v>1.1900000000000008</v>
      </c>
      <c r="AK25" s="3">
        <f t="shared" si="2"/>
        <v>-1</v>
      </c>
      <c r="AL25" s="3">
        <f t="shared" si="3"/>
        <v>-0.11999999999999034</v>
      </c>
      <c r="AM25" s="20" t="e">
        <f>#REF!-#REF!</f>
        <v>#REF!</v>
      </c>
      <c r="AN25" s="3" t="e">
        <f>AM25*100/#REF!</f>
        <v>#REF!</v>
      </c>
      <c r="AP25" s="12"/>
    </row>
    <row r="26" spans="1:42" x14ac:dyDescent="0.2">
      <c r="A26" s="19" t="s">
        <v>36</v>
      </c>
      <c r="B26" s="2">
        <v>136064934</v>
      </c>
      <c r="C26" s="2">
        <v>4613669</v>
      </c>
      <c r="D26" s="2">
        <v>126764881</v>
      </c>
      <c r="E26" s="2">
        <v>0</v>
      </c>
      <c r="F26" s="2">
        <v>0</v>
      </c>
      <c r="G26" s="2">
        <v>4686384</v>
      </c>
      <c r="H26" s="3">
        <v>3.44</v>
      </c>
      <c r="I26" s="3"/>
      <c r="J26" s="20">
        <v>1462250434</v>
      </c>
      <c r="K26" s="20">
        <v>54568448</v>
      </c>
      <c r="L26" s="20">
        <v>1312034841</v>
      </c>
      <c r="M26" s="20">
        <v>0</v>
      </c>
      <c r="N26" s="20">
        <v>0</v>
      </c>
      <c r="O26" s="2">
        <v>95647145</v>
      </c>
      <c r="P26" s="3">
        <v>6.54</v>
      </c>
      <c r="Q26" s="3"/>
      <c r="R26" s="2">
        <v>124397990</v>
      </c>
      <c r="S26" s="2">
        <v>5260796</v>
      </c>
      <c r="T26" s="2">
        <v>114694509</v>
      </c>
      <c r="U26" s="2">
        <v>0</v>
      </c>
      <c r="V26" s="2">
        <v>0</v>
      </c>
      <c r="W26" s="2">
        <v>4442685</v>
      </c>
      <c r="X26" s="3">
        <v>3.5699999999999901</v>
      </c>
      <c r="Y26" s="3"/>
      <c r="Z26" s="20">
        <v>1331959986</v>
      </c>
      <c r="AA26" s="20">
        <v>69495568</v>
      </c>
      <c r="AB26" s="20">
        <v>1166595271</v>
      </c>
      <c r="AC26" s="20">
        <v>0</v>
      </c>
      <c r="AD26" s="20">
        <v>0</v>
      </c>
      <c r="AE26" s="2">
        <v>95869147</v>
      </c>
      <c r="AF26" s="3">
        <v>7.2</v>
      </c>
      <c r="AG26" s="3"/>
      <c r="AH26" s="23">
        <v>6.65</v>
      </c>
      <c r="AI26" s="3">
        <f t="shared" si="0"/>
        <v>-3.2100000000000004</v>
      </c>
      <c r="AJ26" s="3">
        <f t="shared" si="1"/>
        <v>-0.12999999999999012</v>
      </c>
      <c r="AK26" s="3">
        <f t="shared" si="2"/>
        <v>-0.11000000000000032</v>
      </c>
      <c r="AL26" s="3">
        <f t="shared" si="3"/>
        <v>-0.66000000000000014</v>
      </c>
      <c r="AM26" s="20" t="e">
        <f>#REF!-#REF!</f>
        <v>#REF!</v>
      </c>
      <c r="AN26" s="3" t="e">
        <f>AM26*100/#REF!</f>
        <v>#REF!</v>
      </c>
      <c r="AP26" s="12"/>
    </row>
    <row r="27" spans="1:42" x14ac:dyDescent="0.2">
      <c r="A27" s="19" t="s">
        <v>37</v>
      </c>
      <c r="B27" s="2">
        <v>96445600</v>
      </c>
      <c r="C27" s="2">
        <v>42690</v>
      </c>
      <c r="D27" s="2">
        <v>94711538</v>
      </c>
      <c r="E27" s="2">
        <v>0</v>
      </c>
      <c r="F27" s="2">
        <v>0</v>
      </c>
      <c r="G27" s="2">
        <v>1691372</v>
      </c>
      <c r="H27" s="3">
        <v>1.75</v>
      </c>
      <c r="I27" s="3"/>
      <c r="J27" s="20">
        <v>1097223334</v>
      </c>
      <c r="K27" s="20">
        <v>1320744</v>
      </c>
      <c r="L27" s="20">
        <v>1009439230</v>
      </c>
      <c r="M27" s="20">
        <v>0</v>
      </c>
      <c r="N27" s="20">
        <v>0</v>
      </c>
      <c r="O27" s="2">
        <v>86463360</v>
      </c>
      <c r="P27" s="3">
        <v>7.88</v>
      </c>
      <c r="Q27" s="3"/>
      <c r="R27" s="2">
        <v>96345000</v>
      </c>
      <c r="S27" s="2">
        <v>36262</v>
      </c>
      <c r="T27" s="2">
        <v>90773121</v>
      </c>
      <c r="U27" s="2">
        <v>0</v>
      </c>
      <c r="V27" s="2">
        <v>0</v>
      </c>
      <c r="W27" s="2">
        <v>5535617</v>
      </c>
      <c r="X27" s="3">
        <v>5.75</v>
      </c>
      <c r="Y27" s="3"/>
      <c r="Z27" s="20">
        <v>1025961713</v>
      </c>
      <c r="AA27" s="20">
        <v>3981009</v>
      </c>
      <c r="AB27" s="20">
        <v>913740135</v>
      </c>
      <c r="AC27" s="20">
        <v>0</v>
      </c>
      <c r="AD27" s="20">
        <v>0</v>
      </c>
      <c r="AE27" s="2">
        <v>108240569</v>
      </c>
      <c r="AF27" s="3">
        <v>10.55</v>
      </c>
      <c r="AG27" s="3"/>
      <c r="AH27" s="23">
        <v>8</v>
      </c>
      <c r="AI27" s="3">
        <f t="shared" si="0"/>
        <v>-6.25</v>
      </c>
      <c r="AJ27" s="3">
        <f t="shared" si="1"/>
        <v>-4</v>
      </c>
      <c r="AK27" s="24">
        <f t="shared" si="2"/>
        <v>-0.12000000000000011</v>
      </c>
      <c r="AL27" s="3">
        <f t="shared" si="3"/>
        <v>-2.6700000000000008</v>
      </c>
      <c r="AM27" s="20" t="e">
        <f>#REF!-#REF!</f>
        <v>#REF!</v>
      </c>
      <c r="AN27" s="3" t="e">
        <f>AM27*100/#REF!</f>
        <v>#REF!</v>
      </c>
      <c r="AP27" s="12"/>
    </row>
    <row r="28" spans="1:42" x14ac:dyDescent="0.2">
      <c r="A28" s="19" t="s">
        <v>38</v>
      </c>
      <c r="B28" s="2">
        <v>250752911</v>
      </c>
      <c r="C28" s="2">
        <v>56372</v>
      </c>
      <c r="D28" s="2">
        <v>244217333</v>
      </c>
      <c r="E28" s="2">
        <v>0</v>
      </c>
      <c r="F28" s="2">
        <v>0</v>
      </c>
      <c r="G28" s="2">
        <v>6479206</v>
      </c>
      <c r="H28" s="3">
        <v>2.58</v>
      </c>
      <c r="I28" s="3"/>
      <c r="J28" s="20">
        <v>2628107654</v>
      </c>
      <c r="K28" s="20">
        <v>643176</v>
      </c>
      <c r="L28" s="20">
        <v>2525743621</v>
      </c>
      <c r="M28" s="20">
        <v>0</v>
      </c>
      <c r="N28" s="20">
        <v>0</v>
      </c>
      <c r="O28" s="2">
        <v>101720857</v>
      </c>
      <c r="P28" s="3">
        <v>3.87</v>
      </c>
      <c r="Q28" s="3"/>
      <c r="R28" s="2">
        <v>230431533</v>
      </c>
      <c r="S28" s="2">
        <v>70615</v>
      </c>
      <c r="T28" s="2">
        <v>227666010</v>
      </c>
      <c r="U28" s="2">
        <v>0</v>
      </c>
      <c r="V28" s="2">
        <v>0</v>
      </c>
      <c r="W28" s="2">
        <v>2694908</v>
      </c>
      <c r="X28" s="3">
        <v>1.1699999999999899</v>
      </c>
      <c r="Y28" s="3"/>
      <c r="Z28" s="20">
        <v>2408554854</v>
      </c>
      <c r="AA28" s="20">
        <v>645284</v>
      </c>
      <c r="AB28" s="20">
        <v>2309651649</v>
      </c>
      <c r="AC28" s="20">
        <v>0</v>
      </c>
      <c r="AD28" s="20">
        <v>0</v>
      </c>
      <c r="AE28" s="2">
        <v>98257921</v>
      </c>
      <c r="AF28" s="3">
        <v>4.08</v>
      </c>
      <c r="AG28" s="3"/>
      <c r="AH28" s="23">
        <v>4.55</v>
      </c>
      <c r="AI28" s="3">
        <f t="shared" si="0"/>
        <v>-1.9699999999999998</v>
      </c>
      <c r="AJ28" s="3">
        <f t="shared" si="1"/>
        <v>1.4100000000000101</v>
      </c>
      <c r="AK28" s="3">
        <f t="shared" si="2"/>
        <v>-0.67999999999999972</v>
      </c>
      <c r="AL28" s="3">
        <f t="shared" si="3"/>
        <v>-0.20999999999999996</v>
      </c>
      <c r="AM28" s="20" t="e">
        <f>#REF!-#REF!</f>
        <v>#REF!</v>
      </c>
      <c r="AN28" s="3" t="e">
        <f>AM28*100/#REF!</f>
        <v>#REF!</v>
      </c>
      <c r="AP28" s="12"/>
    </row>
    <row r="29" spans="1:42" x14ac:dyDescent="0.2">
      <c r="A29" s="19" t="s">
        <v>39</v>
      </c>
      <c r="B29" s="2">
        <v>59768163</v>
      </c>
      <c r="C29" s="2">
        <v>112145</v>
      </c>
      <c r="D29" s="2">
        <v>58166803</v>
      </c>
      <c r="E29" s="2">
        <v>0</v>
      </c>
      <c r="F29" s="2">
        <v>0</v>
      </c>
      <c r="G29" s="2">
        <v>1489215</v>
      </c>
      <c r="H29" s="3">
        <v>2.4900000000000002</v>
      </c>
      <c r="I29" s="3"/>
      <c r="J29" s="20">
        <v>676664623</v>
      </c>
      <c r="K29" s="20">
        <v>1211006</v>
      </c>
      <c r="L29" s="20">
        <v>635528978</v>
      </c>
      <c r="M29" s="20">
        <v>0</v>
      </c>
      <c r="N29" s="20">
        <v>0</v>
      </c>
      <c r="O29" s="2">
        <v>39924639</v>
      </c>
      <c r="P29" s="3">
        <v>5.9</v>
      </c>
      <c r="Q29" s="3"/>
      <c r="R29" s="2">
        <v>55752570</v>
      </c>
      <c r="S29" s="2">
        <v>67492</v>
      </c>
      <c r="T29" s="2">
        <v>53593242</v>
      </c>
      <c r="U29" s="2">
        <v>0</v>
      </c>
      <c r="V29" s="2">
        <v>0</v>
      </c>
      <c r="W29" s="2">
        <v>2091836</v>
      </c>
      <c r="X29" s="3">
        <v>3.75</v>
      </c>
      <c r="Y29" s="3"/>
      <c r="Z29" s="20">
        <v>618778822</v>
      </c>
      <c r="AA29" s="20">
        <v>710489</v>
      </c>
      <c r="AB29" s="20">
        <v>573742705</v>
      </c>
      <c r="AC29" s="20">
        <v>0</v>
      </c>
      <c r="AD29" s="20">
        <v>0</v>
      </c>
      <c r="AE29" s="2">
        <v>44325628</v>
      </c>
      <c r="AF29" s="3">
        <v>7.16</v>
      </c>
      <c r="AG29" s="3"/>
      <c r="AH29" s="23">
        <v>6</v>
      </c>
      <c r="AI29" s="3">
        <f t="shared" si="0"/>
        <v>-3.51</v>
      </c>
      <c r="AJ29" s="3">
        <f t="shared" si="1"/>
        <v>-1.2599999999999998</v>
      </c>
      <c r="AK29" s="3">
        <f t="shared" si="2"/>
        <v>-9.9999999999999645E-2</v>
      </c>
      <c r="AL29" s="3">
        <f t="shared" si="3"/>
        <v>-1.2599999999999998</v>
      </c>
      <c r="AM29" s="20" t="e">
        <f>#REF!-#REF!</f>
        <v>#REF!</v>
      </c>
      <c r="AN29" s="3" t="e">
        <f>AM29*100/#REF!</f>
        <v>#REF!</v>
      </c>
      <c r="AP29" s="12"/>
    </row>
    <row r="30" spans="1:42" x14ac:dyDescent="0.2">
      <c r="A30" s="19" t="s">
        <v>40</v>
      </c>
      <c r="B30" s="2">
        <v>92446748</v>
      </c>
      <c r="C30" s="2">
        <v>3729241</v>
      </c>
      <c r="D30" s="2">
        <v>86234247</v>
      </c>
      <c r="E30" s="2">
        <v>0</v>
      </c>
      <c r="F30" s="2">
        <v>0</v>
      </c>
      <c r="G30" s="2">
        <v>2483260</v>
      </c>
      <c r="H30" s="3">
        <v>2.69</v>
      </c>
      <c r="I30" s="3"/>
      <c r="J30" s="20">
        <v>975782867</v>
      </c>
      <c r="K30" s="20">
        <v>20480335</v>
      </c>
      <c r="L30" s="20">
        <v>892514857</v>
      </c>
      <c r="M30" s="20">
        <v>0</v>
      </c>
      <c r="N30" s="20">
        <v>0</v>
      </c>
      <c r="O30" s="2">
        <v>62787675</v>
      </c>
      <c r="P30" s="3">
        <v>6.43</v>
      </c>
      <c r="Q30" s="3"/>
      <c r="R30" s="2">
        <v>87935871</v>
      </c>
      <c r="S30" s="2">
        <v>710558</v>
      </c>
      <c r="T30" s="2">
        <v>82952916</v>
      </c>
      <c r="U30" s="2">
        <v>0</v>
      </c>
      <c r="V30" s="2">
        <v>0</v>
      </c>
      <c r="W30" s="2">
        <v>4272397</v>
      </c>
      <c r="X30" s="3">
        <v>4.8600000000000003</v>
      </c>
      <c r="Y30" s="3"/>
      <c r="Z30" s="20">
        <v>927181908</v>
      </c>
      <c r="AA30" s="20">
        <v>7145890</v>
      </c>
      <c r="AB30" s="20">
        <v>834117457</v>
      </c>
      <c r="AC30" s="20">
        <v>0</v>
      </c>
      <c r="AD30" s="20">
        <v>0</v>
      </c>
      <c r="AE30" s="2">
        <v>85918561</v>
      </c>
      <c r="AF30" s="3">
        <v>9.2699999999999907</v>
      </c>
      <c r="AG30" s="3"/>
      <c r="AH30" s="23">
        <v>7.8</v>
      </c>
      <c r="AI30" s="3">
        <f t="shared" si="0"/>
        <v>-5.1099999999999994</v>
      </c>
      <c r="AJ30" s="3">
        <f t="shared" si="1"/>
        <v>-2.1700000000000004</v>
      </c>
      <c r="AK30" s="3">
        <f t="shared" si="2"/>
        <v>-1.37</v>
      </c>
      <c r="AL30" s="3">
        <f t="shared" si="3"/>
        <v>-2.839999999999991</v>
      </c>
      <c r="AM30" s="20" t="e">
        <f>#REF!-#REF!</f>
        <v>#REF!</v>
      </c>
      <c r="AN30" s="3" t="e">
        <f>AM30*100/#REF!</f>
        <v>#REF!</v>
      </c>
      <c r="AP30" s="12"/>
    </row>
    <row r="31" spans="1:42" x14ac:dyDescent="0.2">
      <c r="A31" s="19" t="s">
        <v>41</v>
      </c>
      <c r="B31" s="2">
        <v>44873003</v>
      </c>
      <c r="C31" s="2">
        <v>1626727</v>
      </c>
      <c r="D31" s="2">
        <v>43835152</v>
      </c>
      <c r="E31" s="2">
        <v>0</v>
      </c>
      <c r="F31" s="2">
        <v>12700</v>
      </c>
      <c r="G31" s="2">
        <v>-588876</v>
      </c>
      <c r="H31" s="3">
        <v>-1.31</v>
      </c>
      <c r="I31" s="3"/>
      <c r="J31" s="20">
        <v>520534590</v>
      </c>
      <c r="K31" s="20">
        <v>14373647</v>
      </c>
      <c r="L31" s="20">
        <v>473520560</v>
      </c>
      <c r="M31" s="20">
        <v>2800</v>
      </c>
      <c r="N31" s="20">
        <v>162411</v>
      </c>
      <c r="O31" s="2">
        <v>32640383</v>
      </c>
      <c r="P31" s="3">
        <v>6.27</v>
      </c>
      <c r="Q31" s="3"/>
      <c r="R31" s="2">
        <v>43578600</v>
      </c>
      <c r="S31" s="2">
        <v>1146919</v>
      </c>
      <c r="T31" s="2">
        <v>42235231</v>
      </c>
      <c r="U31" s="2">
        <v>3500</v>
      </c>
      <c r="V31" s="2">
        <v>14600</v>
      </c>
      <c r="W31" s="2">
        <v>196450</v>
      </c>
      <c r="X31" s="3">
        <v>0.45</v>
      </c>
      <c r="Y31" s="3"/>
      <c r="Z31" s="20">
        <v>494838500</v>
      </c>
      <c r="AA31" s="20">
        <v>16318800</v>
      </c>
      <c r="AB31" s="20">
        <v>446667998</v>
      </c>
      <c r="AC31" s="20">
        <v>7500</v>
      </c>
      <c r="AD31" s="20">
        <v>169200</v>
      </c>
      <c r="AE31" s="2">
        <v>31851702</v>
      </c>
      <c r="AF31" s="3">
        <v>6.44</v>
      </c>
      <c r="AG31" s="3"/>
      <c r="AH31" s="23">
        <v>6.55</v>
      </c>
      <c r="AI31" s="3">
        <f t="shared" si="0"/>
        <v>-7.8599999999999994</v>
      </c>
      <c r="AJ31" s="3">
        <f t="shared" si="1"/>
        <v>-1.76</v>
      </c>
      <c r="AK31" s="3">
        <f t="shared" si="2"/>
        <v>-0.28000000000000025</v>
      </c>
      <c r="AL31" s="3">
        <f t="shared" si="3"/>
        <v>-0.17000000000000082</v>
      </c>
      <c r="AM31" s="20" t="e">
        <f>#REF!-#REF!</f>
        <v>#REF!</v>
      </c>
      <c r="AN31" s="3" t="e">
        <f>AM31*100/#REF!</f>
        <v>#REF!</v>
      </c>
      <c r="AP31" s="12"/>
    </row>
    <row r="32" spans="1:42" x14ac:dyDescent="0.2">
      <c r="A32" s="19" t="s">
        <v>42</v>
      </c>
      <c r="B32" s="2">
        <v>68884450</v>
      </c>
      <c r="C32" s="2">
        <v>385751</v>
      </c>
      <c r="D32" s="2">
        <v>67002987</v>
      </c>
      <c r="E32" s="2">
        <v>3600</v>
      </c>
      <c r="F32" s="2">
        <v>0</v>
      </c>
      <c r="G32" s="2">
        <v>1495712</v>
      </c>
      <c r="H32" s="3">
        <v>2.17</v>
      </c>
      <c r="I32" s="3"/>
      <c r="J32" s="20">
        <v>758131710</v>
      </c>
      <c r="K32" s="20">
        <v>16007485</v>
      </c>
      <c r="L32" s="20">
        <v>689224641</v>
      </c>
      <c r="M32" s="20">
        <v>131300</v>
      </c>
      <c r="N32" s="20">
        <v>0</v>
      </c>
      <c r="O32" s="2">
        <v>52899584</v>
      </c>
      <c r="P32" s="3">
        <v>6.98</v>
      </c>
      <c r="Q32" s="3"/>
      <c r="R32" s="2">
        <v>68403050</v>
      </c>
      <c r="S32" s="2">
        <v>4532211</v>
      </c>
      <c r="T32" s="2">
        <v>64061602</v>
      </c>
      <c r="U32" s="2">
        <v>8000</v>
      </c>
      <c r="V32" s="2">
        <v>0</v>
      </c>
      <c r="W32" s="2">
        <v>-190763</v>
      </c>
      <c r="X32" s="3">
        <v>-0.28000000000000003</v>
      </c>
      <c r="Y32" s="3"/>
      <c r="Z32" s="20">
        <v>750926190</v>
      </c>
      <c r="AA32" s="20">
        <v>46817128</v>
      </c>
      <c r="AB32" s="20">
        <v>648517288</v>
      </c>
      <c r="AC32" s="20">
        <v>115500</v>
      </c>
      <c r="AD32" s="20">
        <v>0</v>
      </c>
      <c r="AE32" s="2">
        <v>55591774</v>
      </c>
      <c r="AF32" s="3">
        <v>7.4</v>
      </c>
      <c r="AG32" s="3"/>
      <c r="AH32" s="23">
        <v>7.4</v>
      </c>
      <c r="AI32" s="3">
        <f t="shared" si="0"/>
        <v>-5.23</v>
      </c>
      <c r="AJ32" s="3">
        <f t="shared" si="1"/>
        <v>2.4500000000000002</v>
      </c>
      <c r="AK32" s="3">
        <f t="shared" si="2"/>
        <v>-0.41999999999999993</v>
      </c>
      <c r="AL32" s="3">
        <f t="shared" si="3"/>
        <v>-0.41999999999999993</v>
      </c>
      <c r="AM32" s="20" t="e">
        <f>#REF!-#REF!</f>
        <v>#REF!</v>
      </c>
      <c r="AN32" s="3" t="e">
        <f>AM32*100/#REF!</f>
        <v>#REF!</v>
      </c>
      <c r="AP32" s="12"/>
    </row>
    <row r="33" spans="1:42" x14ac:dyDescent="0.2">
      <c r="A33" s="19" t="s">
        <v>43</v>
      </c>
      <c r="B33" s="2">
        <v>53164065</v>
      </c>
      <c r="C33" s="2">
        <v>7308631</v>
      </c>
      <c r="D33" s="2">
        <v>43449890</v>
      </c>
      <c r="E33" s="2">
        <v>0</v>
      </c>
      <c r="F33" s="2">
        <v>0</v>
      </c>
      <c r="G33" s="2">
        <v>2405544</v>
      </c>
      <c r="H33" s="3">
        <v>4.5199999999999996</v>
      </c>
      <c r="I33" s="3"/>
      <c r="J33" s="20">
        <v>562382405</v>
      </c>
      <c r="K33" s="20">
        <v>79674830</v>
      </c>
      <c r="L33" s="20">
        <v>446021487</v>
      </c>
      <c r="M33" s="20">
        <v>0</v>
      </c>
      <c r="N33" s="20">
        <v>0</v>
      </c>
      <c r="O33" s="2">
        <v>36686088</v>
      </c>
      <c r="P33" s="3">
        <v>6.52</v>
      </c>
      <c r="Q33" s="43"/>
      <c r="R33" s="2">
        <v>49269637</v>
      </c>
      <c r="S33" s="2">
        <v>7835540</v>
      </c>
      <c r="T33" s="2">
        <v>39492242</v>
      </c>
      <c r="U33" s="2">
        <v>0</v>
      </c>
      <c r="V33" s="2">
        <v>0</v>
      </c>
      <c r="W33" s="2">
        <v>1941855</v>
      </c>
      <c r="X33" s="3">
        <v>3.9399999999999902</v>
      </c>
      <c r="Y33" s="3"/>
      <c r="Z33" s="20">
        <v>527072189</v>
      </c>
      <c r="AA33" s="20">
        <v>91033143</v>
      </c>
      <c r="AB33" s="20">
        <v>401593459</v>
      </c>
      <c r="AC33" s="20">
        <v>0</v>
      </c>
      <c r="AD33" s="20">
        <v>0</v>
      </c>
      <c r="AE33" s="2">
        <v>34445587</v>
      </c>
      <c r="AF33" s="3">
        <v>6.54</v>
      </c>
      <c r="AG33" s="3"/>
      <c r="AH33" s="23">
        <v>7</v>
      </c>
      <c r="AI33" s="3">
        <f t="shared" si="0"/>
        <v>-2.4800000000000004</v>
      </c>
      <c r="AJ33" s="3">
        <f t="shared" si="1"/>
        <v>0.5800000000000094</v>
      </c>
      <c r="AK33" s="3">
        <f t="shared" si="2"/>
        <v>-0.48000000000000043</v>
      </c>
      <c r="AL33" s="3">
        <f t="shared" si="3"/>
        <v>-2.0000000000000462E-2</v>
      </c>
      <c r="AM33" s="20" t="e">
        <f>#REF!-#REF!</f>
        <v>#REF!</v>
      </c>
      <c r="AN33" s="3" t="e">
        <f>AM33*100/#REF!</f>
        <v>#REF!</v>
      </c>
      <c r="AP33" s="12"/>
    </row>
    <row r="34" spans="1:42" s="47" customFormat="1" x14ac:dyDescent="0.2">
      <c r="A34" s="41" t="s">
        <v>44</v>
      </c>
      <c r="B34" s="42">
        <v>636416936</v>
      </c>
      <c r="C34" s="42">
        <v>4383208</v>
      </c>
      <c r="D34" s="42">
        <v>628067052</v>
      </c>
      <c r="E34" s="42"/>
      <c r="F34" s="42"/>
      <c r="G34" s="42">
        <f>(B34-C34-D34)</f>
        <v>3966676</v>
      </c>
      <c r="H34" s="43">
        <f>(B34-C34-D34)*100/(B34-E34-F34)</f>
        <v>0.62328259598672908</v>
      </c>
      <c r="I34" s="43"/>
      <c r="J34" s="42">
        <v>6723000757</v>
      </c>
      <c r="K34" s="42">
        <v>38082533</v>
      </c>
      <c r="L34" s="42">
        <v>6423366291</v>
      </c>
      <c r="M34" s="42"/>
      <c r="N34" s="42"/>
      <c r="O34" s="42">
        <f>(J34-K34-L34)</f>
        <v>261551933</v>
      </c>
      <c r="P34" s="43">
        <f>(J34-K34-L34)*100/(J34-M34-N34)</f>
        <v>3.8904046340865226</v>
      </c>
      <c r="Q34" s="43">
        <f>O34*100/J47</f>
        <v>1.5536382476764308</v>
      </c>
      <c r="R34" s="42">
        <v>576116461</v>
      </c>
      <c r="S34" s="42">
        <v>3375756</v>
      </c>
      <c r="T34" s="42">
        <v>563718991</v>
      </c>
      <c r="U34" s="42"/>
      <c r="V34" s="42"/>
      <c r="W34" s="42">
        <v>9021714</v>
      </c>
      <c r="X34" s="43">
        <v>1.5659531727908742</v>
      </c>
      <c r="Y34" s="43"/>
      <c r="Z34" s="42">
        <v>6041686031</v>
      </c>
      <c r="AA34" s="42">
        <v>26153615</v>
      </c>
      <c r="AB34" s="42">
        <v>5776844256</v>
      </c>
      <c r="AC34" s="42"/>
      <c r="AD34" s="42"/>
      <c r="AE34" s="42">
        <v>238688160</v>
      </c>
      <c r="AF34" s="43">
        <v>3.9506879168378952</v>
      </c>
      <c r="AG34" s="43">
        <f>AE34*100/Z47</f>
        <v>1.5310212901835833</v>
      </c>
      <c r="AH34" s="43">
        <v>2.87</v>
      </c>
      <c r="AI34" s="24">
        <v>-7.8</v>
      </c>
      <c r="AJ34" s="24">
        <v>-1.75</v>
      </c>
      <c r="AK34" s="24">
        <f t="shared" si="2"/>
        <v>1.0204046340865225</v>
      </c>
      <c r="AL34" s="24">
        <v>-8.73</v>
      </c>
      <c r="AM34" s="45"/>
      <c r="AN34" s="24"/>
      <c r="AO34" s="48">
        <f>P34-AF34</f>
        <v>-6.0283282751372624E-2</v>
      </c>
      <c r="AP34" s="48"/>
    </row>
    <row r="35" spans="1:42" s="39" customFormat="1" x14ac:dyDescent="0.2">
      <c r="A35" s="25" t="s">
        <v>70</v>
      </c>
      <c r="B35" s="8">
        <f t="shared" ref="B35:G35" si="4">SUM(B14:B34)</f>
        <v>3993531759</v>
      </c>
      <c r="C35" s="8">
        <f t="shared" si="4"/>
        <v>87775578</v>
      </c>
      <c r="D35" s="8">
        <f t="shared" si="4"/>
        <v>3831132368</v>
      </c>
      <c r="E35" s="8">
        <f t="shared" si="4"/>
        <v>1873200</v>
      </c>
      <c r="F35" s="8">
        <f t="shared" si="4"/>
        <v>43487</v>
      </c>
      <c r="G35" s="8">
        <f t="shared" si="4"/>
        <v>75623813</v>
      </c>
      <c r="H35" s="5">
        <f>(B35-C35-D35)*100/(B35-E35-F35)</f>
        <v>1.869514260617563</v>
      </c>
      <c r="I35" s="5">
        <f>ROUND(G35*100/(B$41),2)</f>
        <v>1.59</v>
      </c>
      <c r="J35" s="37">
        <f>SUM(J14:J34)</f>
        <v>41905073845</v>
      </c>
      <c r="K35" s="8">
        <f>SUM(K14:K34)</f>
        <v>995918802</v>
      </c>
      <c r="L35" s="8">
        <f>SUM(L14:L34)</f>
        <v>38900547601</v>
      </c>
      <c r="M35" s="8">
        <f>SUM(M14:M34)</f>
        <v>29915391</v>
      </c>
      <c r="N35" s="8">
        <f>SUM(N14:N34)</f>
        <v>741706</v>
      </c>
      <c r="O35" s="8">
        <f>J35-K35-L35</f>
        <v>2008607442</v>
      </c>
      <c r="P35" s="5">
        <f>(J35-K35-L35)*100/(J35-M35-N35)</f>
        <v>4.7967412993183594</v>
      </c>
      <c r="Q35" s="5">
        <f>O35*100/(J$41)</f>
        <v>4.0338987290776647</v>
      </c>
      <c r="R35" s="8">
        <f t="shared" ref="R35:W35" si="5">SUM(R14:R34)</f>
        <v>3608495475</v>
      </c>
      <c r="S35" s="8">
        <f t="shared" si="5"/>
        <v>89700334</v>
      </c>
      <c r="T35" s="8">
        <f t="shared" si="5"/>
        <v>3425335373</v>
      </c>
      <c r="U35" s="8">
        <f t="shared" si="5"/>
        <v>918440</v>
      </c>
      <c r="V35" s="8">
        <f t="shared" si="5"/>
        <v>65026</v>
      </c>
      <c r="W35" s="8">
        <f t="shared" si="5"/>
        <v>93459768</v>
      </c>
      <c r="X35" s="5">
        <f>(R35-S35-T35)*100/(R35-U35-V35)</f>
        <v>2.5906987354951867</v>
      </c>
      <c r="Y35" s="5">
        <f>W35*100/(R$41)</f>
        <v>2.1827207596236109</v>
      </c>
      <c r="Z35" s="37">
        <f>SUM(Z14:Z34)</f>
        <v>37632875530</v>
      </c>
      <c r="AA35" s="8">
        <f>SUM(AA14:AA34)</f>
        <v>1001123891</v>
      </c>
      <c r="AB35" s="8">
        <f>SUM(AB14:AB34)</f>
        <v>34681705160</v>
      </c>
      <c r="AC35" s="8">
        <f>SUM(AC14:AC34)</f>
        <v>12060500</v>
      </c>
      <c r="AD35" s="8">
        <f>SUM(AD14:AD34)</f>
        <v>640598</v>
      </c>
      <c r="AE35" s="8">
        <f>Z35-AA35-AB35</f>
        <v>1950046479</v>
      </c>
      <c r="AF35" s="5">
        <f>(Z35-AA35-AB35)*100/(Z35-AC35-AD35)</f>
        <v>5.1835125924915326</v>
      </c>
      <c r="AG35" s="5">
        <f>AE35*100/(Z$41)</f>
        <v>4.3387458376089167</v>
      </c>
      <c r="AH35" s="38"/>
      <c r="AI35" s="5">
        <f>H35-AH35</f>
        <v>1.869514260617563</v>
      </c>
      <c r="AJ35" s="5">
        <f>H35-X35</f>
        <v>-0.72118447487762372</v>
      </c>
      <c r="AK35" s="5">
        <f t="shared" si="2"/>
        <v>4.7967412993183594</v>
      </c>
      <c r="AL35" s="5">
        <f>P35-AF35</f>
        <v>-0.38677129317317327</v>
      </c>
      <c r="AM35" s="37" t="e">
        <f>#REF!-#REF!</f>
        <v>#REF!</v>
      </c>
      <c r="AN35" s="5" t="e">
        <f>AM35*100/#REF!</f>
        <v>#REF!</v>
      </c>
      <c r="AP35" s="40"/>
    </row>
    <row r="36" spans="1:42" x14ac:dyDescent="0.2">
      <c r="A36" s="6"/>
      <c r="B36" s="4"/>
      <c r="C36" s="4"/>
      <c r="D36" s="4"/>
      <c r="E36" s="4"/>
      <c r="F36" s="4"/>
      <c r="G36" s="4"/>
      <c r="H36" s="4"/>
      <c r="I36" s="36"/>
      <c r="J36" s="36"/>
      <c r="K36" s="36"/>
      <c r="L36" s="36"/>
      <c r="M36" s="36"/>
      <c r="N36" s="36"/>
      <c r="O36" s="4"/>
      <c r="P36" s="16"/>
      <c r="Q36" s="36"/>
      <c r="R36" s="4"/>
      <c r="S36" s="4"/>
      <c r="T36" s="4"/>
      <c r="U36" s="4"/>
      <c r="V36" s="4"/>
      <c r="W36" s="4"/>
      <c r="X36" s="4"/>
      <c r="Y36" s="36"/>
      <c r="Z36" s="36"/>
      <c r="AA36" s="36"/>
      <c r="AB36" s="36"/>
      <c r="AC36" s="36"/>
      <c r="AD36" s="36"/>
      <c r="AE36" s="4"/>
      <c r="AF36" s="16"/>
      <c r="AG36" s="36"/>
      <c r="AH36" s="4"/>
      <c r="AI36" s="4"/>
      <c r="AJ36" s="4"/>
      <c r="AK36" s="4"/>
      <c r="AL36" s="4"/>
      <c r="AM36" s="17"/>
      <c r="AN36" s="18"/>
    </row>
    <row r="37" spans="1:42" s="39" customFormat="1" x14ac:dyDescent="0.2">
      <c r="A37" s="25" t="s">
        <v>52</v>
      </c>
      <c r="B37" s="8"/>
      <c r="C37" s="8"/>
      <c r="D37" s="8"/>
      <c r="E37" s="8"/>
      <c r="F37" s="8"/>
      <c r="G37" s="8"/>
      <c r="H37" s="5"/>
      <c r="I37" s="5"/>
      <c r="J37" s="37"/>
      <c r="K37" s="8"/>
      <c r="L37" s="8"/>
      <c r="M37" s="8"/>
      <c r="N37" s="8"/>
      <c r="O37" s="8"/>
      <c r="P37" s="5"/>
      <c r="Q37" s="5"/>
      <c r="R37" s="8"/>
      <c r="S37" s="8"/>
      <c r="T37" s="8"/>
      <c r="U37" s="8"/>
      <c r="V37" s="8"/>
      <c r="W37" s="8"/>
      <c r="X37" s="5"/>
      <c r="Y37" s="5"/>
      <c r="Z37" s="37"/>
      <c r="AA37" s="8"/>
      <c r="AB37" s="8"/>
      <c r="AC37" s="8"/>
      <c r="AD37" s="8"/>
      <c r="AE37" s="8"/>
      <c r="AF37" s="5"/>
      <c r="AG37" s="5"/>
      <c r="AH37" s="38"/>
      <c r="AI37" s="5"/>
      <c r="AJ37" s="5"/>
      <c r="AK37" s="5"/>
      <c r="AL37" s="5"/>
      <c r="AM37" s="37"/>
      <c r="AN37" s="5"/>
      <c r="AP37" s="40"/>
    </row>
    <row r="38" spans="1:42" x14ac:dyDescent="0.2">
      <c r="A38" s="19" t="s">
        <v>54</v>
      </c>
      <c r="B38" s="2">
        <f>B10</f>
        <v>4798510672</v>
      </c>
      <c r="C38" s="2">
        <f t="shared" ref="C38:AG38" si="6">C10</f>
        <v>4197493420</v>
      </c>
      <c r="D38" s="2">
        <f t="shared" si="6"/>
        <v>547057294</v>
      </c>
      <c r="E38" s="2">
        <f t="shared" si="6"/>
        <v>79403400</v>
      </c>
      <c r="F38" s="2">
        <f t="shared" si="6"/>
        <v>0</v>
      </c>
      <c r="G38" s="2">
        <f t="shared" si="6"/>
        <v>53959958</v>
      </c>
      <c r="H38" s="3">
        <f t="shared" si="6"/>
        <v>1.1434357154829262</v>
      </c>
      <c r="I38" s="3">
        <f t="shared" si="6"/>
        <v>1.1400000000000001</v>
      </c>
      <c r="J38" s="2">
        <f t="shared" si="6"/>
        <v>50465754236</v>
      </c>
      <c r="K38" s="2">
        <f t="shared" si="6"/>
        <v>43823176985</v>
      </c>
      <c r="L38" s="2">
        <f t="shared" si="6"/>
        <v>6113835634</v>
      </c>
      <c r="M38" s="2">
        <f t="shared" si="6"/>
        <v>924035027.60000002</v>
      </c>
      <c r="N38" s="2">
        <f t="shared" si="6"/>
        <v>2330700</v>
      </c>
      <c r="O38" s="2">
        <f t="shared" si="6"/>
        <v>528741617</v>
      </c>
      <c r="P38" s="3">
        <f t="shared" si="6"/>
        <v>1.0673155905231764</v>
      </c>
      <c r="Q38" s="3">
        <f t="shared" si="6"/>
        <v>1.06</v>
      </c>
      <c r="R38" s="2">
        <f t="shared" si="6"/>
        <v>4329415508</v>
      </c>
      <c r="S38" s="2">
        <f t="shared" si="6"/>
        <v>3722992287</v>
      </c>
      <c r="T38" s="2">
        <f t="shared" si="6"/>
        <v>556302900</v>
      </c>
      <c r="U38" s="2">
        <f t="shared" si="6"/>
        <v>72938610</v>
      </c>
      <c r="V38" s="2">
        <f t="shared" si="6"/>
        <v>15761</v>
      </c>
      <c r="W38" s="2">
        <f t="shared" si="6"/>
        <v>50120321</v>
      </c>
      <c r="X38" s="3">
        <f t="shared" si="6"/>
        <v>1.1775115380314585</v>
      </c>
      <c r="Y38" s="3">
        <f t="shared" si="6"/>
        <v>1.1705428706574494</v>
      </c>
      <c r="Z38" s="2">
        <f t="shared" si="6"/>
        <v>45632745726</v>
      </c>
      <c r="AA38" s="2">
        <f t="shared" si="6"/>
        <v>39161458456</v>
      </c>
      <c r="AB38" s="2">
        <f t="shared" si="6"/>
        <v>5976970507</v>
      </c>
      <c r="AC38" s="2">
        <f t="shared" si="6"/>
        <v>920730691</v>
      </c>
      <c r="AD38" s="2">
        <f t="shared" si="6"/>
        <v>16712861</v>
      </c>
      <c r="AE38" s="2">
        <f t="shared" si="6"/>
        <v>494316763</v>
      </c>
      <c r="AF38" s="3">
        <f t="shared" si="6"/>
        <v>1.1059702898430168</v>
      </c>
      <c r="AG38" s="3">
        <f t="shared" si="6"/>
        <v>1.099827527714309</v>
      </c>
      <c r="AH38" s="21"/>
      <c r="AI38" s="3"/>
      <c r="AJ38" s="3"/>
      <c r="AK38" s="3"/>
      <c r="AL38" s="3"/>
      <c r="AM38" s="20"/>
      <c r="AN38" s="3"/>
      <c r="AP38" s="12"/>
    </row>
    <row r="39" spans="1:42" x14ac:dyDescent="0.2">
      <c r="A39" s="19" t="s">
        <v>55</v>
      </c>
      <c r="B39" s="2">
        <f>B35</f>
        <v>3993531759</v>
      </c>
      <c r="C39" s="2">
        <f t="shared" ref="C39:AG39" si="7">C35</f>
        <v>87775578</v>
      </c>
      <c r="D39" s="2">
        <f t="shared" si="7"/>
        <v>3831132368</v>
      </c>
      <c r="E39" s="2">
        <f t="shared" si="7"/>
        <v>1873200</v>
      </c>
      <c r="F39" s="2">
        <f t="shared" si="7"/>
        <v>43487</v>
      </c>
      <c r="G39" s="2">
        <f t="shared" si="7"/>
        <v>75623813</v>
      </c>
      <c r="H39" s="3">
        <f t="shared" si="7"/>
        <v>1.869514260617563</v>
      </c>
      <c r="I39" s="3">
        <f t="shared" si="7"/>
        <v>1.59</v>
      </c>
      <c r="J39" s="2">
        <f t="shared" si="7"/>
        <v>41905073845</v>
      </c>
      <c r="K39" s="2">
        <f t="shared" si="7"/>
        <v>995918802</v>
      </c>
      <c r="L39" s="2">
        <f t="shared" si="7"/>
        <v>38900547601</v>
      </c>
      <c r="M39" s="2">
        <f t="shared" si="7"/>
        <v>29915391</v>
      </c>
      <c r="N39" s="2">
        <f t="shared" si="7"/>
        <v>741706</v>
      </c>
      <c r="O39" s="2">
        <f t="shared" si="7"/>
        <v>2008607442</v>
      </c>
      <c r="P39" s="3">
        <f t="shared" si="7"/>
        <v>4.7967412993183594</v>
      </c>
      <c r="Q39" s="3">
        <f t="shared" si="7"/>
        <v>4.0338987290776647</v>
      </c>
      <c r="R39" s="2">
        <f t="shared" si="7"/>
        <v>3608495475</v>
      </c>
      <c r="S39" s="2">
        <f t="shared" si="7"/>
        <v>89700334</v>
      </c>
      <c r="T39" s="2">
        <f t="shared" si="7"/>
        <v>3425335373</v>
      </c>
      <c r="U39" s="2">
        <f t="shared" si="7"/>
        <v>918440</v>
      </c>
      <c r="V39" s="2">
        <f t="shared" si="7"/>
        <v>65026</v>
      </c>
      <c r="W39" s="2">
        <f t="shared" si="7"/>
        <v>93459768</v>
      </c>
      <c r="X39" s="3">
        <f t="shared" si="7"/>
        <v>2.5906987354951867</v>
      </c>
      <c r="Y39" s="3">
        <f t="shared" si="7"/>
        <v>2.1827207596236109</v>
      </c>
      <c r="Z39" s="2">
        <f t="shared" si="7"/>
        <v>37632875530</v>
      </c>
      <c r="AA39" s="2">
        <f t="shared" si="7"/>
        <v>1001123891</v>
      </c>
      <c r="AB39" s="2">
        <f t="shared" si="7"/>
        <v>34681705160</v>
      </c>
      <c r="AC39" s="2">
        <f t="shared" si="7"/>
        <v>12060500</v>
      </c>
      <c r="AD39" s="2">
        <f t="shared" si="7"/>
        <v>640598</v>
      </c>
      <c r="AE39" s="2">
        <f t="shared" si="7"/>
        <v>1950046479</v>
      </c>
      <c r="AF39" s="3">
        <f t="shared" si="7"/>
        <v>5.1835125924915326</v>
      </c>
      <c r="AG39" s="3">
        <f t="shared" si="7"/>
        <v>4.3387458376089167</v>
      </c>
      <c r="AH39" s="21"/>
      <c r="AI39" s="3"/>
      <c r="AJ39" s="3"/>
      <c r="AK39" s="3"/>
      <c r="AL39" s="3"/>
      <c r="AM39" s="20"/>
      <c r="AN39" s="3"/>
      <c r="AP39" s="12"/>
    </row>
    <row r="40" spans="1:42" s="54" customFormat="1" x14ac:dyDescent="0.2">
      <c r="A40" s="49" t="s">
        <v>56</v>
      </c>
      <c r="B40" s="50">
        <v>310025294</v>
      </c>
      <c r="C40" s="50">
        <v>0</v>
      </c>
      <c r="D40" s="50">
        <v>310025294</v>
      </c>
      <c r="E40" s="50"/>
      <c r="F40" s="50"/>
      <c r="G40" s="50"/>
      <c r="H40" s="51">
        <v>0</v>
      </c>
      <c r="I40" s="52"/>
      <c r="J40" s="53">
        <v>3515548494</v>
      </c>
      <c r="K40" s="53">
        <v>0</v>
      </c>
      <c r="L40" s="53">
        <v>3515548494</v>
      </c>
      <c r="M40" s="53"/>
      <c r="N40" s="53"/>
      <c r="O40" s="50"/>
      <c r="P40" s="51">
        <v>0</v>
      </c>
      <c r="Q40" s="52"/>
      <c r="R40" s="50">
        <v>311556900</v>
      </c>
      <c r="S40" s="50">
        <v>0</v>
      </c>
      <c r="T40" s="50">
        <v>311556900</v>
      </c>
      <c r="U40" s="50"/>
      <c r="V40" s="50"/>
      <c r="W40" s="50">
        <v>0</v>
      </c>
      <c r="X40" s="51">
        <v>0</v>
      </c>
      <c r="Y40" s="52"/>
      <c r="Z40" s="53">
        <v>3348003744</v>
      </c>
      <c r="AA40" s="53">
        <v>0</v>
      </c>
      <c r="AB40" s="53">
        <v>3348003744</v>
      </c>
      <c r="AC40" s="53"/>
      <c r="AD40" s="53"/>
      <c r="AE40" s="50">
        <v>0</v>
      </c>
      <c r="AF40" s="51">
        <v>0</v>
      </c>
      <c r="AG40" s="52"/>
      <c r="AH40" s="52"/>
      <c r="AI40" s="51"/>
      <c r="AJ40" s="51"/>
      <c r="AK40" s="51"/>
      <c r="AL40" s="51"/>
      <c r="AM40" s="53" t="e">
        <f>#REF!-#REF!</f>
        <v>#REF!</v>
      </c>
      <c r="AN40" s="51" t="e">
        <f>AM40*100/#REF!</f>
        <v>#REF!</v>
      </c>
      <c r="AP40" s="55"/>
    </row>
    <row r="41" spans="1:42" s="61" customFormat="1" x14ac:dyDescent="0.2">
      <c r="A41" s="56" t="s">
        <v>45</v>
      </c>
      <c r="B41" s="57">
        <v>4748212420</v>
      </c>
      <c r="C41" s="57">
        <v>240613162</v>
      </c>
      <c r="D41" s="57">
        <v>4378189662</v>
      </c>
      <c r="E41" s="57"/>
      <c r="F41" s="57">
        <v>50222</v>
      </c>
      <c r="G41" s="57"/>
      <c r="H41" s="58">
        <f>(B41-C41-D41)*100/(B41-F41)</f>
        <v>2.7254670460606705</v>
      </c>
      <c r="I41" s="59">
        <f>I35+I10</f>
        <v>2.7300000000000004</v>
      </c>
      <c r="J41" s="60">
        <v>49793204463</v>
      </c>
      <c r="K41" s="60">
        <v>2239798096</v>
      </c>
      <c r="L41" s="60">
        <v>45014349447</v>
      </c>
      <c r="M41" s="60"/>
      <c r="N41" s="60">
        <v>2765043</v>
      </c>
      <c r="O41" s="57">
        <f>J41-K41-L41</f>
        <v>2539056920</v>
      </c>
      <c r="P41" s="58">
        <f>(J41-K41-L41)*100/(J41-N41)</f>
        <v>5.0994868685173778</v>
      </c>
      <c r="Q41" s="59">
        <f>Q35+Q10</f>
        <v>5.0938987290776652</v>
      </c>
      <c r="R41" s="57">
        <v>4281801398</v>
      </c>
      <c r="S41" s="57">
        <v>156564559</v>
      </c>
      <c r="T41" s="57">
        <v>3981638273</v>
      </c>
      <c r="U41" s="57"/>
      <c r="V41" s="57">
        <v>68474</v>
      </c>
      <c r="W41" s="57">
        <f>R41-S41-T41</f>
        <v>143598566</v>
      </c>
      <c r="X41" s="58">
        <f>(R41-S41-T41)*100/(R41-V41)</f>
        <v>3.3537487869712819</v>
      </c>
      <c r="Y41" s="59">
        <f>Y35+Y10</f>
        <v>3.3532636302810603</v>
      </c>
      <c r="Z41" s="60">
        <v>44944934596</v>
      </c>
      <c r="AA41" s="60">
        <v>1842009472</v>
      </c>
      <c r="AB41" s="60">
        <v>40658672155</v>
      </c>
      <c r="AC41" s="60"/>
      <c r="AD41" s="60">
        <v>17357456</v>
      </c>
      <c r="AE41" s="57">
        <f>Z41-AA41-AB41</f>
        <v>2444252969</v>
      </c>
      <c r="AF41" s="58">
        <f>(Z41-AA41-AB41)*100/(Z41-AD41)</f>
        <v>5.4404290740704742</v>
      </c>
      <c r="AG41" s="59">
        <f>AG35+AG10</f>
        <v>5.4385733653232258</v>
      </c>
      <c r="AH41" s="59">
        <v>5.48</v>
      </c>
      <c r="AI41" s="58">
        <f>H41-AH41</f>
        <v>-2.75453295393933</v>
      </c>
      <c r="AJ41" s="58">
        <f>H41-X41</f>
        <v>-0.6282817409106114</v>
      </c>
      <c r="AK41" s="58">
        <f>P41-AH41</f>
        <v>-0.38051313148262267</v>
      </c>
      <c r="AL41" s="58">
        <f>P41-AF41</f>
        <v>-0.3409422055530964</v>
      </c>
      <c r="AM41" s="60"/>
      <c r="AN41" s="58"/>
      <c r="AP41" s="62"/>
    </row>
    <row r="42" spans="1:42" hidden="1" x14ac:dyDescent="0.2">
      <c r="A42" s="26"/>
      <c r="B42" s="27"/>
      <c r="C42" s="27"/>
      <c r="D42" s="27"/>
      <c r="E42" s="27"/>
      <c r="F42" s="27"/>
      <c r="G42" s="28"/>
      <c r="H42" s="29" t="s">
        <v>46</v>
      </c>
      <c r="I42" s="29"/>
      <c r="J42" s="27">
        <f>B41*31/30</f>
        <v>4906486167.333333</v>
      </c>
      <c r="K42" s="27">
        <f>C41*31/30</f>
        <v>248633600.73333332</v>
      </c>
      <c r="L42" s="27">
        <f>D41*30/31</f>
        <v>4236957737.4193549</v>
      </c>
      <c r="M42" s="27">
        <f>E41*31/30</f>
        <v>0</v>
      </c>
      <c r="N42" s="27">
        <f>F41*31/30</f>
        <v>51896.066666666666</v>
      </c>
      <c r="O42" s="27">
        <f>J42-K42-L42</f>
        <v>420894829.18064451</v>
      </c>
      <c r="P42" s="30">
        <f>(J42-K42-L42)*100/(J42-N42)</f>
        <v>8.5784259180951885</v>
      </c>
      <c r="Q42" s="29"/>
      <c r="R42" s="27"/>
      <c r="S42" s="27"/>
      <c r="T42" s="27"/>
      <c r="U42" s="27"/>
      <c r="V42" s="27"/>
      <c r="W42" s="27"/>
      <c r="X42" s="31"/>
      <c r="Y42" s="29"/>
      <c r="Z42" s="27"/>
      <c r="AA42" s="27"/>
      <c r="AB42" s="27"/>
      <c r="AC42" s="27"/>
      <c r="AD42" s="27"/>
      <c r="AE42" s="27"/>
      <c r="AF42" s="31"/>
      <c r="AG42" s="29"/>
      <c r="AH42" s="12"/>
      <c r="AI42" s="31"/>
      <c r="AJ42" s="31"/>
      <c r="AK42" s="31"/>
      <c r="AL42" s="32"/>
      <c r="AM42" s="20"/>
      <c r="AN42" s="3"/>
    </row>
    <row r="43" spans="1:42" hidden="1" x14ac:dyDescent="0.2">
      <c r="C43" s="33"/>
      <c r="D43" s="34"/>
      <c r="E43" s="33"/>
      <c r="F43" s="33"/>
      <c r="G43" s="33"/>
      <c r="H43" s="35">
        <v>2011</v>
      </c>
      <c r="I43" s="35"/>
      <c r="J43" s="2">
        <f>J41+J42</f>
        <v>54699690630.333336</v>
      </c>
      <c r="K43" s="2">
        <f>K41+K42</f>
        <v>2488431696.7333331</v>
      </c>
      <c r="L43" s="2">
        <f>L41+L42</f>
        <v>49251307184.419357</v>
      </c>
      <c r="M43" s="2"/>
      <c r="N43" s="2">
        <f>N41+N42</f>
        <v>2816939.0666666669</v>
      </c>
      <c r="O43" s="2">
        <f>J43-K43-L43</f>
        <v>2959951749.1806488</v>
      </c>
      <c r="P43" s="5">
        <f>(J43-K43-L43)*100/(J43-N43)</f>
        <v>5.4115556327550358</v>
      </c>
      <c r="Q43" s="35"/>
      <c r="U43" s="33"/>
      <c r="V43" s="33"/>
      <c r="W43" s="33"/>
      <c r="Y43" s="35"/>
      <c r="AC43" s="33"/>
      <c r="AD43" s="33"/>
      <c r="AE43" s="33"/>
      <c r="AG43" s="35"/>
    </row>
    <row r="44" spans="1:42" hidden="1" x14ac:dyDescent="0.2">
      <c r="C44" s="33"/>
      <c r="D44" s="33">
        <f>D35+D38+D40</f>
        <v>4688214956</v>
      </c>
      <c r="E44" s="33"/>
      <c r="F44" s="33"/>
      <c r="G44" s="33">
        <f>G34+G9</f>
        <v>9249749</v>
      </c>
      <c r="I44" s="12"/>
      <c r="K44" s="33"/>
      <c r="L44" s="33"/>
      <c r="M44" s="33"/>
      <c r="N44" s="33"/>
      <c r="O44" s="33">
        <f>O34+O9</f>
        <v>297529862</v>
      </c>
      <c r="P44" s="12" t="s">
        <v>57</v>
      </c>
      <c r="Q44" s="12">
        <f>Q34+Q33</f>
        <v>1.5536382476764308</v>
      </c>
      <c r="U44" s="33"/>
      <c r="V44" s="33"/>
      <c r="W44" s="33"/>
      <c r="AC44" s="33"/>
      <c r="AD44" s="33"/>
      <c r="AE44" s="33"/>
      <c r="AG44" s="12"/>
    </row>
    <row r="45" spans="1:42" hidden="1" x14ac:dyDescent="0.2">
      <c r="C45" s="33"/>
      <c r="D45" s="33"/>
      <c r="E45" s="33"/>
      <c r="F45" s="33"/>
      <c r="G45" s="33">
        <v>21751619</v>
      </c>
      <c r="J45" s="33"/>
      <c r="K45" s="33"/>
      <c r="L45" s="33"/>
      <c r="M45" s="33"/>
      <c r="N45" s="33"/>
      <c r="O45" s="33">
        <v>137155540</v>
      </c>
      <c r="Q45" s="12"/>
      <c r="U45" s="33"/>
      <c r="V45" s="33"/>
      <c r="W45" s="33"/>
      <c r="AC45" s="33"/>
      <c r="AD45" s="33"/>
      <c r="AE45" s="33"/>
    </row>
    <row r="46" spans="1:42" x14ac:dyDescent="0.2">
      <c r="C46" s="33"/>
      <c r="D46" s="33"/>
      <c r="E46" s="33"/>
      <c r="F46" s="33"/>
      <c r="G46" s="33"/>
      <c r="J46" s="33"/>
      <c r="K46" s="33"/>
      <c r="L46" s="33"/>
      <c r="M46" s="33"/>
      <c r="N46" s="33"/>
      <c r="O46" s="33"/>
      <c r="U46" s="33"/>
      <c r="V46" s="33"/>
      <c r="W46" s="33"/>
      <c r="AC46" s="33"/>
      <c r="AD46" s="33"/>
      <c r="AE46" s="33"/>
    </row>
    <row r="47" spans="1:42" x14ac:dyDescent="0.2">
      <c r="B47" s="33"/>
      <c r="C47" s="33"/>
      <c r="D47" s="33"/>
      <c r="E47" s="33"/>
      <c r="F47" s="33"/>
      <c r="G47" s="33"/>
      <c r="J47" s="33">
        <f>J34+J9</f>
        <v>16834802657</v>
      </c>
      <c r="K47" s="33"/>
      <c r="L47" s="33"/>
      <c r="M47" s="33"/>
      <c r="N47" s="33"/>
      <c r="O47" s="33"/>
      <c r="U47" s="33"/>
      <c r="V47" s="33"/>
      <c r="W47" s="33"/>
      <c r="Z47" s="33">
        <f>Z34+Z9</f>
        <v>15590126769</v>
      </c>
      <c r="AC47" s="33"/>
      <c r="AD47" s="33"/>
      <c r="AE47" s="33"/>
    </row>
    <row r="48" spans="1:42" x14ac:dyDescent="0.2">
      <c r="C48" s="33"/>
      <c r="D48" s="33"/>
      <c r="E48" s="33"/>
      <c r="F48" s="33"/>
      <c r="G48" s="33"/>
      <c r="K48" s="33"/>
      <c r="L48" s="33"/>
      <c r="M48" s="33"/>
      <c r="N48" s="33"/>
      <c r="O48" s="33"/>
      <c r="U48" s="33"/>
      <c r="V48" s="33"/>
      <c r="W48" s="33"/>
      <c r="AC48" s="33"/>
      <c r="AD48" s="33"/>
      <c r="AE48" s="33"/>
    </row>
    <row r="49" spans="3:31" x14ac:dyDescent="0.2">
      <c r="C49" s="33"/>
      <c r="D49" s="33"/>
      <c r="E49" s="33"/>
      <c r="F49" s="33"/>
      <c r="G49" s="33"/>
      <c r="J49" s="33"/>
      <c r="K49" s="33"/>
      <c r="L49" s="33"/>
      <c r="M49" s="33"/>
      <c r="N49" s="33"/>
      <c r="O49" s="33"/>
      <c r="U49" s="33"/>
      <c r="V49" s="33"/>
      <c r="W49" s="33"/>
      <c r="AC49" s="33"/>
      <c r="AD49" s="33"/>
      <c r="AE49" s="33"/>
    </row>
    <row r="50" spans="3:31" x14ac:dyDescent="0.2">
      <c r="C50" s="33"/>
      <c r="D50" s="33"/>
      <c r="E50" s="33"/>
      <c r="F50" s="33"/>
      <c r="G50" s="33"/>
      <c r="J50" s="33"/>
      <c r="K50" s="33"/>
      <c r="L50" s="33"/>
      <c r="M50" s="33"/>
      <c r="N50" s="33"/>
      <c r="O50" s="33"/>
      <c r="U50" s="33"/>
      <c r="V50" s="33"/>
      <c r="W50" s="33"/>
      <c r="AC50" s="33"/>
      <c r="AD50" s="33"/>
      <c r="AE50" s="33"/>
    </row>
    <row r="51" spans="3:31" x14ac:dyDescent="0.2">
      <c r="C51" s="33"/>
      <c r="D51" s="33"/>
      <c r="E51" s="33"/>
      <c r="F51" s="33"/>
      <c r="G51" s="33"/>
      <c r="K51" s="33"/>
      <c r="L51" s="33"/>
      <c r="M51" s="33"/>
      <c r="N51" s="33"/>
      <c r="O51" s="33"/>
      <c r="U51" s="33"/>
      <c r="V51" s="33"/>
      <c r="W51" s="33"/>
      <c r="AC51" s="33"/>
      <c r="AD51" s="33"/>
      <c r="AE51" s="33"/>
    </row>
  </sheetData>
  <mergeCells count="25">
    <mergeCell ref="AG4:AG5"/>
    <mergeCell ref="Y4:Y5"/>
    <mergeCell ref="Z4:Z5"/>
    <mergeCell ref="AA4:AB4"/>
    <mergeCell ref="AC4:AD4"/>
    <mergeCell ref="AE4:AE5"/>
    <mergeCell ref="AF4:AF5"/>
    <mergeCell ref="Q4:Q5"/>
    <mergeCell ref="R4:R5"/>
    <mergeCell ref="S4:T4"/>
    <mergeCell ref="U4:V4"/>
    <mergeCell ref="W4:W5"/>
    <mergeCell ref="X4:X5"/>
    <mergeCell ref="I4:I5"/>
    <mergeCell ref="J4:J5"/>
    <mergeCell ref="K4:L4"/>
    <mergeCell ref="M4:N4"/>
    <mergeCell ref="O4:O5"/>
    <mergeCell ref="P4:P5"/>
    <mergeCell ref="A3:A5"/>
    <mergeCell ref="B4:B5"/>
    <mergeCell ref="C4:D4"/>
    <mergeCell ref="E4:F4"/>
    <mergeCell ref="G4:G5"/>
    <mergeCell ref="H4:H5"/>
  </mergeCells>
  <conditionalFormatting sqref="AO42:IV42 AL8:IV13 AO15:AO34 AQ15:IV34 AK42:AM42 AI42 AI8:AI35 AL14:AM35 AP14:AP35 AP38:AP39 AL38:AM39 AI38:AI39">
    <cfRule type="expression" dxfId="155" priority="78" stopIfTrue="1">
      <formula>"AE&gt;0"</formula>
    </cfRule>
  </conditionalFormatting>
  <conditionalFormatting sqref="R42:X42 A42:N42 AJ42 AJ8:AJ35 A38:B39 AJ38:AJ39 A8:A10 A11:H33 A35:H35 A34 J35:P35 J11:P33 R11:X33 R35:X35 Z35:AF35 Z11:AF33 Z42:AF42">
    <cfRule type="expression" dxfId="154" priority="79" stopIfTrue="1">
      <formula>#REF!&gt;0</formula>
    </cfRule>
  </conditionalFormatting>
  <conditionalFormatting sqref="AN14:AO14 AQ14:IV14 AN42 AN15:AN35 AN38:AN39">
    <cfRule type="expression" dxfId="153" priority="80" stopIfTrue="1">
      <formula>#REF!&gt;0</formula>
    </cfRule>
  </conditionalFormatting>
  <conditionalFormatting sqref="AK8:AK35 AK38:AK39">
    <cfRule type="cellIs" dxfId="152" priority="81" stopIfTrue="1" operator="greaterThanOrEqual">
      <formula>0</formula>
    </cfRule>
  </conditionalFormatting>
  <conditionalFormatting sqref="AH8:AH34">
    <cfRule type="expression" dxfId="151" priority="77" stopIfTrue="1">
      <formula>"AE&gt;0"</formula>
    </cfRule>
  </conditionalFormatting>
  <conditionalFormatting sqref="AI40 AL40:AM40 AO40 AQ40:IV40">
    <cfRule type="expression" dxfId="150" priority="73" stopIfTrue="1">
      <formula>"AE&gt;0"</formula>
    </cfRule>
  </conditionalFormatting>
  <conditionalFormatting sqref="AJ40 A40:H40 J40:P40">
    <cfRule type="expression" dxfId="149" priority="74" stopIfTrue="1">
      <formula>#REF!&gt;0</formula>
    </cfRule>
  </conditionalFormatting>
  <conditionalFormatting sqref="AN40">
    <cfRule type="expression" dxfId="148" priority="75" stopIfTrue="1">
      <formula>#REF!&gt;0</formula>
    </cfRule>
  </conditionalFormatting>
  <conditionalFormatting sqref="AK40">
    <cfRule type="cellIs" dxfId="147" priority="76" stopIfTrue="1" operator="greaterThanOrEqual">
      <formula>0</formula>
    </cfRule>
  </conditionalFormatting>
  <conditionalFormatting sqref="AH40">
    <cfRule type="expression" dxfId="146" priority="72" stopIfTrue="1">
      <formula>"AE&gt;0"</formula>
    </cfRule>
  </conditionalFormatting>
  <conditionalFormatting sqref="R40:X40 Z40:AF40">
    <cfRule type="expression" dxfId="145" priority="71" stopIfTrue="1">
      <formula>#REF!&gt;0</formula>
    </cfRule>
  </conditionalFormatting>
  <conditionalFormatting sqref="AP40">
    <cfRule type="expression" dxfId="144" priority="70" stopIfTrue="1">
      <formula>"AE&gt;0"</formula>
    </cfRule>
  </conditionalFormatting>
  <conditionalFormatting sqref="B8:F8 H9 H8:P8 J9:P9 G10:H10 O10:P10 J10:M10 B9:C9 E9:F9 B10:D10">
    <cfRule type="expression" dxfId="143" priority="69" stopIfTrue="1">
      <formula>#REF!&gt;0</formula>
    </cfRule>
  </conditionalFormatting>
  <conditionalFormatting sqref="R34:X34 Z34:AF34">
    <cfRule type="expression" dxfId="142" priority="66" stopIfTrue="1">
      <formula>#REF!&gt;0</formula>
    </cfRule>
  </conditionalFormatting>
  <conditionalFormatting sqref="R8:X9 Z8:AF9 V10:X10 Z10:AB10 AD10:AF10 R10:T10">
    <cfRule type="expression" dxfId="141" priority="68" stopIfTrue="1">
      <formula>#REF!&gt;0</formula>
    </cfRule>
  </conditionalFormatting>
  <conditionalFormatting sqref="B34:F34">
    <cfRule type="expression" dxfId="140" priority="67" stopIfTrue="1">
      <formula>#REF!&gt;0</formula>
    </cfRule>
  </conditionalFormatting>
  <conditionalFormatting sqref="I10:I33">
    <cfRule type="expression" dxfId="139" priority="65" stopIfTrue="1">
      <formula>#REF!&gt;0</formula>
    </cfRule>
  </conditionalFormatting>
  <conditionalFormatting sqref="I40">
    <cfRule type="expression" dxfId="138" priority="62" stopIfTrue="1">
      <formula>#REF!&gt;0</formula>
    </cfRule>
  </conditionalFormatting>
  <conditionalFormatting sqref="I35">
    <cfRule type="expression" dxfId="137" priority="64" stopIfTrue="1">
      <formula>#REF!&gt;0</formula>
    </cfRule>
  </conditionalFormatting>
  <conditionalFormatting sqref="I9">
    <cfRule type="expression" dxfId="136" priority="63" stopIfTrue="1">
      <formula>#REF!&gt;0</formula>
    </cfRule>
  </conditionalFormatting>
  <conditionalFormatting sqref="Q40">
    <cfRule type="expression" dxfId="135" priority="58" stopIfTrue="1">
      <formula>#REF!&gt;0</formula>
    </cfRule>
  </conditionalFormatting>
  <conditionalFormatting sqref="Q42">
    <cfRule type="expression" dxfId="134" priority="61" stopIfTrue="1">
      <formula>#REF!&gt;0</formula>
    </cfRule>
  </conditionalFormatting>
  <conditionalFormatting sqref="Q11:Q33">
    <cfRule type="expression" dxfId="133" priority="60" stopIfTrue="1">
      <formula>#REF!&gt;0</formula>
    </cfRule>
  </conditionalFormatting>
  <conditionalFormatting sqref="Y40">
    <cfRule type="expression" dxfId="132" priority="52" stopIfTrue="1">
      <formula>#REF!&gt;0</formula>
    </cfRule>
  </conditionalFormatting>
  <conditionalFormatting sqref="Q35">
    <cfRule type="expression" dxfId="131" priority="59" stopIfTrue="1">
      <formula>#REF!&gt;0</formula>
    </cfRule>
  </conditionalFormatting>
  <conditionalFormatting sqref="Y42">
    <cfRule type="expression" dxfId="130" priority="57" stopIfTrue="1">
      <formula>#REF!&gt;0</formula>
    </cfRule>
  </conditionalFormatting>
  <conditionalFormatting sqref="Y8">
    <cfRule type="expression" dxfId="129" priority="56" stopIfTrue="1">
      <formula>#REF!&gt;0</formula>
    </cfRule>
  </conditionalFormatting>
  <conditionalFormatting sqref="Y10:Y34">
    <cfRule type="expression" dxfId="128" priority="55" stopIfTrue="1">
      <formula>#REF!&gt;0</formula>
    </cfRule>
  </conditionalFormatting>
  <conditionalFormatting sqref="Y35">
    <cfRule type="expression" dxfId="127" priority="54" stopIfTrue="1">
      <formula>#REF!&gt;0</formula>
    </cfRule>
  </conditionalFormatting>
  <conditionalFormatting sqref="Y9">
    <cfRule type="expression" dxfId="126" priority="53" stopIfTrue="1">
      <formula>#REF!&gt;0</formula>
    </cfRule>
  </conditionalFormatting>
  <conditionalFormatting sqref="AG40">
    <cfRule type="expression" dxfId="125" priority="46" stopIfTrue="1">
      <formula>#REF!&gt;0</formula>
    </cfRule>
  </conditionalFormatting>
  <conditionalFormatting sqref="AG42">
    <cfRule type="expression" dxfId="124" priority="51" stopIfTrue="1">
      <formula>#REF!&gt;0</formula>
    </cfRule>
  </conditionalFormatting>
  <conditionalFormatting sqref="AG8">
    <cfRule type="expression" dxfId="123" priority="50" stopIfTrue="1">
      <formula>#REF!&gt;0</formula>
    </cfRule>
  </conditionalFormatting>
  <conditionalFormatting sqref="AG10:AG33">
    <cfRule type="expression" dxfId="122" priority="49" stopIfTrue="1">
      <formula>#REF!&gt;0</formula>
    </cfRule>
  </conditionalFormatting>
  <conditionalFormatting sqref="AG35">
    <cfRule type="expression" dxfId="121" priority="48" stopIfTrue="1">
      <formula>#REF!&gt;0</formula>
    </cfRule>
  </conditionalFormatting>
  <conditionalFormatting sqref="AG9">
    <cfRule type="expression" dxfId="120" priority="47" stopIfTrue="1">
      <formula>#REF!&gt;0</formula>
    </cfRule>
  </conditionalFormatting>
  <conditionalFormatting sqref="AI37 AL37:AM37 AP37">
    <cfRule type="expression" dxfId="119" priority="42" stopIfTrue="1">
      <formula>"AE&gt;0"</formula>
    </cfRule>
  </conditionalFormatting>
  <conditionalFormatting sqref="AJ37 A37:H37 J37:P37 R37:X37 Z37:AF37">
    <cfRule type="expression" dxfId="118" priority="43" stopIfTrue="1">
      <formula>#REF!&gt;0</formula>
    </cfRule>
  </conditionalFormatting>
  <conditionalFormatting sqref="AN37">
    <cfRule type="expression" dxfId="117" priority="44" stopIfTrue="1">
      <formula>#REF!&gt;0</formula>
    </cfRule>
  </conditionalFormatting>
  <conditionalFormatting sqref="AK37">
    <cfRule type="cellIs" dxfId="116" priority="45" stopIfTrue="1" operator="greaterThanOrEqual">
      <formula>0</formula>
    </cfRule>
  </conditionalFormatting>
  <conditionalFormatting sqref="I37">
    <cfRule type="expression" dxfId="115" priority="41" stopIfTrue="1">
      <formula>#REF!&gt;0</formula>
    </cfRule>
  </conditionalFormatting>
  <conditionalFormatting sqref="Q37">
    <cfRule type="expression" dxfId="114" priority="40" stopIfTrue="1">
      <formula>#REF!&gt;0</formula>
    </cfRule>
  </conditionalFormatting>
  <conditionalFormatting sqref="Y37">
    <cfRule type="expression" dxfId="113" priority="39" stopIfTrue="1">
      <formula>#REF!&gt;0</formula>
    </cfRule>
  </conditionalFormatting>
  <conditionalFormatting sqref="AG37">
    <cfRule type="expression" dxfId="112" priority="38" stopIfTrue="1">
      <formula>#REF!&gt;0</formula>
    </cfRule>
  </conditionalFormatting>
  <conditionalFormatting sqref="J38:O39 R38:W39 Z38:AE39 C38:G39">
    <cfRule type="expression" dxfId="111" priority="37" stopIfTrue="1">
      <formula>#REF!&gt;0</formula>
    </cfRule>
  </conditionalFormatting>
  <conditionalFormatting sqref="H38:I39">
    <cfRule type="expression" dxfId="110" priority="36" stopIfTrue="1">
      <formula>#REF!&gt;0</formula>
    </cfRule>
  </conditionalFormatting>
  <conditionalFormatting sqref="P38:Q39">
    <cfRule type="expression" dxfId="109" priority="35" stopIfTrue="1">
      <formula>#REF!&gt;0</formula>
    </cfRule>
  </conditionalFormatting>
  <conditionalFormatting sqref="X38:Y39">
    <cfRule type="expression" dxfId="108" priority="34" stopIfTrue="1">
      <formula>#REF!&gt;0</formula>
    </cfRule>
  </conditionalFormatting>
  <conditionalFormatting sqref="AF38:AG39">
    <cfRule type="expression" dxfId="107" priority="33" stopIfTrue="1">
      <formula>#REF!&gt;0</formula>
    </cfRule>
  </conditionalFormatting>
  <conditionalFormatting sqref="A6">
    <cfRule type="expression" dxfId="106" priority="32" stopIfTrue="1">
      <formula>#REF!&gt;0</formula>
    </cfRule>
  </conditionalFormatting>
  <conditionalFormatting sqref="AI41 AL41:AM41 AO41 AQ41:IV41">
    <cfRule type="expression" dxfId="105" priority="28" stopIfTrue="1">
      <formula>"AE&gt;0"</formula>
    </cfRule>
  </conditionalFormatting>
  <conditionalFormatting sqref="AJ41 J41:P41 A41:H41">
    <cfRule type="expression" dxfId="104" priority="29" stopIfTrue="1">
      <formula>#REF!&gt;0</formula>
    </cfRule>
  </conditionalFormatting>
  <conditionalFormatting sqref="AN41">
    <cfRule type="expression" dxfId="103" priority="30" stopIfTrue="1">
      <formula>#REF!&gt;0</formula>
    </cfRule>
  </conditionalFormatting>
  <conditionalFormatting sqref="AK41">
    <cfRule type="cellIs" dxfId="102" priority="31" stopIfTrue="1" operator="greaterThanOrEqual">
      <formula>0</formula>
    </cfRule>
  </conditionalFormatting>
  <conditionalFormatting sqref="AH41">
    <cfRule type="expression" dxfId="101" priority="27" stopIfTrue="1">
      <formula>"AE&gt;0"</formula>
    </cfRule>
  </conditionalFormatting>
  <conditionalFormatting sqref="R41:X41 Z41:AF41">
    <cfRule type="expression" dxfId="100" priority="26" stopIfTrue="1">
      <formula>#REF!&gt;0</formula>
    </cfRule>
  </conditionalFormatting>
  <conditionalFormatting sqref="AP41">
    <cfRule type="expression" dxfId="99" priority="25" stopIfTrue="1">
      <formula>"AE&gt;0"</formula>
    </cfRule>
  </conditionalFormatting>
  <conditionalFormatting sqref="I41">
    <cfRule type="expression" dxfId="98" priority="24" stopIfTrue="1">
      <formula>#REF!&gt;0</formula>
    </cfRule>
  </conditionalFormatting>
  <conditionalFormatting sqref="Q41">
    <cfRule type="expression" dxfId="97" priority="23" stopIfTrue="1">
      <formula>#REF!&gt;0</formula>
    </cfRule>
  </conditionalFormatting>
  <conditionalFormatting sqref="Y41">
    <cfRule type="expression" dxfId="96" priority="22" stopIfTrue="1">
      <formula>#REF!&gt;0</formula>
    </cfRule>
  </conditionalFormatting>
  <conditionalFormatting sqref="AG41">
    <cfRule type="expression" dxfId="95" priority="21" stopIfTrue="1">
      <formula>#REF!&gt;0</formula>
    </cfRule>
  </conditionalFormatting>
  <conditionalFormatting sqref="F10">
    <cfRule type="expression" dxfId="94" priority="20" stopIfTrue="1">
      <formula>#REF!&gt;0</formula>
    </cfRule>
  </conditionalFormatting>
  <conditionalFormatting sqref="N10">
    <cfRule type="expression" dxfId="93" priority="19" stopIfTrue="1">
      <formula>#REF!&gt;0</formula>
    </cfRule>
  </conditionalFormatting>
  <conditionalFormatting sqref="D9">
    <cfRule type="expression" dxfId="92" priority="18" stopIfTrue="1">
      <formula>#REF!&gt;0</formula>
    </cfRule>
  </conditionalFormatting>
  <conditionalFormatting sqref="G9">
    <cfRule type="expression" dxfId="91" priority="16" stopIfTrue="1">
      <formula>#REF!&gt;0</formula>
    </cfRule>
  </conditionalFormatting>
  <conditionalFormatting sqref="G8">
    <cfRule type="expression" dxfId="90" priority="15" stopIfTrue="1">
      <formula>#REF!&gt;0</formula>
    </cfRule>
  </conditionalFormatting>
  <conditionalFormatting sqref="E10">
    <cfRule type="expression" dxfId="89" priority="12" stopIfTrue="1">
      <formula>#REF!&gt;0</formula>
    </cfRule>
  </conditionalFormatting>
  <conditionalFormatting sqref="U10">
    <cfRule type="expression" dxfId="88" priority="11" stopIfTrue="1">
      <formula>#REF!&gt;0</formula>
    </cfRule>
  </conditionalFormatting>
  <conditionalFormatting sqref="AC10">
    <cfRule type="expression" dxfId="87" priority="10" stopIfTrue="1">
      <formula>#REF!&gt;0</formula>
    </cfRule>
  </conditionalFormatting>
  <conditionalFormatting sqref="Q8">
    <cfRule type="expression" dxfId="86" priority="9" stopIfTrue="1">
      <formula>#REF!&gt;0</formula>
    </cfRule>
  </conditionalFormatting>
  <conditionalFormatting sqref="Q10">
    <cfRule type="expression" dxfId="85" priority="8" stopIfTrue="1">
      <formula>#REF!&gt;0</formula>
    </cfRule>
  </conditionalFormatting>
  <conditionalFormatting sqref="Q9">
    <cfRule type="expression" dxfId="84" priority="7" stopIfTrue="1">
      <formula>#REF!&gt;0</formula>
    </cfRule>
  </conditionalFormatting>
  <conditionalFormatting sqref="J34:N34">
    <cfRule type="expression" dxfId="83" priority="6" stopIfTrue="1">
      <formula>#REF!&gt;0</formula>
    </cfRule>
  </conditionalFormatting>
  <conditionalFormatting sqref="I34">
    <cfRule type="expression" dxfId="82" priority="5" stopIfTrue="1">
      <formula>#REF!&gt;0</formula>
    </cfRule>
  </conditionalFormatting>
  <conditionalFormatting sqref="G34:H34">
    <cfRule type="expression" dxfId="81" priority="4" stopIfTrue="1">
      <formula>#REF!&gt;0</formula>
    </cfRule>
  </conditionalFormatting>
  <conditionalFormatting sqref="O34:P34">
    <cfRule type="expression" dxfId="80" priority="3" stopIfTrue="1">
      <formula>#REF!&gt;0</formula>
    </cfRule>
  </conditionalFormatting>
  <conditionalFormatting sqref="AG34">
    <cfRule type="expression" dxfId="79" priority="2" stopIfTrue="1">
      <formula>#REF!&gt;0</formula>
    </cfRule>
  </conditionalFormatting>
  <conditionalFormatting sqref="Q34">
    <cfRule type="expression" dxfId="78" priority="1" stopIfTrue="1">
      <formula>#REF!&gt;0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579C-8A2E-4833-AC84-C3EA310A0DDC}">
  <dimension ref="A1:AP51"/>
  <sheetViews>
    <sheetView workbookViewId="0">
      <pane xSplit="1" ySplit="7" topLeftCell="B23" activePane="bottomRight" state="frozen"/>
      <selection activeCell="L33" sqref="L33"/>
      <selection pane="topRight" activeCell="L33" sqref="L33"/>
      <selection pane="bottomLeft" activeCell="L33" sqref="L33"/>
      <selection pane="bottomRight" activeCell="L33" sqref="L33"/>
    </sheetView>
  </sheetViews>
  <sheetFormatPr defaultRowHeight="11.25" outlineLevelCol="1" x14ac:dyDescent="0.2"/>
  <cols>
    <col min="1" max="1" width="18.28515625" style="1" bestFit="1" customWidth="1"/>
    <col min="2" max="4" width="10.85546875" style="1" customWidth="1"/>
    <col min="5" max="5" width="9.140625" style="1" bestFit="1" customWidth="1"/>
    <col min="6" max="6" width="10" style="1" bestFit="1" customWidth="1"/>
    <col min="7" max="7" width="10.5703125" style="1" bestFit="1" customWidth="1"/>
    <col min="8" max="8" width="5.42578125" style="1" customWidth="1"/>
    <col min="9" max="9" width="5.7109375" style="1" customWidth="1"/>
    <col min="10" max="12" width="13.85546875" style="1" bestFit="1" customWidth="1"/>
    <col min="13" max="13" width="10.7109375" style="1" bestFit="1" customWidth="1"/>
    <col min="14" max="14" width="11.7109375" style="1" bestFit="1" customWidth="1"/>
    <col min="15" max="15" width="12.7109375" style="1" bestFit="1" customWidth="1"/>
    <col min="16" max="16" width="6.5703125" style="12" bestFit="1" customWidth="1"/>
    <col min="17" max="17" width="5.85546875" style="1" customWidth="1"/>
    <col min="18" max="20" width="10.85546875" style="1" customWidth="1" outlineLevel="1"/>
    <col min="21" max="21" width="10" style="1" customWidth="1" outlineLevel="1"/>
    <col min="22" max="22" width="9.140625" style="1" customWidth="1" outlineLevel="1"/>
    <col min="23" max="23" width="10" style="1" customWidth="1" outlineLevel="1"/>
    <col min="24" max="24" width="5.140625" style="1" customWidth="1" outlineLevel="1"/>
    <col min="25" max="25" width="5.42578125" style="1" customWidth="1"/>
    <col min="26" max="28" width="11.7109375" style="1" customWidth="1" outlineLevel="1"/>
    <col min="29" max="29" width="11.28515625" style="1" customWidth="1" outlineLevel="1"/>
    <col min="30" max="30" width="10.140625" style="1" customWidth="1" outlineLevel="1"/>
    <col min="31" max="31" width="10.85546875" style="1" customWidth="1" outlineLevel="1"/>
    <col min="32" max="32" width="5.140625" style="1" customWidth="1" outlineLevel="1"/>
    <col min="33" max="33" width="5.42578125" style="1" customWidth="1"/>
    <col min="34" max="34" width="5.140625" style="1" hidden="1" customWidth="1"/>
    <col min="35" max="36" width="5.85546875" style="1" hidden="1" customWidth="1"/>
    <col min="37" max="37" width="5.7109375" style="1" hidden="1" customWidth="1"/>
    <col min="38" max="38" width="5.85546875" style="1" hidden="1" customWidth="1"/>
    <col min="39" max="39" width="10.85546875" style="1" hidden="1" customWidth="1"/>
    <col min="40" max="40" width="9.140625" style="1" hidden="1" customWidth="1"/>
    <col min="41" max="16384" width="9.140625" style="1"/>
  </cols>
  <sheetData>
    <row r="1" spans="1:42" x14ac:dyDescent="0.2">
      <c r="A1" s="9" t="s">
        <v>79</v>
      </c>
      <c r="B1" s="9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1"/>
      <c r="Q1" s="10"/>
      <c r="R1" s="9"/>
      <c r="S1" s="10"/>
      <c r="T1" s="10"/>
      <c r="U1" s="10"/>
      <c r="V1" s="10"/>
      <c r="W1" s="10"/>
      <c r="X1" s="10"/>
      <c r="Y1" s="10"/>
      <c r="Z1" s="9"/>
      <c r="AA1" s="10"/>
      <c r="AB1" s="10"/>
      <c r="AC1" s="10"/>
      <c r="AD1" s="10"/>
      <c r="AE1" s="10"/>
      <c r="AF1" s="10"/>
      <c r="AG1" s="10"/>
    </row>
    <row r="2" spans="1:42" x14ac:dyDescent="0.2">
      <c r="R2" s="33">
        <f>O34+O9</f>
        <v>331648224</v>
      </c>
    </row>
    <row r="3" spans="1:42" x14ac:dyDescent="0.2">
      <c r="A3" s="70" t="s">
        <v>14</v>
      </c>
      <c r="B3" s="13" t="s">
        <v>80</v>
      </c>
      <c r="C3" s="13"/>
      <c r="D3" s="13"/>
      <c r="E3" s="13"/>
      <c r="F3" s="13"/>
      <c r="G3" s="13"/>
      <c r="H3" s="13"/>
      <c r="I3" s="13"/>
      <c r="J3" s="13" t="s">
        <v>81</v>
      </c>
      <c r="K3" s="13"/>
      <c r="L3" s="13"/>
      <c r="M3" s="13"/>
      <c r="N3" s="13"/>
      <c r="O3" s="13"/>
      <c r="P3" s="14"/>
      <c r="Q3" s="13"/>
      <c r="R3" s="13" t="s">
        <v>12</v>
      </c>
      <c r="S3" s="13"/>
      <c r="T3" s="13"/>
      <c r="U3" s="13"/>
      <c r="V3" s="13"/>
      <c r="W3" s="13"/>
      <c r="X3" s="13"/>
      <c r="Y3" s="13"/>
      <c r="Z3" s="13" t="s">
        <v>13</v>
      </c>
      <c r="AA3" s="13"/>
      <c r="AB3" s="13"/>
      <c r="AC3" s="13"/>
      <c r="AD3" s="13"/>
      <c r="AE3" s="13"/>
      <c r="AF3" s="14"/>
      <c r="AG3" s="13"/>
      <c r="AH3" s="6" t="s">
        <v>15</v>
      </c>
      <c r="AI3" s="13" t="s">
        <v>16</v>
      </c>
      <c r="AJ3" s="13"/>
      <c r="AK3" s="13" t="s">
        <v>17</v>
      </c>
      <c r="AL3" s="13"/>
      <c r="AM3" s="15" t="s">
        <v>18</v>
      </c>
      <c r="AN3" s="13"/>
    </row>
    <row r="4" spans="1:42" ht="12.75" customHeight="1" x14ac:dyDescent="0.2">
      <c r="A4" s="70"/>
      <c r="B4" s="73" t="s">
        <v>0</v>
      </c>
      <c r="C4" s="71" t="s">
        <v>5</v>
      </c>
      <c r="D4" s="72"/>
      <c r="E4" s="71" t="s">
        <v>73</v>
      </c>
      <c r="F4" s="72"/>
      <c r="G4" s="73" t="s">
        <v>3</v>
      </c>
      <c r="H4" s="73" t="s">
        <v>1</v>
      </c>
      <c r="I4" s="73" t="s">
        <v>53</v>
      </c>
      <c r="J4" s="73" t="s">
        <v>0</v>
      </c>
      <c r="K4" s="71" t="s">
        <v>5</v>
      </c>
      <c r="L4" s="72"/>
      <c r="M4" s="71" t="s">
        <v>73</v>
      </c>
      <c r="N4" s="72"/>
      <c r="O4" s="73" t="s">
        <v>3</v>
      </c>
      <c r="P4" s="73" t="s">
        <v>1</v>
      </c>
      <c r="Q4" s="73" t="s">
        <v>53</v>
      </c>
      <c r="R4" s="73" t="s">
        <v>0</v>
      </c>
      <c r="S4" s="71" t="s">
        <v>5</v>
      </c>
      <c r="T4" s="72"/>
      <c r="U4" s="71" t="s">
        <v>73</v>
      </c>
      <c r="V4" s="72"/>
      <c r="W4" s="73" t="s">
        <v>3</v>
      </c>
      <c r="X4" s="73" t="s">
        <v>1</v>
      </c>
      <c r="Y4" s="73" t="s">
        <v>53</v>
      </c>
      <c r="Z4" s="73" t="s">
        <v>0</v>
      </c>
      <c r="AA4" s="71" t="s">
        <v>5</v>
      </c>
      <c r="AB4" s="72"/>
      <c r="AC4" s="71" t="s">
        <v>73</v>
      </c>
      <c r="AD4" s="72"/>
      <c r="AE4" s="73" t="s">
        <v>3</v>
      </c>
      <c r="AF4" s="73" t="s">
        <v>1</v>
      </c>
      <c r="AG4" s="73" t="s">
        <v>53</v>
      </c>
      <c r="AH4" s="6"/>
      <c r="AI4" s="13"/>
      <c r="AJ4" s="13"/>
      <c r="AK4" s="13"/>
      <c r="AL4" s="13"/>
      <c r="AM4" s="15"/>
      <c r="AN4" s="13"/>
    </row>
    <row r="5" spans="1:42" ht="30" customHeight="1" x14ac:dyDescent="0.2">
      <c r="A5" s="70"/>
      <c r="B5" s="74"/>
      <c r="C5" s="4" t="s">
        <v>71</v>
      </c>
      <c r="D5" s="4" t="s">
        <v>72</v>
      </c>
      <c r="E5" s="4" t="s">
        <v>74</v>
      </c>
      <c r="F5" s="4" t="s">
        <v>75</v>
      </c>
      <c r="G5" s="74"/>
      <c r="H5" s="74"/>
      <c r="I5" s="74"/>
      <c r="J5" s="74"/>
      <c r="K5" s="4" t="s">
        <v>71</v>
      </c>
      <c r="L5" s="4" t="s">
        <v>72</v>
      </c>
      <c r="M5" s="4" t="s">
        <v>74</v>
      </c>
      <c r="N5" s="4" t="s">
        <v>75</v>
      </c>
      <c r="O5" s="74"/>
      <c r="P5" s="74"/>
      <c r="Q5" s="74"/>
      <c r="R5" s="74"/>
      <c r="S5" s="4" t="s">
        <v>71</v>
      </c>
      <c r="T5" s="4" t="s">
        <v>72</v>
      </c>
      <c r="U5" s="4" t="s">
        <v>74</v>
      </c>
      <c r="V5" s="4" t="s">
        <v>75</v>
      </c>
      <c r="W5" s="74"/>
      <c r="X5" s="74"/>
      <c r="Y5" s="74"/>
      <c r="Z5" s="74"/>
      <c r="AA5" s="4" t="s">
        <v>71</v>
      </c>
      <c r="AB5" s="4" t="s">
        <v>72</v>
      </c>
      <c r="AC5" s="4" t="s">
        <v>74</v>
      </c>
      <c r="AD5" s="4" t="s">
        <v>75</v>
      </c>
      <c r="AE5" s="74"/>
      <c r="AF5" s="74"/>
      <c r="AG5" s="74"/>
      <c r="AH5" s="4" t="s">
        <v>20</v>
      </c>
      <c r="AI5" s="4" t="s">
        <v>21</v>
      </c>
      <c r="AJ5" s="4" t="s">
        <v>22</v>
      </c>
      <c r="AK5" s="4" t="s">
        <v>21</v>
      </c>
      <c r="AL5" s="4" t="s">
        <v>22</v>
      </c>
      <c r="AM5" s="17" t="s">
        <v>23</v>
      </c>
      <c r="AN5" s="18" t="s">
        <v>20</v>
      </c>
    </row>
    <row r="6" spans="1:42" x14ac:dyDescent="0.2">
      <c r="A6" s="25" t="s">
        <v>47</v>
      </c>
      <c r="B6" s="4"/>
      <c r="C6" s="4"/>
      <c r="D6" s="4"/>
      <c r="E6" s="4"/>
      <c r="F6" s="4"/>
      <c r="G6" s="4"/>
      <c r="H6" s="4"/>
      <c r="I6" s="36"/>
      <c r="J6" s="36"/>
      <c r="K6" s="36"/>
      <c r="L6" s="36"/>
      <c r="M6" s="36"/>
      <c r="N6" s="36"/>
      <c r="O6" s="4"/>
      <c r="P6" s="16"/>
      <c r="Q6" s="36"/>
      <c r="R6" s="4"/>
      <c r="S6" s="4"/>
      <c r="T6" s="4"/>
      <c r="U6" s="4"/>
      <c r="V6" s="4"/>
      <c r="W6" s="4"/>
      <c r="X6" s="4"/>
      <c r="Y6" s="36"/>
      <c r="Z6" s="36"/>
      <c r="AA6" s="36"/>
      <c r="AB6" s="36"/>
      <c r="AC6" s="36"/>
      <c r="AD6" s="36"/>
      <c r="AE6" s="4"/>
      <c r="AF6" s="16"/>
      <c r="AG6" s="36"/>
      <c r="AH6" s="4"/>
      <c r="AI6" s="4"/>
      <c r="AJ6" s="4"/>
      <c r="AK6" s="4"/>
      <c r="AL6" s="4"/>
      <c r="AM6" s="17"/>
      <c r="AN6" s="18"/>
    </row>
    <row r="7" spans="1:42" x14ac:dyDescent="0.2">
      <c r="A7" s="6"/>
      <c r="B7" s="4"/>
      <c r="C7" s="4"/>
      <c r="D7" s="4"/>
      <c r="E7" s="4"/>
      <c r="F7" s="4"/>
      <c r="G7" s="4"/>
      <c r="H7" s="4"/>
      <c r="I7" s="36"/>
      <c r="J7" s="36"/>
      <c r="K7" s="36"/>
      <c r="L7" s="36"/>
      <c r="M7" s="36"/>
      <c r="N7" s="36"/>
      <c r="O7" s="4"/>
      <c r="P7" s="16"/>
      <c r="Q7" s="36"/>
      <c r="R7" s="4"/>
      <c r="S7" s="4"/>
      <c r="T7" s="4"/>
      <c r="U7" s="4"/>
      <c r="V7" s="4"/>
      <c r="W7" s="4"/>
      <c r="X7" s="4"/>
      <c r="Y7" s="36"/>
      <c r="Z7" s="36"/>
      <c r="AA7" s="36"/>
      <c r="AB7" s="36"/>
      <c r="AC7" s="36"/>
      <c r="AD7" s="36"/>
      <c r="AE7" s="4"/>
      <c r="AF7" s="16"/>
      <c r="AG7" s="36"/>
      <c r="AH7" s="4"/>
      <c r="AI7" s="4"/>
      <c r="AJ7" s="4"/>
      <c r="AK7" s="4"/>
      <c r="AL7" s="4"/>
      <c r="AM7" s="17"/>
      <c r="AN7" s="18"/>
    </row>
    <row r="8" spans="1:42" x14ac:dyDescent="0.2">
      <c r="A8" s="19" t="s">
        <v>48</v>
      </c>
      <c r="B8" s="2">
        <v>4019246459</v>
      </c>
      <c r="C8" s="2">
        <f>3973293641-D8</f>
        <v>3656925241</v>
      </c>
      <c r="D8" s="2">
        <v>316368399.99999988</v>
      </c>
      <c r="E8" s="2"/>
      <c r="F8" s="2"/>
      <c r="G8" s="2">
        <f>(B8-C8-D8)</f>
        <v>45952818.000000119</v>
      </c>
      <c r="H8" s="3">
        <f>(B8-C8-D8)*100/(B8-E8-F8)</f>
        <v>1.1433192382890922</v>
      </c>
      <c r="I8" s="3">
        <f>ROUND(G8*100/(B$41),2)</f>
        <v>0.93</v>
      </c>
      <c r="J8" s="2">
        <v>44373192522</v>
      </c>
      <c r="K8" s="2">
        <f>43834482289-L8</f>
        <v>40325283695</v>
      </c>
      <c r="L8" s="2">
        <v>3509198594</v>
      </c>
      <c r="M8" s="2"/>
      <c r="N8" s="2"/>
      <c r="O8" s="2">
        <f>(J8-K8-L8)</f>
        <v>538710233</v>
      </c>
      <c r="P8" s="3">
        <f>(J8-K8-L8)*100/(J8-M8-N8)</f>
        <v>1.2140443415986133</v>
      </c>
      <c r="Q8" s="3">
        <f>ROUND(O8*100/(J$41),2)</f>
        <v>0.98</v>
      </c>
      <c r="R8" s="2">
        <v>3480003451</v>
      </c>
      <c r="S8" s="2">
        <f>3443073485-T8</f>
        <v>3442783961</v>
      </c>
      <c r="T8" s="2">
        <v>289524</v>
      </c>
      <c r="U8" s="2">
        <v>0</v>
      </c>
      <c r="V8" s="2">
        <v>0</v>
      </c>
      <c r="W8" s="2">
        <f>(R8-S8-T8)</f>
        <v>36929966</v>
      </c>
      <c r="X8" s="3">
        <f>(R8-S8-T8)*100/(R8-U8-V8)</f>
        <v>1.0612048671787366</v>
      </c>
      <c r="Y8" s="3">
        <f>W8*100/(R$41)</f>
        <v>0.84818013313199214</v>
      </c>
      <c r="Z8" s="2">
        <v>39564308439</v>
      </c>
      <c r="AA8" s="2">
        <f>39059827800-AB8</f>
        <v>35741723100</v>
      </c>
      <c r="AB8" s="2">
        <v>3318104700</v>
      </c>
      <c r="AC8" s="2">
        <v>0</v>
      </c>
      <c r="AD8" s="2">
        <v>0</v>
      </c>
      <c r="AE8" s="2">
        <f>(Z8-AA8-AB8)</f>
        <v>504480639</v>
      </c>
      <c r="AF8" s="3">
        <f>(Z8-AA8-AB8)*100/(Z8-AC8-AD8)</f>
        <v>1.2750902490253433</v>
      </c>
      <c r="AG8" s="3">
        <f>AE8*100/(Z$41)</f>
        <v>1.0233089177594032</v>
      </c>
      <c r="AH8" s="22">
        <v>1.24</v>
      </c>
      <c r="AI8" s="3">
        <f>H8-AH8</f>
        <v>-9.6680761710907781E-2</v>
      </c>
      <c r="AJ8" s="3">
        <f>H8-X8</f>
        <v>8.2114371110355577E-2</v>
      </c>
      <c r="AK8" s="3">
        <f>P8-AH8</f>
        <v>-2.5955658401386694E-2</v>
      </c>
      <c r="AL8" s="3">
        <f>P8-AF8</f>
        <v>-6.1045907426729995E-2</v>
      </c>
      <c r="AM8" s="20"/>
      <c r="AN8" s="22"/>
      <c r="AP8" s="12"/>
    </row>
    <row r="9" spans="1:42" s="47" customFormat="1" x14ac:dyDescent="0.2">
      <c r="A9" s="41" t="s">
        <v>44</v>
      </c>
      <c r="B9" s="42">
        <v>976959457</v>
      </c>
      <c r="C9" s="42">
        <f>976376300-D9</f>
        <v>728820900</v>
      </c>
      <c r="D9" s="2">
        <v>247555400</v>
      </c>
      <c r="E9" s="42"/>
      <c r="F9" s="42">
        <v>3200</v>
      </c>
      <c r="G9" s="42">
        <f>(B9-C9-D9)</f>
        <v>583157</v>
      </c>
      <c r="H9" s="43">
        <f>(B9-C9-D9)*100/(B9-E9-F9)</f>
        <v>5.9691208876714322E-2</v>
      </c>
      <c r="I9" s="43">
        <f>ROUND(G9*100/(B$41),2)</f>
        <v>0.01</v>
      </c>
      <c r="J9" s="42">
        <v>11088755040</v>
      </c>
      <c r="K9" s="42">
        <f>11052200271-L9</f>
        <v>8206357731</v>
      </c>
      <c r="L9" s="42">
        <v>2845842540</v>
      </c>
      <c r="M9" s="42"/>
      <c r="N9" s="42">
        <v>2333900</v>
      </c>
      <c r="O9" s="42">
        <f>(J9-K9-L9)</f>
        <v>36554769</v>
      </c>
      <c r="P9" s="43">
        <f>(J9-K9-L9)*100/(J9-M9-N9)</f>
        <v>0.32972560340604201</v>
      </c>
      <c r="Q9" s="43">
        <f>ROUND(O9*100/(J$41),2)</f>
        <v>7.0000000000000007E-2</v>
      </c>
      <c r="R9" s="42">
        <v>928974058</v>
      </c>
      <c r="S9" s="42">
        <f>922898600-T9</f>
        <v>666658600</v>
      </c>
      <c r="T9" s="42">
        <v>256240000</v>
      </c>
      <c r="U9" s="42"/>
      <c r="V9" s="42">
        <v>17300</v>
      </c>
      <c r="W9" s="42">
        <f>(R9-S9-T9)</f>
        <v>6075458</v>
      </c>
      <c r="X9" s="43">
        <f>(R9-S9-T9)*100/(R9-U9-V9)</f>
        <v>0.65400869821757623</v>
      </c>
      <c r="Y9" s="43">
        <f>W9*100/(R$41)</f>
        <v>0.13953662387010662</v>
      </c>
      <c r="Z9" s="42">
        <v>10477414796</v>
      </c>
      <c r="AA9" s="42">
        <f>10444554458-AB9</f>
        <v>7559347695</v>
      </c>
      <c r="AB9" s="42">
        <v>2885206763</v>
      </c>
      <c r="AC9" s="42"/>
      <c r="AD9" s="42">
        <v>16730161</v>
      </c>
      <c r="AE9" s="42">
        <f>(Z9-AA9-AB9)</f>
        <v>32860338</v>
      </c>
      <c r="AF9" s="43">
        <f>(Z9-AA9-AB9)*100/(Z9-AC9-AD9)</f>
        <v>0.31413181016903874</v>
      </c>
      <c r="AG9" s="43">
        <f>AE9*100/(Z$41)</f>
        <v>6.6655237716641474E-2</v>
      </c>
      <c r="AH9" s="44"/>
      <c r="AI9" s="24"/>
      <c r="AJ9" s="24"/>
      <c r="AK9" s="24"/>
      <c r="AL9" s="24"/>
      <c r="AM9" s="45"/>
      <c r="AN9" s="46"/>
      <c r="AP9" s="48"/>
    </row>
    <row r="10" spans="1:42" s="39" customFormat="1" x14ac:dyDescent="0.2">
      <c r="A10" s="25" t="s">
        <v>69</v>
      </c>
      <c r="B10" s="8">
        <f>SUM(B8:B9)</f>
        <v>4996205916</v>
      </c>
      <c r="C10" s="8">
        <f>SUM(C8:C9)</f>
        <v>4385746141</v>
      </c>
      <c r="D10" s="8">
        <f>SUM(D8:D9)</f>
        <v>563923799.99999988</v>
      </c>
      <c r="E10" s="7">
        <f>73821700+8683400</f>
        <v>82505100</v>
      </c>
      <c r="F10" s="63"/>
      <c r="G10" s="8">
        <f>SUM(G8:G9)</f>
        <v>46535975.000000119</v>
      </c>
      <c r="H10" s="5">
        <f>(B10-C10-D10)*100/(B10-E10-F10)</f>
        <v>0.94706569941070895</v>
      </c>
      <c r="I10" s="5">
        <f>I8+I9</f>
        <v>0.94000000000000006</v>
      </c>
      <c r="J10" s="8">
        <f>SUM(J8:J9)</f>
        <v>55461947562</v>
      </c>
      <c r="K10" s="8">
        <f>SUM(K8:K9)</f>
        <v>48531641426</v>
      </c>
      <c r="L10" s="8">
        <f>SUM(L8:L9)</f>
        <v>6355041134</v>
      </c>
      <c r="M10" s="7">
        <f>141385400+865154727.6</f>
        <v>1006540127.6</v>
      </c>
      <c r="N10" s="63">
        <f>SUM(N8:N9)</f>
        <v>2333900</v>
      </c>
      <c r="O10" s="8">
        <f>SUM(O8:O9)</f>
        <v>575265002</v>
      </c>
      <c r="P10" s="5">
        <f>(J10-K10-L10)*100/(J10-M10-N10)</f>
        <v>1.0564417482083615</v>
      </c>
      <c r="Q10" s="5">
        <f>Q8+Q9</f>
        <v>1.05</v>
      </c>
      <c r="R10" s="8">
        <f>SUM(R8:R9)</f>
        <v>4408977509</v>
      </c>
      <c r="S10" s="8">
        <f>SUM(S8:S9)</f>
        <v>4109442561</v>
      </c>
      <c r="T10" s="8">
        <f>SUM(T8:T9)</f>
        <v>256529524</v>
      </c>
      <c r="U10" s="7">
        <v>76299700</v>
      </c>
      <c r="V10" s="8">
        <f>SUM(V8:V9)</f>
        <v>17300</v>
      </c>
      <c r="W10" s="8">
        <f>SUM(W8:W9)</f>
        <v>43005424</v>
      </c>
      <c r="X10" s="5">
        <f>(R10-S10-T10)*100/(R10-U10-V10)</f>
        <v>0.99258697769343274</v>
      </c>
      <c r="Y10" s="5">
        <f>W10*100/(R$41)</f>
        <v>0.98771675700209871</v>
      </c>
      <c r="Z10" s="8">
        <f>SUM(Z8:Z9)</f>
        <v>50041723235</v>
      </c>
      <c r="AA10" s="8">
        <f>SUM(AA8:AA9)</f>
        <v>43301070795</v>
      </c>
      <c r="AB10" s="8">
        <f>SUM(AB8:AB9)</f>
        <v>6203311463</v>
      </c>
      <c r="AC10" s="7">
        <v>997030391</v>
      </c>
      <c r="AD10" s="8">
        <f>SUM(AD8:AD9)</f>
        <v>16730161</v>
      </c>
      <c r="AE10" s="8">
        <f>SUM(AE8:AE9)</f>
        <v>537340977</v>
      </c>
      <c r="AF10" s="5">
        <f>(Z10-AA10-AB10)*100/(Z10-AC10-AD10)</f>
        <v>1.0959887941383257</v>
      </c>
      <c r="AG10" s="5">
        <f>AE10*100/(Z$41)</f>
        <v>1.0899641554760446</v>
      </c>
      <c r="AH10" s="38"/>
      <c r="AI10" s="5"/>
      <c r="AJ10" s="5"/>
      <c r="AK10" s="5"/>
      <c r="AL10" s="5"/>
      <c r="AM10" s="37"/>
      <c r="AN10" s="35"/>
      <c r="AP10" s="40"/>
    </row>
    <row r="11" spans="1:42" x14ac:dyDescent="0.2">
      <c r="A11" s="19"/>
      <c r="B11" s="2"/>
      <c r="C11" s="2"/>
      <c r="D11" s="2"/>
      <c r="E11" s="2"/>
      <c r="F11" s="2"/>
      <c r="G11" s="2"/>
      <c r="H11" s="3"/>
      <c r="I11" s="3"/>
      <c r="J11" s="20"/>
      <c r="K11" s="20"/>
      <c r="L11" s="20"/>
      <c r="M11" s="20"/>
      <c r="N11" s="20"/>
      <c r="O11" s="2"/>
      <c r="P11" s="3"/>
      <c r="Q11" s="3"/>
      <c r="R11" s="2"/>
      <c r="S11" s="2"/>
      <c r="T11" s="2"/>
      <c r="U11" s="2"/>
      <c r="V11" s="2"/>
      <c r="W11" s="2"/>
      <c r="X11" s="3"/>
      <c r="Y11" s="3"/>
      <c r="Z11" s="20"/>
      <c r="AA11" s="20"/>
      <c r="AB11" s="20"/>
      <c r="AC11" s="20"/>
      <c r="AD11" s="20"/>
      <c r="AE11" s="2"/>
      <c r="AF11" s="3"/>
      <c r="AG11" s="3"/>
      <c r="AH11" s="21"/>
      <c r="AI11" s="3"/>
      <c r="AJ11" s="3"/>
      <c r="AK11" s="3"/>
      <c r="AL11" s="3"/>
      <c r="AM11" s="20"/>
      <c r="AN11" s="22"/>
      <c r="AP11" s="12"/>
    </row>
    <row r="12" spans="1:42" x14ac:dyDescent="0.2">
      <c r="A12" s="25" t="s">
        <v>50</v>
      </c>
      <c r="B12" s="2"/>
      <c r="C12" s="2"/>
      <c r="D12" s="2"/>
      <c r="E12" s="2"/>
      <c r="F12" s="2"/>
      <c r="G12" s="2"/>
      <c r="H12" s="3"/>
      <c r="I12" s="3"/>
      <c r="J12" s="20"/>
      <c r="K12" s="20"/>
      <c r="L12" s="20"/>
      <c r="M12" s="20"/>
      <c r="N12" s="20"/>
      <c r="O12" s="2"/>
      <c r="P12" s="3"/>
      <c r="Q12" s="3"/>
      <c r="R12" s="2"/>
      <c r="S12" s="2"/>
      <c r="T12" s="2"/>
      <c r="U12" s="2"/>
      <c r="V12" s="2"/>
      <c r="W12" s="2"/>
      <c r="X12" s="3"/>
      <c r="Y12" s="3"/>
      <c r="Z12" s="20"/>
      <c r="AA12" s="20"/>
      <c r="AB12" s="20"/>
      <c r="AC12" s="20"/>
      <c r="AD12" s="20"/>
      <c r="AE12" s="2"/>
      <c r="AF12" s="3"/>
      <c r="AG12" s="3"/>
      <c r="AH12" s="21"/>
      <c r="AI12" s="3"/>
      <c r="AJ12" s="3"/>
      <c r="AK12" s="3"/>
      <c r="AL12" s="3"/>
      <c r="AM12" s="20"/>
      <c r="AN12" s="22"/>
      <c r="AP12" s="12"/>
    </row>
    <row r="13" spans="1:42" x14ac:dyDescent="0.2">
      <c r="A13" s="19"/>
      <c r="B13" s="2"/>
      <c r="C13" s="2"/>
      <c r="D13" s="2"/>
      <c r="E13" s="2"/>
      <c r="F13" s="2"/>
      <c r="G13" s="2"/>
      <c r="H13" s="3"/>
      <c r="I13" s="3"/>
      <c r="J13" s="20"/>
      <c r="K13" s="20"/>
      <c r="L13" s="20"/>
      <c r="M13" s="20"/>
      <c r="N13" s="20"/>
      <c r="O13" s="2"/>
      <c r="P13" s="3"/>
      <c r="Q13" s="3"/>
      <c r="R13" s="2"/>
      <c r="S13" s="2"/>
      <c r="T13" s="2"/>
      <c r="U13" s="2"/>
      <c r="V13" s="2"/>
      <c r="W13" s="2"/>
      <c r="X13" s="3"/>
      <c r="Y13" s="3"/>
      <c r="Z13" s="20"/>
      <c r="AA13" s="20"/>
      <c r="AB13" s="20"/>
      <c r="AC13" s="20"/>
      <c r="AD13" s="20"/>
      <c r="AE13" s="2"/>
      <c r="AF13" s="3"/>
      <c r="AG13" s="3"/>
      <c r="AH13" s="21"/>
      <c r="AI13" s="3"/>
      <c r="AJ13" s="3"/>
      <c r="AK13" s="3"/>
      <c r="AL13" s="3"/>
      <c r="AM13" s="20"/>
      <c r="AN13" s="22"/>
      <c r="AP13" s="12"/>
    </row>
    <row r="14" spans="1:42" x14ac:dyDescent="0.2">
      <c r="A14" s="19" t="s">
        <v>24</v>
      </c>
      <c r="B14" s="2">
        <v>117723739</v>
      </c>
      <c r="C14" s="2">
        <v>8735073</v>
      </c>
      <c r="D14" s="2">
        <v>101959362</v>
      </c>
      <c r="E14" s="2">
        <v>246500</v>
      </c>
      <c r="F14" s="2">
        <v>0</v>
      </c>
      <c r="G14" s="2">
        <v>7029304</v>
      </c>
      <c r="H14" s="3">
        <v>5.98</v>
      </c>
      <c r="I14" s="3"/>
      <c r="J14" s="20">
        <v>1283802993</v>
      </c>
      <c r="K14" s="20">
        <v>74240761</v>
      </c>
      <c r="L14" s="20">
        <v>1143919321</v>
      </c>
      <c r="M14" s="20">
        <v>1606300</v>
      </c>
      <c r="N14" s="20">
        <v>0</v>
      </c>
      <c r="O14" s="2">
        <v>65642911</v>
      </c>
      <c r="P14" s="3">
        <v>5.12</v>
      </c>
      <c r="Q14" s="3"/>
      <c r="R14" s="2">
        <v>97590230</v>
      </c>
      <c r="S14" s="2">
        <v>4207688</v>
      </c>
      <c r="T14" s="2">
        <v>81811291</v>
      </c>
      <c r="U14" s="2">
        <v>138300</v>
      </c>
      <c r="V14" s="2">
        <v>0</v>
      </c>
      <c r="W14" s="2">
        <v>11571251</v>
      </c>
      <c r="X14" s="3">
        <v>11.8699999999999</v>
      </c>
      <c r="Y14" s="3"/>
      <c r="Z14" s="20">
        <v>1094993438</v>
      </c>
      <c r="AA14" s="20">
        <v>50945696</v>
      </c>
      <c r="AB14" s="20">
        <v>971338363</v>
      </c>
      <c r="AC14" s="20">
        <v>903400</v>
      </c>
      <c r="AD14" s="20">
        <v>0</v>
      </c>
      <c r="AE14" s="2">
        <v>72709379</v>
      </c>
      <c r="AF14" s="3">
        <v>6.65</v>
      </c>
      <c r="AG14" s="3"/>
      <c r="AH14" s="21">
        <v>6.95</v>
      </c>
      <c r="AI14" s="3">
        <f t="shared" ref="AI14:AI33" si="0">H14-AH14</f>
        <v>-0.96999999999999975</v>
      </c>
      <c r="AJ14" s="3">
        <f t="shared" ref="AJ14:AJ33" si="1">H14-X14</f>
        <v>-5.8899999999998993</v>
      </c>
      <c r="AK14" s="3">
        <f t="shared" ref="AK14:AK35" si="2">P14-AH14</f>
        <v>-1.83</v>
      </c>
      <c r="AL14" s="3">
        <f t="shared" ref="AL14:AL33" si="3">P14-AF14</f>
        <v>-1.5300000000000002</v>
      </c>
      <c r="AM14" s="20" t="e">
        <f>#REF!-#REF!</f>
        <v>#REF!</v>
      </c>
      <c r="AN14" s="3" t="e">
        <f>AM14*100/#REF!</f>
        <v>#REF!</v>
      </c>
      <c r="AP14" s="12"/>
    </row>
    <row r="15" spans="1:42" x14ac:dyDescent="0.2">
      <c r="A15" s="19" t="s">
        <v>25</v>
      </c>
      <c r="B15" s="2">
        <v>202545780</v>
      </c>
      <c r="C15" s="2">
        <v>59634</v>
      </c>
      <c r="D15" s="2">
        <v>181239708</v>
      </c>
      <c r="E15" s="2">
        <v>14700</v>
      </c>
      <c r="F15" s="2">
        <v>0</v>
      </c>
      <c r="G15" s="2">
        <v>21246438</v>
      </c>
      <c r="H15" s="3">
        <v>10.49</v>
      </c>
      <c r="I15" s="3"/>
      <c r="J15" s="20">
        <v>1916450501</v>
      </c>
      <c r="K15" s="20">
        <v>647365</v>
      </c>
      <c r="L15" s="20">
        <v>1771615449</v>
      </c>
      <c r="M15" s="20">
        <v>294600</v>
      </c>
      <c r="N15" s="20">
        <v>0</v>
      </c>
      <c r="O15" s="2">
        <v>144187687</v>
      </c>
      <c r="P15" s="3">
        <v>7.52</v>
      </c>
      <c r="Q15" s="3"/>
      <c r="R15" s="2">
        <v>179549570</v>
      </c>
      <c r="S15" s="2">
        <v>50277</v>
      </c>
      <c r="T15" s="2">
        <v>172643241</v>
      </c>
      <c r="U15" s="2">
        <v>0</v>
      </c>
      <c r="V15" s="2">
        <v>0</v>
      </c>
      <c r="W15" s="2">
        <v>6856052</v>
      </c>
      <c r="X15" s="3">
        <v>3.8199999999999901</v>
      </c>
      <c r="Y15" s="3"/>
      <c r="Z15" s="20">
        <v>1725030686</v>
      </c>
      <c r="AA15" s="20">
        <v>596455</v>
      </c>
      <c r="AB15" s="20">
        <v>1608721686</v>
      </c>
      <c r="AC15" s="20">
        <v>0</v>
      </c>
      <c r="AD15" s="20">
        <v>0</v>
      </c>
      <c r="AE15" s="2">
        <v>115712545</v>
      </c>
      <c r="AF15" s="3">
        <v>6.71</v>
      </c>
      <c r="AG15" s="3"/>
      <c r="AH15" s="23">
        <v>6.75</v>
      </c>
      <c r="AI15" s="3">
        <f t="shared" si="0"/>
        <v>3.74</v>
      </c>
      <c r="AJ15" s="3">
        <f t="shared" si="1"/>
        <v>6.6700000000000106</v>
      </c>
      <c r="AK15" s="3">
        <f t="shared" si="2"/>
        <v>0.76999999999999957</v>
      </c>
      <c r="AL15" s="3">
        <f t="shared" si="3"/>
        <v>0.80999999999999961</v>
      </c>
      <c r="AM15" s="20" t="e">
        <f>#REF!-#REF!</f>
        <v>#REF!</v>
      </c>
      <c r="AN15" s="3" t="e">
        <f>AM15*100/#REF!</f>
        <v>#REF!</v>
      </c>
      <c r="AP15" s="12"/>
    </row>
    <row r="16" spans="1:42" x14ac:dyDescent="0.2">
      <c r="A16" s="19" t="s">
        <v>26</v>
      </c>
      <c r="B16" s="2">
        <v>91019116</v>
      </c>
      <c r="C16" s="2">
        <v>2856798</v>
      </c>
      <c r="D16" s="2">
        <v>81813250</v>
      </c>
      <c r="E16" s="2">
        <v>72300</v>
      </c>
      <c r="F16" s="2">
        <v>12694</v>
      </c>
      <c r="G16" s="2">
        <v>6349068</v>
      </c>
      <c r="H16" s="3">
        <v>6.98</v>
      </c>
      <c r="I16" s="3"/>
      <c r="J16" s="20">
        <v>1007093589</v>
      </c>
      <c r="K16" s="20">
        <v>23574883</v>
      </c>
      <c r="L16" s="20">
        <v>918385248</v>
      </c>
      <c r="M16" s="20">
        <v>636619</v>
      </c>
      <c r="N16" s="20">
        <v>156003</v>
      </c>
      <c r="O16" s="2">
        <v>65133458</v>
      </c>
      <c r="P16" s="3">
        <v>6.47</v>
      </c>
      <c r="Q16" s="3"/>
      <c r="R16" s="2">
        <v>82209552</v>
      </c>
      <c r="S16" s="2">
        <v>1119035</v>
      </c>
      <c r="T16" s="2">
        <v>75171797</v>
      </c>
      <c r="U16" s="2">
        <v>53200</v>
      </c>
      <c r="V16" s="2">
        <v>1020</v>
      </c>
      <c r="W16" s="2">
        <v>5918720</v>
      </c>
      <c r="X16" s="3">
        <v>7.2</v>
      </c>
      <c r="Y16" s="3"/>
      <c r="Z16" s="20">
        <v>926102755</v>
      </c>
      <c r="AA16" s="20">
        <v>24381227</v>
      </c>
      <c r="AB16" s="20">
        <v>836104184</v>
      </c>
      <c r="AC16" s="20">
        <v>571600</v>
      </c>
      <c r="AD16" s="20">
        <v>15091</v>
      </c>
      <c r="AE16" s="2">
        <v>65617344</v>
      </c>
      <c r="AF16" s="3">
        <v>7.0899999999999901</v>
      </c>
      <c r="AG16" s="3"/>
      <c r="AH16" s="23">
        <v>7.1</v>
      </c>
      <c r="AI16" s="3">
        <f t="shared" si="0"/>
        <v>-0.11999999999999922</v>
      </c>
      <c r="AJ16" s="3">
        <f t="shared" si="1"/>
        <v>-0.21999999999999975</v>
      </c>
      <c r="AK16" s="3">
        <f t="shared" si="2"/>
        <v>-0.62999999999999989</v>
      </c>
      <c r="AL16" s="3">
        <f t="shared" si="3"/>
        <v>-0.61999999999999034</v>
      </c>
      <c r="AM16" s="20" t="e">
        <f>#REF!-#REF!</f>
        <v>#REF!</v>
      </c>
      <c r="AN16" s="3" t="e">
        <f>AM16*100/#REF!</f>
        <v>#REF!</v>
      </c>
      <c r="AP16" s="12"/>
    </row>
    <row r="17" spans="1:42" x14ac:dyDescent="0.2">
      <c r="A17" s="19" t="s">
        <v>27</v>
      </c>
      <c r="B17" s="2">
        <v>761857138</v>
      </c>
      <c r="C17" s="2">
        <v>3684310</v>
      </c>
      <c r="D17" s="2">
        <v>721350921</v>
      </c>
      <c r="E17" s="2">
        <v>0</v>
      </c>
      <c r="F17" s="2">
        <v>18859</v>
      </c>
      <c r="G17" s="2">
        <v>36221907</v>
      </c>
      <c r="H17" s="3">
        <v>4.83</v>
      </c>
      <c r="I17" s="3"/>
      <c r="J17" s="20">
        <v>8340664756</v>
      </c>
      <c r="K17" s="20">
        <v>40743479</v>
      </c>
      <c r="L17" s="20">
        <v>8022824062</v>
      </c>
      <c r="M17" s="20">
        <v>0</v>
      </c>
      <c r="N17" s="20">
        <v>383025</v>
      </c>
      <c r="O17" s="2">
        <v>277497215</v>
      </c>
      <c r="P17" s="3">
        <v>3.32</v>
      </c>
      <c r="Q17" s="3"/>
      <c r="R17" s="2">
        <v>675633829</v>
      </c>
      <c r="S17" s="2">
        <v>2892892</v>
      </c>
      <c r="T17" s="2">
        <v>636165499</v>
      </c>
      <c r="U17" s="2">
        <v>0</v>
      </c>
      <c r="V17" s="2">
        <v>44140</v>
      </c>
      <c r="W17" s="2">
        <v>36575438</v>
      </c>
      <c r="X17" s="3">
        <v>5.41</v>
      </c>
      <c r="Y17" s="3"/>
      <c r="Z17" s="20">
        <v>7396097089</v>
      </c>
      <c r="AA17" s="20">
        <v>24664024</v>
      </c>
      <c r="AB17" s="20">
        <v>7121954287</v>
      </c>
      <c r="AC17" s="20">
        <v>0</v>
      </c>
      <c r="AD17" s="20">
        <v>432607</v>
      </c>
      <c r="AE17" s="2">
        <v>249478778</v>
      </c>
      <c r="AF17" s="3">
        <v>3.37</v>
      </c>
      <c r="AG17" s="3"/>
      <c r="AH17" s="23">
        <v>3.71</v>
      </c>
      <c r="AI17" s="3">
        <f t="shared" si="0"/>
        <v>1.1200000000000001</v>
      </c>
      <c r="AJ17" s="3">
        <f t="shared" si="1"/>
        <v>-0.58000000000000007</v>
      </c>
      <c r="AK17" s="3">
        <f t="shared" si="2"/>
        <v>-0.39000000000000012</v>
      </c>
      <c r="AL17" s="3">
        <f t="shared" si="3"/>
        <v>-5.0000000000000266E-2</v>
      </c>
      <c r="AM17" s="20" t="e">
        <f>#REF!-#REF!</f>
        <v>#REF!</v>
      </c>
      <c r="AN17" s="3" t="e">
        <f>AM17*100/#REF!</f>
        <v>#REF!</v>
      </c>
      <c r="AP17" s="12"/>
    </row>
    <row r="18" spans="1:42" x14ac:dyDescent="0.2">
      <c r="A18" s="19" t="s">
        <v>28</v>
      </c>
      <c r="B18" s="2">
        <v>248222700</v>
      </c>
      <c r="C18" s="2">
        <v>15248925</v>
      </c>
      <c r="D18" s="2">
        <v>224573779</v>
      </c>
      <c r="E18" s="2">
        <v>13400</v>
      </c>
      <c r="F18" s="2">
        <v>0</v>
      </c>
      <c r="G18" s="2">
        <v>8399996</v>
      </c>
      <c r="H18" s="3">
        <v>3.38</v>
      </c>
      <c r="I18" s="3"/>
      <c r="J18" s="20">
        <v>2571058900</v>
      </c>
      <c r="K18" s="20">
        <v>183534855</v>
      </c>
      <c r="L18" s="20">
        <v>2258973303</v>
      </c>
      <c r="M18" s="20">
        <v>244900</v>
      </c>
      <c r="N18" s="20">
        <v>0</v>
      </c>
      <c r="O18" s="2">
        <v>128550742</v>
      </c>
      <c r="P18" s="3">
        <v>5</v>
      </c>
      <c r="Q18" s="3"/>
      <c r="R18" s="2">
        <v>203648200</v>
      </c>
      <c r="S18" s="2">
        <v>14900450</v>
      </c>
      <c r="T18" s="2">
        <v>179715341</v>
      </c>
      <c r="U18" s="2">
        <v>700</v>
      </c>
      <c r="V18" s="2">
        <v>0</v>
      </c>
      <c r="W18" s="2">
        <v>9032409</v>
      </c>
      <c r="X18" s="3">
        <v>4.4400000000000004</v>
      </c>
      <c r="Y18" s="3"/>
      <c r="Z18" s="20">
        <v>2059297300</v>
      </c>
      <c r="AA18" s="20">
        <v>169287324</v>
      </c>
      <c r="AB18" s="20">
        <v>1775899781</v>
      </c>
      <c r="AC18" s="20">
        <v>202000</v>
      </c>
      <c r="AD18" s="20">
        <v>0</v>
      </c>
      <c r="AE18" s="2">
        <v>114110195</v>
      </c>
      <c r="AF18" s="3">
        <v>5.54</v>
      </c>
      <c r="AG18" s="3"/>
      <c r="AH18" s="23">
        <v>5.85</v>
      </c>
      <c r="AI18" s="3">
        <f t="shared" si="0"/>
        <v>-2.4699999999999998</v>
      </c>
      <c r="AJ18" s="3">
        <f t="shared" si="1"/>
        <v>-1.0600000000000005</v>
      </c>
      <c r="AK18" s="3">
        <f t="shared" si="2"/>
        <v>-0.84999999999999964</v>
      </c>
      <c r="AL18" s="3">
        <f t="shared" si="3"/>
        <v>-0.54</v>
      </c>
      <c r="AM18" s="20" t="e">
        <f>#REF!-#REF!</f>
        <v>#REF!</v>
      </c>
      <c r="AN18" s="3" t="e">
        <f>AM18*100/#REF!</f>
        <v>#REF!</v>
      </c>
      <c r="AP18" s="12"/>
    </row>
    <row r="19" spans="1:42" x14ac:dyDescent="0.2">
      <c r="A19" s="19" t="s">
        <v>29</v>
      </c>
      <c r="B19" s="2">
        <v>325682409</v>
      </c>
      <c r="C19" s="2">
        <v>3788303</v>
      </c>
      <c r="D19" s="2">
        <v>302265950</v>
      </c>
      <c r="E19" s="2">
        <v>0</v>
      </c>
      <c r="F19" s="2">
        <v>7109</v>
      </c>
      <c r="G19" s="2">
        <v>19628156</v>
      </c>
      <c r="H19" s="3">
        <v>6.03</v>
      </c>
      <c r="I19" s="3"/>
      <c r="J19" s="20">
        <v>3511282729</v>
      </c>
      <c r="K19" s="20">
        <v>50752016</v>
      </c>
      <c r="L19" s="20">
        <v>3307480958</v>
      </c>
      <c r="M19" s="20">
        <v>0</v>
      </c>
      <c r="N19" s="20">
        <v>78929</v>
      </c>
      <c r="O19" s="2">
        <v>153049755</v>
      </c>
      <c r="P19" s="3">
        <v>4.3600000000000003</v>
      </c>
      <c r="Q19" s="3"/>
      <c r="R19" s="2">
        <v>283170530</v>
      </c>
      <c r="S19" s="2">
        <v>4123086</v>
      </c>
      <c r="T19" s="2">
        <v>262979346</v>
      </c>
      <c r="U19" s="2">
        <v>0</v>
      </c>
      <c r="V19" s="2">
        <v>5930</v>
      </c>
      <c r="W19" s="2">
        <v>16068098</v>
      </c>
      <c r="X19" s="3">
        <v>5.6699999999999902</v>
      </c>
      <c r="Y19" s="3"/>
      <c r="Z19" s="20">
        <v>3075682590</v>
      </c>
      <c r="AA19" s="20">
        <v>47968094</v>
      </c>
      <c r="AB19" s="20">
        <v>2888658366</v>
      </c>
      <c r="AC19" s="20">
        <v>0</v>
      </c>
      <c r="AD19" s="20">
        <v>74790</v>
      </c>
      <c r="AE19" s="2">
        <v>139056130</v>
      </c>
      <c r="AF19" s="3">
        <v>4.5199999999999898</v>
      </c>
      <c r="AG19" s="3"/>
      <c r="AH19" s="23">
        <v>4.58</v>
      </c>
      <c r="AI19" s="3">
        <f t="shared" si="0"/>
        <v>1.4500000000000002</v>
      </c>
      <c r="AJ19" s="3">
        <f t="shared" si="1"/>
        <v>0.36000000000001009</v>
      </c>
      <c r="AK19" s="3">
        <f t="shared" si="2"/>
        <v>-0.21999999999999975</v>
      </c>
      <c r="AL19" s="3">
        <f t="shared" si="3"/>
        <v>-0.15999999999998948</v>
      </c>
      <c r="AM19" s="20" t="e">
        <f>#REF!-#REF!</f>
        <v>#REF!</v>
      </c>
      <c r="AN19" s="3" t="e">
        <f>AM19*100/#REF!</f>
        <v>#REF!</v>
      </c>
      <c r="AP19" s="12"/>
    </row>
    <row r="20" spans="1:42" x14ac:dyDescent="0.2">
      <c r="A20" s="19" t="s">
        <v>30</v>
      </c>
      <c r="B20" s="2">
        <v>179149232</v>
      </c>
      <c r="C20" s="2">
        <v>14700537</v>
      </c>
      <c r="D20" s="2">
        <v>134967566</v>
      </c>
      <c r="E20" s="2">
        <v>0</v>
      </c>
      <c r="F20" s="2">
        <v>0</v>
      </c>
      <c r="G20" s="2">
        <v>29481129</v>
      </c>
      <c r="H20" s="3">
        <v>16.46</v>
      </c>
      <c r="I20" s="3"/>
      <c r="J20" s="20">
        <v>2137605592</v>
      </c>
      <c r="K20" s="20">
        <v>183214664</v>
      </c>
      <c r="L20" s="20">
        <v>1837394381</v>
      </c>
      <c r="M20" s="20">
        <v>0</v>
      </c>
      <c r="N20" s="20">
        <v>0</v>
      </c>
      <c r="O20" s="2">
        <v>116996547</v>
      </c>
      <c r="P20" s="3">
        <v>5.47</v>
      </c>
      <c r="Q20" s="3"/>
      <c r="R20" s="2">
        <v>162681329</v>
      </c>
      <c r="S20" s="2">
        <v>14250556</v>
      </c>
      <c r="T20" s="2">
        <v>121326286</v>
      </c>
      <c r="U20" s="2">
        <v>0</v>
      </c>
      <c r="V20" s="2">
        <v>0</v>
      </c>
      <c r="W20" s="2">
        <v>27104487</v>
      </c>
      <c r="X20" s="3">
        <v>16.66</v>
      </c>
      <c r="Y20" s="3"/>
      <c r="Z20" s="20">
        <v>1949212515</v>
      </c>
      <c r="AA20" s="20">
        <v>177514510</v>
      </c>
      <c r="AB20" s="20">
        <v>1659476336</v>
      </c>
      <c r="AC20" s="20">
        <v>0</v>
      </c>
      <c r="AD20" s="20">
        <v>0</v>
      </c>
      <c r="AE20" s="2">
        <v>112221669</v>
      </c>
      <c r="AF20" s="3">
        <v>5.75999999999999</v>
      </c>
      <c r="AG20" s="3"/>
      <c r="AH20" s="23">
        <v>6.05</v>
      </c>
      <c r="AI20" s="3">
        <f t="shared" si="0"/>
        <v>10.41</v>
      </c>
      <c r="AJ20" s="3">
        <f t="shared" si="1"/>
        <v>-0.19999999999999929</v>
      </c>
      <c r="AK20" s="3">
        <f t="shared" si="2"/>
        <v>-0.58000000000000007</v>
      </c>
      <c r="AL20" s="3">
        <f t="shared" si="3"/>
        <v>-0.28999999999999027</v>
      </c>
      <c r="AM20" s="20" t="e">
        <f>#REF!-#REF!</f>
        <v>#REF!</v>
      </c>
      <c r="AN20" s="3" t="e">
        <f>AM20*100/#REF!</f>
        <v>#REF!</v>
      </c>
      <c r="AP20" s="12"/>
    </row>
    <row r="21" spans="1:42" x14ac:dyDescent="0.2">
      <c r="A21" s="19" t="s">
        <v>31</v>
      </c>
      <c r="B21" s="2">
        <v>206054300</v>
      </c>
      <c r="C21" s="2">
        <v>2300815</v>
      </c>
      <c r="D21" s="2">
        <v>188513384</v>
      </c>
      <c r="E21" s="2">
        <v>0</v>
      </c>
      <c r="F21" s="2">
        <v>0</v>
      </c>
      <c r="G21" s="2">
        <v>15240101</v>
      </c>
      <c r="H21" s="3">
        <v>7.4</v>
      </c>
      <c r="I21" s="3"/>
      <c r="J21" s="20">
        <v>2292735761</v>
      </c>
      <c r="K21" s="20">
        <v>39391831</v>
      </c>
      <c r="L21" s="20">
        <v>2089858552</v>
      </c>
      <c r="M21" s="20">
        <v>0</v>
      </c>
      <c r="N21" s="20">
        <v>0</v>
      </c>
      <c r="O21" s="2">
        <v>163485378</v>
      </c>
      <c r="P21" s="3">
        <v>7.13</v>
      </c>
      <c r="Q21" s="3"/>
      <c r="R21" s="2">
        <v>182480500</v>
      </c>
      <c r="S21" s="2">
        <v>3835555</v>
      </c>
      <c r="T21" s="2">
        <v>168213604</v>
      </c>
      <c r="U21" s="2">
        <v>0</v>
      </c>
      <c r="V21" s="2">
        <v>0</v>
      </c>
      <c r="W21" s="2">
        <v>10431341</v>
      </c>
      <c r="X21" s="3">
        <v>5.71999999999999</v>
      </c>
      <c r="Y21" s="3"/>
      <c r="Z21" s="20">
        <v>2034135239</v>
      </c>
      <c r="AA21" s="20">
        <v>18889478</v>
      </c>
      <c r="AB21" s="20">
        <v>1864641614</v>
      </c>
      <c r="AC21" s="20">
        <v>0</v>
      </c>
      <c r="AD21" s="20">
        <v>0</v>
      </c>
      <c r="AE21" s="2">
        <v>150604147</v>
      </c>
      <c r="AF21" s="3">
        <v>7.4</v>
      </c>
      <c r="AG21" s="3"/>
      <c r="AH21" s="23">
        <v>7.5</v>
      </c>
      <c r="AI21" s="3">
        <f t="shared" si="0"/>
        <v>-9.9999999999999645E-2</v>
      </c>
      <c r="AJ21" s="3">
        <f t="shared" si="1"/>
        <v>1.6800000000000104</v>
      </c>
      <c r="AK21" s="3">
        <f t="shared" si="2"/>
        <v>-0.37000000000000011</v>
      </c>
      <c r="AL21" s="3">
        <f t="shared" si="3"/>
        <v>-0.27000000000000046</v>
      </c>
      <c r="AM21" s="20" t="e">
        <f>#REF!-#REF!</f>
        <v>#REF!</v>
      </c>
      <c r="AN21" s="3" t="e">
        <f>AM21*100/#REF!</f>
        <v>#REF!</v>
      </c>
      <c r="AP21" s="12"/>
    </row>
    <row r="22" spans="1:42" x14ac:dyDescent="0.2">
      <c r="A22" s="19" t="s">
        <v>32</v>
      </c>
      <c r="B22" s="2">
        <v>101910400</v>
      </c>
      <c r="C22" s="2">
        <v>1009830</v>
      </c>
      <c r="D22" s="2">
        <v>90044123</v>
      </c>
      <c r="E22" s="2">
        <v>0</v>
      </c>
      <c r="F22" s="2">
        <v>0</v>
      </c>
      <c r="G22" s="2">
        <v>10856447</v>
      </c>
      <c r="H22" s="3">
        <v>10.65</v>
      </c>
      <c r="I22" s="3"/>
      <c r="J22" s="20">
        <v>1173718310</v>
      </c>
      <c r="K22" s="20">
        <v>16266550</v>
      </c>
      <c r="L22" s="20">
        <v>1077483076</v>
      </c>
      <c r="M22" s="20">
        <v>0</v>
      </c>
      <c r="N22" s="20">
        <v>0</v>
      </c>
      <c r="O22" s="2">
        <v>79968684</v>
      </c>
      <c r="P22" s="3">
        <v>6.81</v>
      </c>
      <c r="Q22" s="3"/>
      <c r="R22" s="2">
        <v>89782100</v>
      </c>
      <c r="S22" s="2">
        <v>997410</v>
      </c>
      <c r="T22" s="2">
        <v>81284114</v>
      </c>
      <c r="U22" s="2">
        <v>0</v>
      </c>
      <c r="V22" s="2">
        <v>0</v>
      </c>
      <c r="W22" s="2">
        <v>7500576</v>
      </c>
      <c r="X22" s="3">
        <v>8.3499999999999908</v>
      </c>
      <c r="Y22" s="3"/>
      <c r="Z22" s="20">
        <v>1086229288</v>
      </c>
      <c r="AA22" s="20">
        <v>19532198</v>
      </c>
      <c r="AB22" s="20">
        <v>983328583</v>
      </c>
      <c r="AC22" s="20">
        <v>0</v>
      </c>
      <c r="AD22" s="20">
        <v>0</v>
      </c>
      <c r="AE22" s="2">
        <v>83368507</v>
      </c>
      <c r="AF22" s="3">
        <v>7.6799999999999899</v>
      </c>
      <c r="AG22" s="3"/>
      <c r="AH22" s="23">
        <v>7.8</v>
      </c>
      <c r="AI22" s="3">
        <f t="shared" si="0"/>
        <v>2.8500000000000005</v>
      </c>
      <c r="AJ22" s="3">
        <f t="shared" si="1"/>
        <v>2.3000000000000096</v>
      </c>
      <c r="AK22" s="3">
        <f t="shared" si="2"/>
        <v>-0.99000000000000021</v>
      </c>
      <c r="AL22" s="3">
        <f t="shared" si="3"/>
        <v>-0.86999999999999034</v>
      </c>
      <c r="AM22" s="20" t="e">
        <f>#REF!-#REF!</f>
        <v>#REF!</v>
      </c>
      <c r="AN22" s="3" t="e">
        <f>AM22*100/#REF!</f>
        <v>#REF!</v>
      </c>
      <c r="AP22" s="12"/>
    </row>
    <row r="23" spans="1:42" x14ac:dyDescent="0.2">
      <c r="A23" s="19" t="s">
        <v>33</v>
      </c>
      <c r="B23" s="2">
        <v>69404412</v>
      </c>
      <c r="C23" s="2">
        <v>1479653</v>
      </c>
      <c r="D23" s="2">
        <v>65115418</v>
      </c>
      <c r="E23" s="2">
        <v>0</v>
      </c>
      <c r="F23" s="2">
        <v>0</v>
      </c>
      <c r="G23" s="2">
        <v>2809341</v>
      </c>
      <c r="H23" s="3">
        <v>4.05</v>
      </c>
      <c r="I23" s="3"/>
      <c r="J23" s="20">
        <v>795872928</v>
      </c>
      <c r="K23" s="20">
        <v>19987601</v>
      </c>
      <c r="L23" s="20">
        <v>739037041</v>
      </c>
      <c r="M23" s="20">
        <v>0</v>
      </c>
      <c r="N23" s="20">
        <v>0</v>
      </c>
      <c r="O23" s="2">
        <v>36848286</v>
      </c>
      <c r="P23" s="3">
        <v>4.63</v>
      </c>
      <c r="Q23" s="3"/>
      <c r="R23" s="2">
        <v>60960435</v>
      </c>
      <c r="S23" s="2">
        <v>1369270</v>
      </c>
      <c r="T23" s="2">
        <v>55141224</v>
      </c>
      <c r="U23" s="2">
        <v>0</v>
      </c>
      <c r="V23" s="2">
        <v>0</v>
      </c>
      <c r="W23" s="2">
        <v>4449941</v>
      </c>
      <c r="X23" s="3">
        <v>7.2999999999999901</v>
      </c>
      <c r="Y23" s="3"/>
      <c r="Z23" s="20">
        <v>740791029</v>
      </c>
      <c r="AA23" s="20">
        <v>58477475</v>
      </c>
      <c r="AB23" s="20">
        <v>649111287</v>
      </c>
      <c r="AC23" s="20">
        <v>0</v>
      </c>
      <c r="AD23" s="20">
        <v>0</v>
      </c>
      <c r="AE23" s="2">
        <v>33202267</v>
      </c>
      <c r="AF23" s="3">
        <v>4.4800000000000004</v>
      </c>
      <c r="AG23" s="3"/>
      <c r="AH23" s="23">
        <v>5</v>
      </c>
      <c r="AI23" s="3">
        <f t="shared" si="0"/>
        <v>-0.95000000000000018</v>
      </c>
      <c r="AJ23" s="3">
        <f t="shared" si="1"/>
        <v>-3.2499999999999902</v>
      </c>
      <c r="AK23" s="3">
        <f t="shared" si="2"/>
        <v>-0.37000000000000011</v>
      </c>
      <c r="AL23" s="3">
        <f t="shared" si="3"/>
        <v>0.14999999999999947</v>
      </c>
      <c r="AM23" s="20" t="e">
        <f>#REF!-#REF!</f>
        <v>#REF!</v>
      </c>
      <c r="AN23" s="3" t="e">
        <f>AM23*100/#REF!</f>
        <v>#REF!</v>
      </c>
      <c r="AP23" s="12"/>
    </row>
    <row r="24" spans="1:42" x14ac:dyDescent="0.2">
      <c r="A24" s="19" t="s">
        <v>34</v>
      </c>
      <c r="B24" s="2">
        <v>177083619</v>
      </c>
      <c r="C24" s="2">
        <v>8872315</v>
      </c>
      <c r="D24" s="2">
        <v>165942609</v>
      </c>
      <c r="E24" s="2">
        <v>1893400</v>
      </c>
      <c r="F24" s="2">
        <v>0</v>
      </c>
      <c r="G24" s="2">
        <v>2268695</v>
      </c>
      <c r="H24" s="3">
        <v>1.294989533633724</v>
      </c>
      <c r="I24" s="3"/>
      <c r="J24" s="20">
        <v>2065941179</v>
      </c>
      <c r="K24" s="20">
        <v>101861158</v>
      </c>
      <c r="L24" s="20">
        <v>1873907994</v>
      </c>
      <c r="M24" s="20">
        <v>29239172</v>
      </c>
      <c r="N24" s="20">
        <v>0</v>
      </c>
      <c r="O24" s="2">
        <v>90172027</v>
      </c>
      <c r="P24" s="3">
        <v>4.4273549439282309</v>
      </c>
      <c r="Q24" s="3"/>
      <c r="R24" s="2">
        <v>156190957</v>
      </c>
      <c r="S24" s="2">
        <v>10177430</v>
      </c>
      <c r="T24" s="2">
        <v>147251144</v>
      </c>
      <c r="U24" s="2">
        <v>875310</v>
      </c>
      <c r="V24" s="2">
        <v>0</v>
      </c>
      <c r="W24" s="2">
        <v>-1237617</v>
      </c>
      <c r="X24" s="3">
        <v>-0.8</v>
      </c>
      <c r="Y24" s="3"/>
      <c r="Z24" s="20">
        <v>1849147112</v>
      </c>
      <c r="AA24" s="20">
        <v>104734518</v>
      </c>
      <c r="AB24" s="20">
        <v>1663006262</v>
      </c>
      <c r="AC24" s="20">
        <v>11328010</v>
      </c>
      <c r="AD24" s="20">
        <v>0</v>
      </c>
      <c r="AE24" s="2">
        <v>81406332</v>
      </c>
      <c r="AF24" s="3">
        <v>4.4299999999999899</v>
      </c>
      <c r="AG24" s="3"/>
      <c r="AH24" s="23">
        <v>4.5</v>
      </c>
      <c r="AI24" s="3">
        <f t="shared" si="0"/>
        <v>-3.205010466366276</v>
      </c>
      <c r="AJ24" s="3">
        <f t="shared" si="1"/>
        <v>2.0949895336337239</v>
      </c>
      <c r="AK24" s="3">
        <f t="shared" si="2"/>
        <v>-7.2645056071769076E-2</v>
      </c>
      <c r="AL24" s="3">
        <f t="shared" si="3"/>
        <v>-2.6450560717590221E-3</v>
      </c>
      <c r="AM24" s="20" t="e">
        <f>#REF!-#REF!</f>
        <v>#REF!</v>
      </c>
      <c r="AN24" s="3" t="e">
        <f>AM24*100/#REF!</f>
        <v>#REF!</v>
      </c>
      <c r="AP24" s="12"/>
    </row>
    <row r="25" spans="1:42" x14ac:dyDescent="0.2">
      <c r="A25" s="19" t="s">
        <v>35</v>
      </c>
      <c r="B25" s="2">
        <v>175345630</v>
      </c>
      <c r="C25" s="2">
        <v>8941690</v>
      </c>
      <c r="D25" s="2">
        <v>156260961</v>
      </c>
      <c r="E25" s="2">
        <v>0</v>
      </c>
      <c r="F25" s="2">
        <v>0</v>
      </c>
      <c r="G25" s="2">
        <v>10142979</v>
      </c>
      <c r="H25" s="3">
        <v>5.78</v>
      </c>
      <c r="I25" s="3"/>
      <c r="J25" s="20">
        <v>2060766708</v>
      </c>
      <c r="K25" s="20">
        <v>107019318</v>
      </c>
      <c r="L25" s="20">
        <v>1866320764</v>
      </c>
      <c r="M25" s="20">
        <v>0</v>
      </c>
      <c r="N25" s="20">
        <v>0</v>
      </c>
      <c r="O25" s="2">
        <v>87426626</v>
      </c>
      <c r="P25" s="3">
        <v>4.24</v>
      </c>
      <c r="Q25" s="3"/>
      <c r="R25" s="2">
        <v>161172285</v>
      </c>
      <c r="S25" s="2">
        <v>8923401</v>
      </c>
      <c r="T25" s="2">
        <v>142747554</v>
      </c>
      <c r="U25" s="2">
        <v>0</v>
      </c>
      <c r="V25" s="2">
        <v>0</v>
      </c>
      <c r="W25" s="2">
        <v>9501330</v>
      </c>
      <c r="X25" s="3">
        <v>5.9</v>
      </c>
      <c r="Y25" s="3"/>
      <c r="Z25" s="20">
        <v>1904265813</v>
      </c>
      <c r="AA25" s="20">
        <v>108679016</v>
      </c>
      <c r="AB25" s="20">
        <v>1712444634</v>
      </c>
      <c r="AC25" s="20">
        <v>0</v>
      </c>
      <c r="AD25" s="20">
        <v>0</v>
      </c>
      <c r="AE25" s="2">
        <v>83142163</v>
      </c>
      <c r="AF25" s="3">
        <v>4.37</v>
      </c>
      <c r="AG25" s="3"/>
      <c r="AH25" s="23">
        <v>5.0999999999999996</v>
      </c>
      <c r="AI25" s="3">
        <f t="shared" si="0"/>
        <v>0.6800000000000006</v>
      </c>
      <c r="AJ25" s="3">
        <f t="shared" si="1"/>
        <v>-0.12000000000000011</v>
      </c>
      <c r="AK25" s="3">
        <f t="shared" si="2"/>
        <v>-0.85999999999999943</v>
      </c>
      <c r="AL25" s="3">
        <f t="shared" si="3"/>
        <v>-0.12999999999999989</v>
      </c>
      <c r="AM25" s="20" t="e">
        <f>#REF!-#REF!</f>
        <v>#REF!</v>
      </c>
      <c r="AN25" s="3" t="e">
        <f>AM25*100/#REF!</f>
        <v>#REF!</v>
      </c>
      <c r="AP25" s="12"/>
    </row>
    <row r="26" spans="1:42" x14ac:dyDescent="0.2">
      <c r="A26" s="19" t="s">
        <v>36</v>
      </c>
      <c r="B26" s="2">
        <v>141236372</v>
      </c>
      <c r="C26" s="2">
        <v>7779878</v>
      </c>
      <c r="D26" s="2">
        <v>125825858</v>
      </c>
      <c r="E26" s="2">
        <v>0</v>
      </c>
      <c r="F26" s="2">
        <v>0</v>
      </c>
      <c r="G26" s="2">
        <v>7630636</v>
      </c>
      <c r="H26" s="3">
        <v>5.4</v>
      </c>
      <c r="I26" s="3"/>
      <c r="J26" s="20">
        <v>1603486806</v>
      </c>
      <c r="K26" s="20">
        <v>62348326</v>
      </c>
      <c r="L26" s="20">
        <v>1437859580</v>
      </c>
      <c r="M26" s="20">
        <v>0</v>
      </c>
      <c r="N26" s="20">
        <v>0</v>
      </c>
      <c r="O26" s="2">
        <v>103278900</v>
      </c>
      <c r="P26" s="3">
        <v>6.44</v>
      </c>
      <c r="Q26" s="3"/>
      <c r="R26" s="2">
        <v>122356500</v>
      </c>
      <c r="S26" s="2">
        <v>4459943</v>
      </c>
      <c r="T26" s="2">
        <v>111536582</v>
      </c>
      <c r="U26" s="2">
        <v>0</v>
      </c>
      <c r="V26" s="2">
        <v>0</v>
      </c>
      <c r="W26" s="2">
        <v>6359975</v>
      </c>
      <c r="X26" s="3">
        <v>5.2</v>
      </c>
      <c r="Y26" s="3"/>
      <c r="Z26" s="20">
        <v>1454316486</v>
      </c>
      <c r="AA26" s="20">
        <v>73955511</v>
      </c>
      <c r="AB26" s="20">
        <v>1278131853</v>
      </c>
      <c r="AC26" s="20">
        <v>0</v>
      </c>
      <c r="AD26" s="20">
        <v>0</v>
      </c>
      <c r="AE26" s="2">
        <v>102229122</v>
      </c>
      <c r="AF26" s="3">
        <v>7.03</v>
      </c>
      <c r="AG26" s="3"/>
      <c r="AH26" s="23">
        <v>6.65</v>
      </c>
      <c r="AI26" s="3">
        <f t="shared" si="0"/>
        <v>-1.25</v>
      </c>
      <c r="AJ26" s="3">
        <f t="shared" si="1"/>
        <v>0.20000000000000018</v>
      </c>
      <c r="AK26" s="3">
        <f t="shared" si="2"/>
        <v>-0.20999999999999996</v>
      </c>
      <c r="AL26" s="3">
        <f t="shared" si="3"/>
        <v>-0.58999999999999986</v>
      </c>
      <c r="AM26" s="20" t="e">
        <f>#REF!-#REF!</f>
        <v>#REF!</v>
      </c>
      <c r="AN26" s="3" t="e">
        <f>AM26*100/#REF!</f>
        <v>#REF!</v>
      </c>
      <c r="AP26" s="12"/>
    </row>
    <row r="27" spans="1:42" x14ac:dyDescent="0.2">
      <c r="A27" s="19" t="s">
        <v>37</v>
      </c>
      <c r="B27" s="2">
        <v>96775500</v>
      </c>
      <c r="C27" s="2">
        <v>36121</v>
      </c>
      <c r="D27" s="2">
        <v>90600990</v>
      </c>
      <c r="E27" s="2">
        <v>0</v>
      </c>
      <c r="F27" s="2">
        <v>0</v>
      </c>
      <c r="G27" s="2">
        <v>6138389</v>
      </c>
      <c r="H27" s="3">
        <v>6.34</v>
      </c>
      <c r="I27" s="3"/>
      <c r="J27" s="20">
        <v>1193998834</v>
      </c>
      <c r="K27" s="20">
        <v>1356865</v>
      </c>
      <c r="L27" s="20">
        <v>1100040170</v>
      </c>
      <c r="M27" s="20">
        <v>0</v>
      </c>
      <c r="N27" s="20">
        <v>0</v>
      </c>
      <c r="O27" s="2">
        <v>92601799</v>
      </c>
      <c r="P27" s="3">
        <v>7.76</v>
      </c>
      <c r="Q27" s="3"/>
      <c r="R27" s="2">
        <v>96518564</v>
      </c>
      <c r="S27" s="2">
        <v>35130</v>
      </c>
      <c r="T27" s="2">
        <v>86930603</v>
      </c>
      <c r="U27" s="2">
        <v>0</v>
      </c>
      <c r="V27" s="2">
        <v>0</v>
      </c>
      <c r="W27" s="2">
        <v>9552831</v>
      </c>
      <c r="X27" s="3">
        <v>9.9</v>
      </c>
      <c r="Y27" s="3"/>
      <c r="Z27" s="20">
        <v>1122480277</v>
      </c>
      <c r="AA27" s="20">
        <v>4016139</v>
      </c>
      <c r="AB27" s="20">
        <v>1000670738</v>
      </c>
      <c r="AC27" s="20">
        <v>0</v>
      </c>
      <c r="AD27" s="20">
        <v>0</v>
      </c>
      <c r="AE27" s="2">
        <v>117793400</v>
      </c>
      <c r="AF27" s="3">
        <v>10.49</v>
      </c>
      <c r="AG27" s="3"/>
      <c r="AH27" s="23">
        <v>8</v>
      </c>
      <c r="AI27" s="3">
        <f t="shared" si="0"/>
        <v>-1.6600000000000001</v>
      </c>
      <c r="AJ27" s="3">
        <f t="shared" si="1"/>
        <v>-3.5600000000000005</v>
      </c>
      <c r="AK27" s="24">
        <f t="shared" si="2"/>
        <v>-0.24000000000000021</v>
      </c>
      <c r="AL27" s="3">
        <f t="shared" si="3"/>
        <v>-2.7300000000000004</v>
      </c>
      <c r="AM27" s="20" t="e">
        <f>#REF!-#REF!</f>
        <v>#REF!</v>
      </c>
      <c r="AN27" s="3" t="e">
        <f>AM27*100/#REF!</f>
        <v>#REF!</v>
      </c>
      <c r="AP27" s="12"/>
    </row>
    <row r="28" spans="1:42" x14ac:dyDescent="0.2">
      <c r="A28" s="19" t="s">
        <v>38</v>
      </c>
      <c r="B28" s="2">
        <v>255259395</v>
      </c>
      <c r="C28" s="2">
        <v>52894</v>
      </c>
      <c r="D28" s="2">
        <v>236556316</v>
      </c>
      <c r="E28" s="2">
        <v>0</v>
      </c>
      <c r="F28" s="2">
        <v>0</v>
      </c>
      <c r="G28" s="2">
        <v>18650185</v>
      </c>
      <c r="H28" s="3">
        <v>7.31</v>
      </c>
      <c r="I28" s="3"/>
      <c r="J28" s="20">
        <v>2883367049</v>
      </c>
      <c r="K28" s="20">
        <v>696070</v>
      </c>
      <c r="L28" s="20">
        <v>2762298642</v>
      </c>
      <c r="M28" s="20">
        <v>0</v>
      </c>
      <c r="N28" s="20">
        <v>0</v>
      </c>
      <c r="O28" s="2">
        <v>120372337</v>
      </c>
      <c r="P28" s="3">
        <v>4.17</v>
      </c>
      <c r="Q28" s="3"/>
      <c r="R28" s="2">
        <v>231406779</v>
      </c>
      <c r="S28" s="2">
        <v>57806</v>
      </c>
      <c r="T28" s="2">
        <v>213592882</v>
      </c>
      <c r="U28" s="2">
        <v>0</v>
      </c>
      <c r="V28" s="2">
        <v>0</v>
      </c>
      <c r="W28" s="2">
        <v>17756091</v>
      </c>
      <c r="X28" s="3">
        <v>7.6699999999999902</v>
      </c>
      <c r="Y28" s="3"/>
      <c r="Z28" s="20">
        <v>2639961633</v>
      </c>
      <c r="AA28" s="20">
        <v>703090</v>
      </c>
      <c r="AB28" s="20">
        <v>2523244531</v>
      </c>
      <c r="AC28" s="20">
        <v>0</v>
      </c>
      <c r="AD28" s="20">
        <v>0</v>
      </c>
      <c r="AE28" s="2">
        <v>116014012</v>
      </c>
      <c r="AF28" s="3">
        <v>4.3899999999999899</v>
      </c>
      <c r="AG28" s="3"/>
      <c r="AH28" s="23">
        <v>4.55</v>
      </c>
      <c r="AI28" s="3">
        <f t="shared" si="0"/>
        <v>2.76</v>
      </c>
      <c r="AJ28" s="3">
        <f t="shared" si="1"/>
        <v>-0.35999999999999055</v>
      </c>
      <c r="AK28" s="3">
        <f t="shared" si="2"/>
        <v>-0.37999999999999989</v>
      </c>
      <c r="AL28" s="3">
        <f t="shared" si="3"/>
        <v>-0.21999999999998998</v>
      </c>
      <c r="AM28" s="20" t="e">
        <f>#REF!-#REF!</f>
        <v>#REF!</v>
      </c>
      <c r="AN28" s="3" t="e">
        <f>AM28*100/#REF!</f>
        <v>#REF!</v>
      </c>
      <c r="AP28" s="12"/>
    </row>
    <row r="29" spans="1:42" x14ac:dyDescent="0.2">
      <c r="A29" s="19" t="s">
        <v>39</v>
      </c>
      <c r="B29" s="2">
        <v>60453600</v>
      </c>
      <c r="C29" s="2">
        <v>75082</v>
      </c>
      <c r="D29" s="2">
        <v>57585540</v>
      </c>
      <c r="E29" s="2">
        <v>0</v>
      </c>
      <c r="F29" s="2">
        <v>0</v>
      </c>
      <c r="G29" s="2">
        <v>2792978</v>
      </c>
      <c r="H29" s="3">
        <v>4.62</v>
      </c>
      <c r="I29" s="3"/>
      <c r="J29" s="20">
        <v>737118223</v>
      </c>
      <c r="K29" s="20">
        <v>1286088</v>
      </c>
      <c r="L29" s="20">
        <v>693114518</v>
      </c>
      <c r="M29" s="20">
        <v>0</v>
      </c>
      <c r="N29" s="20">
        <v>0</v>
      </c>
      <c r="O29" s="2">
        <v>42717617</v>
      </c>
      <c r="P29" s="3">
        <v>5.8</v>
      </c>
      <c r="Q29" s="3"/>
      <c r="R29" s="2">
        <v>55847900</v>
      </c>
      <c r="S29" s="2">
        <v>67395</v>
      </c>
      <c r="T29" s="2">
        <v>53387338</v>
      </c>
      <c r="U29" s="2">
        <v>0</v>
      </c>
      <c r="V29" s="2">
        <v>0</v>
      </c>
      <c r="W29" s="2">
        <v>2393167</v>
      </c>
      <c r="X29" s="3">
        <v>4.29</v>
      </c>
      <c r="Y29" s="3"/>
      <c r="Z29" s="20">
        <v>674626722</v>
      </c>
      <c r="AA29" s="20">
        <v>777884</v>
      </c>
      <c r="AB29" s="20">
        <v>627130043</v>
      </c>
      <c r="AC29" s="20">
        <v>0</v>
      </c>
      <c r="AD29" s="20">
        <v>0</v>
      </c>
      <c r="AE29" s="2">
        <v>46718795</v>
      </c>
      <c r="AF29" s="3">
        <v>6.9299999999999899</v>
      </c>
      <c r="AG29" s="3"/>
      <c r="AH29" s="23">
        <v>6</v>
      </c>
      <c r="AI29" s="3">
        <f t="shared" si="0"/>
        <v>-1.38</v>
      </c>
      <c r="AJ29" s="3">
        <f t="shared" si="1"/>
        <v>0.33000000000000007</v>
      </c>
      <c r="AK29" s="3">
        <f t="shared" si="2"/>
        <v>-0.20000000000000018</v>
      </c>
      <c r="AL29" s="3">
        <f t="shared" si="3"/>
        <v>-1.1299999999999901</v>
      </c>
      <c r="AM29" s="20" t="e">
        <f>#REF!-#REF!</f>
        <v>#REF!</v>
      </c>
      <c r="AN29" s="3" t="e">
        <f>AM29*100/#REF!</f>
        <v>#REF!</v>
      </c>
      <c r="AP29" s="12"/>
    </row>
    <row r="30" spans="1:42" x14ac:dyDescent="0.2">
      <c r="A30" s="19" t="s">
        <v>40</v>
      </c>
      <c r="B30" s="2">
        <v>93193952</v>
      </c>
      <c r="C30" s="2">
        <v>2294423</v>
      </c>
      <c r="D30" s="2">
        <v>82869513</v>
      </c>
      <c r="E30" s="2">
        <v>0</v>
      </c>
      <c r="F30" s="2">
        <v>0</v>
      </c>
      <c r="G30" s="2">
        <v>8030016</v>
      </c>
      <c r="H30" s="3">
        <v>8.6199999999999992</v>
      </c>
      <c r="I30" s="3"/>
      <c r="J30" s="20">
        <v>1069589873</v>
      </c>
      <c r="K30" s="20">
        <v>22774758</v>
      </c>
      <c r="L30" s="20">
        <v>975384370</v>
      </c>
      <c r="M30" s="20">
        <v>0</v>
      </c>
      <c r="N30" s="20">
        <v>0</v>
      </c>
      <c r="O30" s="2">
        <v>71430745</v>
      </c>
      <c r="P30" s="3">
        <v>6.68</v>
      </c>
      <c r="Q30" s="3"/>
      <c r="R30" s="2">
        <v>86850731</v>
      </c>
      <c r="S30" s="2">
        <v>706149</v>
      </c>
      <c r="T30" s="2">
        <v>79029048</v>
      </c>
      <c r="U30" s="2">
        <v>0</v>
      </c>
      <c r="V30" s="2">
        <v>0</v>
      </c>
      <c r="W30" s="2">
        <v>7115534</v>
      </c>
      <c r="X30" s="3">
        <v>8.1899999999999906</v>
      </c>
      <c r="Y30" s="3"/>
      <c r="Z30" s="20">
        <v>1014032639</v>
      </c>
      <c r="AA30" s="20">
        <v>7852039</v>
      </c>
      <c r="AB30" s="20">
        <v>913146505</v>
      </c>
      <c r="AC30" s="20">
        <v>0</v>
      </c>
      <c r="AD30" s="20">
        <v>0</v>
      </c>
      <c r="AE30" s="2">
        <v>93034095</v>
      </c>
      <c r="AF30" s="3">
        <v>9.1699999999999893</v>
      </c>
      <c r="AG30" s="3"/>
      <c r="AH30" s="23">
        <v>7.8</v>
      </c>
      <c r="AI30" s="3">
        <f t="shared" si="0"/>
        <v>0.8199999999999994</v>
      </c>
      <c r="AJ30" s="3">
        <f t="shared" si="1"/>
        <v>0.4300000000000086</v>
      </c>
      <c r="AK30" s="3">
        <f t="shared" si="2"/>
        <v>-1.1200000000000001</v>
      </c>
      <c r="AL30" s="3">
        <f t="shared" si="3"/>
        <v>-2.4899999999999896</v>
      </c>
      <c r="AM30" s="20" t="e">
        <f>#REF!-#REF!</f>
        <v>#REF!</v>
      </c>
      <c r="AN30" s="3" t="e">
        <f>AM30*100/#REF!</f>
        <v>#REF!</v>
      </c>
      <c r="AP30" s="12"/>
    </row>
    <row r="31" spans="1:42" x14ac:dyDescent="0.2">
      <c r="A31" s="19" t="s">
        <v>41</v>
      </c>
      <c r="B31" s="2">
        <v>44938600</v>
      </c>
      <c r="C31" s="2">
        <v>1749910</v>
      </c>
      <c r="D31" s="2">
        <v>40786777</v>
      </c>
      <c r="E31" s="2">
        <v>300</v>
      </c>
      <c r="F31" s="2">
        <v>11900</v>
      </c>
      <c r="G31" s="2">
        <v>2401913</v>
      </c>
      <c r="H31" s="3">
        <v>5.35</v>
      </c>
      <c r="I31" s="3"/>
      <c r="J31" s="20">
        <v>565473190</v>
      </c>
      <c r="K31" s="20">
        <v>16123557</v>
      </c>
      <c r="L31" s="20">
        <v>514307337</v>
      </c>
      <c r="M31" s="20">
        <v>3100</v>
      </c>
      <c r="N31" s="20">
        <v>174311</v>
      </c>
      <c r="O31" s="2">
        <v>35042296</v>
      </c>
      <c r="P31" s="3">
        <v>6.2</v>
      </c>
      <c r="Q31" s="3"/>
      <c r="R31" s="2">
        <v>42603545</v>
      </c>
      <c r="S31" s="2">
        <v>1201720</v>
      </c>
      <c r="T31" s="2">
        <v>38952895</v>
      </c>
      <c r="U31" s="2">
        <v>600</v>
      </c>
      <c r="V31" s="2">
        <v>12700</v>
      </c>
      <c r="W31" s="2">
        <v>2448930</v>
      </c>
      <c r="X31" s="3">
        <v>5.75</v>
      </c>
      <c r="Y31" s="3"/>
      <c r="Z31" s="20">
        <v>537442045</v>
      </c>
      <c r="AA31" s="20">
        <v>17520520</v>
      </c>
      <c r="AB31" s="20">
        <v>485620893</v>
      </c>
      <c r="AC31" s="20">
        <v>8100</v>
      </c>
      <c r="AD31" s="20">
        <v>181900</v>
      </c>
      <c r="AE31" s="2">
        <v>34300632</v>
      </c>
      <c r="AF31" s="3">
        <v>6.3799999999999901</v>
      </c>
      <c r="AG31" s="3"/>
      <c r="AH31" s="23">
        <v>6.55</v>
      </c>
      <c r="AI31" s="3">
        <f t="shared" si="0"/>
        <v>-1.2000000000000002</v>
      </c>
      <c r="AJ31" s="3">
        <f t="shared" si="1"/>
        <v>-0.40000000000000036</v>
      </c>
      <c r="AK31" s="3">
        <f t="shared" si="2"/>
        <v>-0.34999999999999964</v>
      </c>
      <c r="AL31" s="3">
        <f t="shared" si="3"/>
        <v>-0.17999999999998995</v>
      </c>
      <c r="AM31" s="20" t="e">
        <f>#REF!-#REF!</f>
        <v>#REF!</v>
      </c>
      <c r="AN31" s="3" t="e">
        <f>AM31*100/#REF!</f>
        <v>#REF!</v>
      </c>
      <c r="AP31" s="12"/>
    </row>
    <row r="32" spans="1:42" x14ac:dyDescent="0.2">
      <c r="A32" s="19" t="s">
        <v>42</v>
      </c>
      <c r="B32" s="2">
        <v>70273530</v>
      </c>
      <c r="C32" s="2">
        <v>1032823</v>
      </c>
      <c r="D32" s="2">
        <v>65139594</v>
      </c>
      <c r="E32" s="2">
        <v>2700</v>
      </c>
      <c r="F32" s="2">
        <v>0</v>
      </c>
      <c r="G32" s="2">
        <v>4101113</v>
      </c>
      <c r="H32" s="3">
        <v>5.84</v>
      </c>
      <c r="I32" s="3"/>
      <c r="J32" s="20">
        <v>828405240</v>
      </c>
      <c r="K32" s="20">
        <v>17040308</v>
      </c>
      <c r="L32" s="20">
        <v>754364235</v>
      </c>
      <c r="M32" s="20">
        <v>134000</v>
      </c>
      <c r="N32" s="20">
        <v>0</v>
      </c>
      <c r="O32" s="2">
        <v>57000697</v>
      </c>
      <c r="P32" s="3">
        <v>6.88</v>
      </c>
      <c r="Q32" s="3"/>
      <c r="R32" s="2">
        <v>67318320</v>
      </c>
      <c r="S32" s="2">
        <v>4706635</v>
      </c>
      <c r="T32" s="2">
        <v>57753096</v>
      </c>
      <c r="U32" s="2">
        <v>5700</v>
      </c>
      <c r="V32" s="2">
        <v>0</v>
      </c>
      <c r="W32" s="2">
        <v>4858589</v>
      </c>
      <c r="X32" s="3">
        <v>7.21999999999999</v>
      </c>
      <c r="Y32" s="3"/>
      <c r="Z32" s="20">
        <v>818244510</v>
      </c>
      <c r="AA32" s="20">
        <v>51523763</v>
      </c>
      <c r="AB32" s="20">
        <v>706270384</v>
      </c>
      <c r="AC32" s="20">
        <v>121200</v>
      </c>
      <c r="AD32" s="20">
        <v>0</v>
      </c>
      <c r="AE32" s="2">
        <v>60450363</v>
      </c>
      <c r="AF32" s="3">
        <v>7.3899999999999899</v>
      </c>
      <c r="AG32" s="3"/>
      <c r="AH32" s="23">
        <v>7.4</v>
      </c>
      <c r="AI32" s="3">
        <f t="shared" si="0"/>
        <v>-1.5600000000000005</v>
      </c>
      <c r="AJ32" s="3">
        <f t="shared" si="1"/>
        <v>-1.3799999999999901</v>
      </c>
      <c r="AK32" s="3">
        <f t="shared" si="2"/>
        <v>-0.52000000000000046</v>
      </c>
      <c r="AL32" s="3">
        <f t="shared" si="3"/>
        <v>-0.50999999999999002</v>
      </c>
      <c r="AM32" s="20" t="e">
        <f>#REF!-#REF!</f>
        <v>#REF!</v>
      </c>
      <c r="AN32" s="3" t="e">
        <f>AM32*100/#REF!</f>
        <v>#REF!</v>
      </c>
      <c r="AP32" s="12"/>
    </row>
    <row r="33" spans="1:42" x14ac:dyDescent="0.2">
      <c r="A33" s="19" t="s">
        <v>43</v>
      </c>
      <c r="B33" s="2">
        <v>54580530</v>
      </c>
      <c r="C33" s="2">
        <v>7891293</v>
      </c>
      <c r="D33" s="2">
        <v>43666901</v>
      </c>
      <c r="E33" s="2">
        <v>0</v>
      </c>
      <c r="F33" s="2">
        <v>0</v>
      </c>
      <c r="G33" s="2">
        <v>3022336</v>
      </c>
      <c r="H33" s="3">
        <v>5.54</v>
      </c>
      <c r="I33" s="3"/>
      <c r="J33" s="20">
        <v>616962935</v>
      </c>
      <c r="K33" s="20">
        <v>87566123</v>
      </c>
      <c r="L33" s="20">
        <v>489688388</v>
      </c>
      <c r="M33" s="20">
        <v>0</v>
      </c>
      <c r="N33" s="20">
        <v>0</v>
      </c>
      <c r="O33" s="2">
        <v>39708424</v>
      </c>
      <c r="P33" s="3">
        <v>6.44</v>
      </c>
      <c r="Q33" s="43"/>
      <c r="R33" s="2">
        <v>50973555</v>
      </c>
      <c r="S33" s="2">
        <v>7729821</v>
      </c>
      <c r="T33" s="2">
        <v>38062947</v>
      </c>
      <c r="U33" s="2">
        <v>0</v>
      </c>
      <c r="V33" s="2">
        <v>0</v>
      </c>
      <c r="W33" s="2">
        <v>5180787</v>
      </c>
      <c r="X33" s="3">
        <v>10.16</v>
      </c>
      <c r="Y33" s="3"/>
      <c r="Z33" s="20">
        <v>578045744</v>
      </c>
      <c r="AA33" s="20">
        <v>98762964</v>
      </c>
      <c r="AB33" s="20">
        <v>439656406</v>
      </c>
      <c r="AC33" s="20">
        <v>0</v>
      </c>
      <c r="AD33" s="20">
        <v>0</v>
      </c>
      <c r="AE33" s="2">
        <v>39626374</v>
      </c>
      <c r="AF33" s="3">
        <v>6.86</v>
      </c>
      <c r="AG33" s="3"/>
      <c r="AH33" s="23">
        <v>7</v>
      </c>
      <c r="AI33" s="3">
        <f t="shared" si="0"/>
        <v>-1.46</v>
      </c>
      <c r="AJ33" s="3">
        <f t="shared" si="1"/>
        <v>-4.62</v>
      </c>
      <c r="AK33" s="3">
        <f t="shared" si="2"/>
        <v>-0.55999999999999961</v>
      </c>
      <c r="AL33" s="3">
        <f t="shared" si="3"/>
        <v>-0.41999999999999993</v>
      </c>
      <c r="AM33" s="20" t="e">
        <f>#REF!-#REF!</f>
        <v>#REF!</v>
      </c>
      <c r="AN33" s="3" t="e">
        <f>AM33*100/#REF!</f>
        <v>#REF!</v>
      </c>
      <c r="AP33" s="12"/>
    </row>
    <row r="34" spans="1:42" s="47" customFormat="1" x14ac:dyDescent="0.2">
      <c r="A34" s="41" t="s">
        <v>44</v>
      </c>
      <c r="B34" s="42">
        <v>658089946</v>
      </c>
      <c r="C34" s="42">
        <v>3520567</v>
      </c>
      <c r="D34" s="42">
        <v>621010064</v>
      </c>
      <c r="E34" s="42"/>
      <c r="F34" s="42"/>
      <c r="G34" s="42">
        <f>(B34-C34-D34)</f>
        <v>33559315</v>
      </c>
      <c r="H34" s="43">
        <f>(B34-C34-D34)*100/(B34-E34-F34)</f>
        <v>5.0995027661461947</v>
      </c>
      <c r="I34" s="43"/>
      <c r="J34" s="42">
        <v>7381090703</v>
      </c>
      <c r="K34" s="42">
        <v>41603100</v>
      </c>
      <c r="L34" s="42">
        <v>7044394148</v>
      </c>
      <c r="M34" s="42"/>
      <c r="N34" s="42"/>
      <c r="O34" s="42">
        <f>(J34-K34-L34)</f>
        <v>295093455</v>
      </c>
      <c r="P34" s="43">
        <f>(J34-K34-L34)*100/(J34-M34-N34)</f>
        <v>3.997965434567293</v>
      </c>
      <c r="Q34" s="43"/>
      <c r="R34" s="42">
        <v>594402197</v>
      </c>
      <c r="S34" s="42">
        <v>4155638</v>
      </c>
      <c r="T34" s="42">
        <v>560041623</v>
      </c>
      <c r="U34" s="42">
        <v>0</v>
      </c>
      <c r="V34" s="42"/>
      <c r="W34" s="42">
        <v>30204936</v>
      </c>
      <c r="X34" s="43">
        <v>5.0815653361388904</v>
      </c>
      <c r="Y34" s="43"/>
      <c r="Z34" s="42">
        <v>6636088228</v>
      </c>
      <c r="AA34" s="42">
        <v>30309253</v>
      </c>
      <c r="AB34" s="42">
        <v>6336885879</v>
      </c>
      <c r="AC34" s="42"/>
      <c r="AD34" s="42"/>
      <c r="AE34" s="42">
        <v>268893096</v>
      </c>
      <c r="AF34" s="43">
        <v>4.051981932148597</v>
      </c>
      <c r="AG34" s="43"/>
      <c r="AH34" s="43">
        <v>2.87</v>
      </c>
      <c r="AI34" s="24">
        <v>-7.8</v>
      </c>
      <c r="AJ34" s="24">
        <v>-1.75</v>
      </c>
      <c r="AK34" s="24">
        <f t="shared" si="2"/>
        <v>1.1279654345672929</v>
      </c>
      <c r="AL34" s="24">
        <v>-8.73</v>
      </c>
      <c r="AM34" s="45"/>
      <c r="AN34" s="24"/>
      <c r="AO34" s="48"/>
      <c r="AP34" s="48"/>
    </row>
    <row r="35" spans="1:42" s="39" customFormat="1" x14ac:dyDescent="0.2">
      <c r="A35" s="25" t="s">
        <v>70</v>
      </c>
      <c r="B35" s="8">
        <f t="shared" ref="B35:G35" si="4">SUM(B14:B34)</f>
        <v>4130799900</v>
      </c>
      <c r="C35" s="8">
        <f t="shared" si="4"/>
        <v>96110874</v>
      </c>
      <c r="D35" s="8">
        <f t="shared" si="4"/>
        <v>3778088584</v>
      </c>
      <c r="E35" s="8">
        <f t="shared" si="4"/>
        <v>2243300</v>
      </c>
      <c r="F35" s="8">
        <f t="shared" si="4"/>
        <v>50562</v>
      </c>
      <c r="G35" s="8">
        <f t="shared" si="4"/>
        <v>256000442</v>
      </c>
      <c r="H35" s="5">
        <f>(B35-C35-D35)*100/(B35-E35-F35)</f>
        <v>6.2153340612360273</v>
      </c>
      <c r="I35" s="5">
        <f>ROUND(G35*100/(B$41),2)</f>
        <v>5.19</v>
      </c>
      <c r="J35" s="37">
        <f t="shared" ref="J35:O35" si="5">SUM(J14:J34)</f>
        <v>46036486799</v>
      </c>
      <c r="K35" s="8">
        <f t="shared" si="5"/>
        <v>1092029676</v>
      </c>
      <c r="L35" s="8">
        <f t="shared" si="5"/>
        <v>42678651537</v>
      </c>
      <c r="M35" s="8">
        <f t="shared" si="5"/>
        <v>32158691</v>
      </c>
      <c r="N35" s="8">
        <f t="shared" si="5"/>
        <v>792268</v>
      </c>
      <c r="O35" s="8">
        <f t="shared" si="5"/>
        <v>2266205586</v>
      </c>
      <c r="P35" s="5">
        <f>(J35-K35-L35)*100/(J35-M35-N35)</f>
        <v>4.9252857299501001</v>
      </c>
      <c r="Q35" s="5">
        <f>O35*100/(J$41)</f>
        <v>4.1406366075432786</v>
      </c>
      <c r="R35" s="8">
        <f t="shared" ref="R35:W35" si="6">SUM(R14:R34)</f>
        <v>3683347608</v>
      </c>
      <c r="S35" s="8">
        <f t="shared" si="6"/>
        <v>89967287</v>
      </c>
      <c r="T35" s="8">
        <f t="shared" si="6"/>
        <v>3363737455</v>
      </c>
      <c r="U35" s="8">
        <f t="shared" si="6"/>
        <v>1073810</v>
      </c>
      <c r="V35" s="8">
        <f t="shared" si="6"/>
        <v>63790</v>
      </c>
      <c r="W35" s="8">
        <f t="shared" si="6"/>
        <v>229642866</v>
      </c>
      <c r="X35" s="5">
        <f>(R35-S35-T35)*100/(R35-U35-V35)</f>
        <v>6.2365499387888255</v>
      </c>
      <c r="Y35" s="5">
        <f>W35*100/(R$41)</f>
        <v>5.2742674243645995</v>
      </c>
      <c r="Z35" s="37">
        <f>SUM(Z14:Z34)</f>
        <v>41316223138</v>
      </c>
      <c r="AA35" s="8">
        <f>SUM(AA14:AA34)</f>
        <v>1091091178</v>
      </c>
      <c r="AB35" s="8">
        <f>SUM(AB14:AB34)</f>
        <v>38045442615</v>
      </c>
      <c r="AC35" s="8">
        <f>SUM(AC14:AC34)</f>
        <v>13134310</v>
      </c>
      <c r="AD35" s="8">
        <f>SUM(AD14:AD34)</f>
        <v>704388</v>
      </c>
      <c r="AE35" s="8">
        <f>Z35-AA35-AB35</f>
        <v>2179689345</v>
      </c>
      <c r="AF35" s="5">
        <f>(Z35-AA35-AB35)*100/(Z35-AC35-AD35)</f>
        <v>5.2773934835806786</v>
      </c>
      <c r="AG35" s="5">
        <f>AE35*100/(Z$41)</f>
        <v>4.4213699639792372</v>
      </c>
      <c r="AH35" s="38"/>
      <c r="AI35" s="5">
        <f>H35-AH35</f>
        <v>6.2153340612360273</v>
      </c>
      <c r="AJ35" s="5">
        <f>H35-X35</f>
        <v>-2.121587755279819E-2</v>
      </c>
      <c r="AK35" s="5">
        <f t="shared" si="2"/>
        <v>4.9252857299501001</v>
      </c>
      <c r="AL35" s="5">
        <f>P35-AF35</f>
        <v>-0.35210775363057856</v>
      </c>
      <c r="AM35" s="37" t="e">
        <f>#REF!-#REF!</f>
        <v>#REF!</v>
      </c>
      <c r="AN35" s="5" t="e">
        <f>AM35*100/#REF!</f>
        <v>#REF!</v>
      </c>
      <c r="AP35" s="40"/>
    </row>
    <row r="36" spans="1:42" x14ac:dyDescent="0.2">
      <c r="A36" s="6"/>
      <c r="B36" s="4"/>
      <c r="C36" s="4"/>
      <c r="D36" s="4"/>
      <c r="E36" s="4"/>
      <c r="F36" s="4"/>
      <c r="G36" s="4"/>
      <c r="H36" s="4"/>
      <c r="I36" s="36"/>
      <c r="J36" s="36"/>
      <c r="K36" s="36"/>
      <c r="L36" s="36"/>
      <c r="M36" s="36"/>
      <c r="N36" s="36"/>
      <c r="O36" s="4"/>
      <c r="P36" s="16"/>
      <c r="Q36" s="36"/>
      <c r="R36" s="4"/>
      <c r="S36" s="4"/>
      <c r="T36" s="4"/>
      <c r="U36" s="4"/>
      <c r="V36" s="4"/>
      <c r="W36" s="4"/>
      <c r="X36" s="4"/>
      <c r="Y36" s="36"/>
      <c r="Z36" s="36"/>
      <c r="AA36" s="36"/>
      <c r="AB36" s="36"/>
      <c r="AC36" s="36"/>
      <c r="AD36" s="36"/>
      <c r="AE36" s="4"/>
      <c r="AF36" s="16"/>
      <c r="AG36" s="36"/>
      <c r="AH36" s="4"/>
      <c r="AI36" s="4"/>
      <c r="AJ36" s="4"/>
      <c r="AK36" s="4"/>
      <c r="AL36" s="4"/>
      <c r="AM36" s="17"/>
      <c r="AN36" s="18"/>
    </row>
    <row r="37" spans="1:42" s="39" customFormat="1" x14ac:dyDescent="0.2">
      <c r="A37" s="25" t="s">
        <v>52</v>
      </c>
      <c r="B37" s="8"/>
      <c r="C37" s="8"/>
      <c r="D37" s="8"/>
      <c r="E37" s="8"/>
      <c r="F37" s="8"/>
      <c r="G37" s="8"/>
      <c r="H37" s="5"/>
      <c r="I37" s="5"/>
      <c r="J37" s="37"/>
      <c r="K37" s="8"/>
      <c r="L37" s="8"/>
      <c r="M37" s="8"/>
      <c r="N37" s="8"/>
      <c r="O37" s="8"/>
      <c r="P37" s="5"/>
      <c r="Q37" s="5"/>
      <c r="R37" s="8"/>
      <c r="S37" s="8"/>
      <c r="T37" s="8"/>
      <c r="U37" s="8"/>
      <c r="V37" s="8"/>
      <c r="W37" s="8"/>
      <c r="X37" s="5"/>
      <c r="Y37" s="5"/>
      <c r="Z37" s="37"/>
      <c r="AA37" s="8"/>
      <c r="AB37" s="8"/>
      <c r="AC37" s="8"/>
      <c r="AD37" s="8"/>
      <c r="AE37" s="8"/>
      <c r="AF37" s="5"/>
      <c r="AG37" s="5"/>
      <c r="AH37" s="38"/>
      <c r="AI37" s="5"/>
      <c r="AJ37" s="5"/>
      <c r="AK37" s="5"/>
      <c r="AL37" s="5"/>
      <c r="AM37" s="37"/>
      <c r="AN37" s="5"/>
      <c r="AP37" s="40"/>
    </row>
    <row r="38" spans="1:42" x14ac:dyDescent="0.2">
      <c r="A38" s="19" t="s">
        <v>54</v>
      </c>
      <c r="B38" s="2">
        <f>B10</f>
        <v>4996205916</v>
      </c>
      <c r="C38" s="2">
        <f t="shared" ref="C38:AG38" si="7">C10</f>
        <v>4385746141</v>
      </c>
      <c r="D38" s="2">
        <f t="shared" si="7"/>
        <v>563923799.99999988</v>
      </c>
      <c r="E38" s="2">
        <f t="shared" si="7"/>
        <v>82505100</v>
      </c>
      <c r="F38" s="2">
        <f t="shared" si="7"/>
        <v>0</v>
      </c>
      <c r="G38" s="2">
        <f t="shared" si="7"/>
        <v>46535975.000000119</v>
      </c>
      <c r="H38" s="3">
        <f t="shared" si="7"/>
        <v>0.94706569941070895</v>
      </c>
      <c r="I38" s="3">
        <f t="shared" si="7"/>
        <v>0.94000000000000006</v>
      </c>
      <c r="J38" s="2">
        <f t="shared" si="7"/>
        <v>55461947562</v>
      </c>
      <c r="K38" s="2">
        <f t="shared" si="7"/>
        <v>48531641426</v>
      </c>
      <c r="L38" s="2">
        <f t="shared" si="7"/>
        <v>6355041134</v>
      </c>
      <c r="M38" s="2">
        <f t="shared" si="7"/>
        <v>1006540127.6</v>
      </c>
      <c r="N38" s="2">
        <f t="shared" si="7"/>
        <v>2333900</v>
      </c>
      <c r="O38" s="2">
        <f t="shared" si="7"/>
        <v>575265002</v>
      </c>
      <c r="P38" s="3">
        <f t="shared" si="7"/>
        <v>1.0564417482083615</v>
      </c>
      <c r="Q38" s="3">
        <f t="shared" si="7"/>
        <v>1.05</v>
      </c>
      <c r="R38" s="2">
        <f t="shared" si="7"/>
        <v>4408977509</v>
      </c>
      <c r="S38" s="2">
        <f t="shared" si="7"/>
        <v>4109442561</v>
      </c>
      <c r="T38" s="2">
        <f t="shared" si="7"/>
        <v>256529524</v>
      </c>
      <c r="U38" s="2">
        <f t="shared" si="7"/>
        <v>76299700</v>
      </c>
      <c r="V38" s="2">
        <f t="shared" si="7"/>
        <v>17300</v>
      </c>
      <c r="W38" s="2">
        <f t="shared" si="7"/>
        <v>43005424</v>
      </c>
      <c r="X38" s="3">
        <f t="shared" si="7"/>
        <v>0.99258697769343274</v>
      </c>
      <c r="Y38" s="3">
        <f t="shared" si="7"/>
        <v>0.98771675700209871</v>
      </c>
      <c r="Z38" s="2">
        <f t="shared" si="7"/>
        <v>50041723235</v>
      </c>
      <c r="AA38" s="2">
        <f t="shared" si="7"/>
        <v>43301070795</v>
      </c>
      <c r="AB38" s="2">
        <f t="shared" si="7"/>
        <v>6203311463</v>
      </c>
      <c r="AC38" s="2">
        <f t="shared" si="7"/>
        <v>997030391</v>
      </c>
      <c r="AD38" s="2">
        <f t="shared" si="7"/>
        <v>16730161</v>
      </c>
      <c r="AE38" s="2">
        <f t="shared" si="7"/>
        <v>537340977</v>
      </c>
      <c r="AF38" s="3">
        <f t="shared" si="7"/>
        <v>1.0959887941383257</v>
      </c>
      <c r="AG38" s="3">
        <f t="shared" si="7"/>
        <v>1.0899641554760446</v>
      </c>
      <c r="AH38" s="21"/>
      <c r="AI38" s="3"/>
      <c r="AJ38" s="3"/>
      <c r="AK38" s="3"/>
      <c r="AL38" s="3"/>
      <c r="AM38" s="20"/>
      <c r="AN38" s="3"/>
      <c r="AP38" s="12"/>
    </row>
    <row r="39" spans="1:42" x14ac:dyDescent="0.2">
      <c r="A39" s="19" t="s">
        <v>55</v>
      </c>
      <c r="B39" s="2">
        <f>B35</f>
        <v>4130799900</v>
      </c>
      <c r="C39" s="2">
        <f t="shared" ref="C39:AG39" si="8">C35</f>
        <v>96110874</v>
      </c>
      <c r="D39" s="2">
        <f t="shared" si="8"/>
        <v>3778088584</v>
      </c>
      <c r="E39" s="2">
        <f t="shared" si="8"/>
        <v>2243300</v>
      </c>
      <c r="F39" s="2">
        <f t="shared" si="8"/>
        <v>50562</v>
      </c>
      <c r="G39" s="2">
        <f t="shared" si="8"/>
        <v>256000442</v>
      </c>
      <c r="H39" s="3">
        <f t="shared" si="8"/>
        <v>6.2153340612360273</v>
      </c>
      <c r="I39" s="3">
        <f t="shared" si="8"/>
        <v>5.19</v>
      </c>
      <c r="J39" s="2">
        <f t="shared" si="8"/>
        <v>46036486799</v>
      </c>
      <c r="K39" s="2">
        <f t="shared" si="8"/>
        <v>1092029676</v>
      </c>
      <c r="L39" s="2">
        <f t="shared" si="8"/>
        <v>42678651537</v>
      </c>
      <c r="M39" s="2">
        <f t="shared" si="8"/>
        <v>32158691</v>
      </c>
      <c r="N39" s="2">
        <f t="shared" si="8"/>
        <v>792268</v>
      </c>
      <c r="O39" s="2">
        <f t="shared" si="8"/>
        <v>2266205586</v>
      </c>
      <c r="P39" s="3">
        <f t="shared" si="8"/>
        <v>4.9252857299501001</v>
      </c>
      <c r="Q39" s="3">
        <f t="shared" si="8"/>
        <v>4.1406366075432786</v>
      </c>
      <c r="R39" s="2">
        <f t="shared" si="8"/>
        <v>3683347608</v>
      </c>
      <c r="S39" s="2">
        <f t="shared" si="8"/>
        <v>89967287</v>
      </c>
      <c r="T39" s="2">
        <f t="shared" si="8"/>
        <v>3363737455</v>
      </c>
      <c r="U39" s="2">
        <f t="shared" si="8"/>
        <v>1073810</v>
      </c>
      <c r="V39" s="2">
        <f t="shared" si="8"/>
        <v>63790</v>
      </c>
      <c r="W39" s="2">
        <f t="shared" si="8"/>
        <v>229642866</v>
      </c>
      <c r="X39" s="3">
        <f t="shared" si="8"/>
        <v>6.2365499387888255</v>
      </c>
      <c r="Y39" s="3">
        <f t="shared" si="8"/>
        <v>5.2742674243645995</v>
      </c>
      <c r="Z39" s="2">
        <f t="shared" si="8"/>
        <v>41316223138</v>
      </c>
      <c r="AA39" s="2">
        <f t="shared" si="8"/>
        <v>1091091178</v>
      </c>
      <c r="AB39" s="2">
        <f t="shared" si="8"/>
        <v>38045442615</v>
      </c>
      <c r="AC39" s="2">
        <f t="shared" si="8"/>
        <v>13134310</v>
      </c>
      <c r="AD39" s="2">
        <f t="shared" si="8"/>
        <v>704388</v>
      </c>
      <c r="AE39" s="2">
        <f t="shared" si="8"/>
        <v>2179689345</v>
      </c>
      <c r="AF39" s="3">
        <f t="shared" si="8"/>
        <v>5.2773934835806786</v>
      </c>
      <c r="AG39" s="3">
        <f t="shared" si="8"/>
        <v>4.4213699639792372</v>
      </c>
      <c r="AH39" s="21"/>
      <c r="AI39" s="3"/>
      <c r="AJ39" s="3"/>
      <c r="AK39" s="3"/>
      <c r="AL39" s="3"/>
      <c r="AM39" s="20"/>
      <c r="AN39" s="3"/>
      <c r="AP39" s="12"/>
    </row>
    <row r="40" spans="1:42" s="54" customFormat="1" x14ac:dyDescent="0.2">
      <c r="A40" s="49" t="s">
        <v>56</v>
      </c>
      <c r="B40" s="50">
        <v>347413500</v>
      </c>
      <c r="C40" s="50">
        <v>0</v>
      </c>
      <c r="D40" s="50">
        <v>347413500</v>
      </c>
      <c r="E40" s="50"/>
      <c r="F40" s="50"/>
      <c r="G40" s="50"/>
      <c r="H40" s="51">
        <v>0</v>
      </c>
      <c r="I40" s="52"/>
      <c r="J40" s="53">
        <v>3862961994</v>
      </c>
      <c r="K40" s="53">
        <v>0</v>
      </c>
      <c r="L40" s="53">
        <v>3862961994</v>
      </c>
      <c r="M40" s="53"/>
      <c r="N40" s="53"/>
      <c r="O40" s="50"/>
      <c r="P40" s="51">
        <v>0</v>
      </c>
      <c r="Q40" s="52"/>
      <c r="R40" s="50">
        <v>317798800</v>
      </c>
      <c r="S40" s="50">
        <v>0</v>
      </c>
      <c r="T40" s="50">
        <v>317798800</v>
      </c>
      <c r="U40" s="50"/>
      <c r="V40" s="50"/>
      <c r="W40" s="50">
        <v>0</v>
      </c>
      <c r="X40" s="51">
        <v>0</v>
      </c>
      <c r="Y40" s="52"/>
      <c r="Z40" s="53">
        <v>3665802544</v>
      </c>
      <c r="AA40" s="53">
        <v>0</v>
      </c>
      <c r="AB40" s="53">
        <v>3665802544</v>
      </c>
      <c r="AC40" s="53"/>
      <c r="AD40" s="53"/>
      <c r="AE40" s="50">
        <v>0</v>
      </c>
      <c r="AF40" s="51">
        <v>0</v>
      </c>
      <c r="AG40" s="52"/>
      <c r="AH40" s="52"/>
      <c r="AI40" s="51"/>
      <c r="AJ40" s="51"/>
      <c r="AK40" s="51"/>
      <c r="AL40" s="51"/>
      <c r="AM40" s="53" t="e">
        <f>#REF!-#REF!</f>
        <v>#REF!</v>
      </c>
      <c r="AN40" s="51" t="e">
        <f>AM40*100/#REF!</f>
        <v>#REF!</v>
      </c>
      <c r="AP40" s="55"/>
    </row>
    <row r="41" spans="1:42" s="61" customFormat="1" x14ac:dyDescent="0.2">
      <c r="A41" s="56" t="s">
        <v>45</v>
      </c>
      <c r="B41" s="57">
        <v>4937038159</v>
      </c>
      <c r="C41" s="57">
        <v>261608816</v>
      </c>
      <c r="D41" s="57">
        <v>4373057484</v>
      </c>
      <c r="E41" s="57"/>
      <c r="F41" s="57">
        <v>56507</v>
      </c>
      <c r="G41" s="57">
        <f>B41-C41-D41</f>
        <v>302371859</v>
      </c>
      <c r="H41" s="58">
        <f>(B41-C41-D41)*100/(B41-F41)</f>
        <v>6.1246299928521593</v>
      </c>
      <c r="I41" s="59">
        <f>I35+I10</f>
        <v>6.1300000000000008</v>
      </c>
      <c r="J41" s="60">
        <v>54730849403</v>
      </c>
      <c r="K41" s="60">
        <v>2501406912</v>
      </c>
      <c r="L41" s="60">
        <v>49387422283</v>
      </c>
      <c r="M41" s="60"/>
      <c r="N41" s="60">
        <v>2821550</v>
      </c>
      <c r="O41" s="57">
        <f>J41-K41-L41</f>
        <v>2842020208</v>
      </c>
      <c r="P41" s="58">
        <f>(J41-K41-L41)*100/(J41-N41)</f>
        <v>5.1929885279873291</v>
      </c>
      <c r="Q41" s="59">
        <f>Q35+Q10</f>
        <v>5.1906366075432784</v>
      </c>
      <c r="R41" s="57">
        <v>4354023934</v>
      </c>
      <c r="S41" s="57">
        <v>143684292</v>
      </c>
      <c r="T41" s="57">
        <v>3937776255</v>
      </c>
      <c r="U41" s="57"/>
      <c r="V41" s="57">
        <v>71086</v>
      </c>
      <c r="W41" s="57">
        <f>R41-S41-T41</f>
        <v>272563387</v>
      </c>
      <c r="X41" s="58">
        <f>(R41-S41-T41)*100/(R41-V41)</f>
        <v>6.2601363982433282</v>
      </c>
      <c r="Y41" s="59">
        <f>Y35+Y10</f>
        <v>6.2619841813666985</v>
      </c>
      <c r="Z41" s="60">
        <v>49298958530</v>
      </c>
      <c r="AA41" s="60">
        <v>1985693764</v>
      </c>
      <c r="AB41" s="60">
        <v>44596448410</v>
      </c>
      <c r="AC41" s="60"/>
      <c r="AD41" s="60">
        <v>17428542</v>
      </c>
      <c r="AE41" s="57">
        <f>Z41-AA41-AB41</f>
        <v>2716816356</v>
      </c>
      <c r="AF41" s="58">
        <f>(Z41-AA41-AB41)*100/(Z41-AD41)</f>
        <v>5.5128490464105759</v>
      </c>
      <c r="AG41" s="59">
        <f>AG35+AG10</f>
        <v>5.5113341194552818</v>
      </c>
      <c r="AH41" s="59">
        <v>5.48</v>
      </c>
      <c r="AI41" s="58">
        <f>H41-AH41</f>
        <v>0.64462999285215883</v>
      </c>
      <c r="AJ41" s="58">
        <f>H41-X41</f>
        <v>-0.13550640539116898</v>
      </c>
      <c r="AK41" s="58">
        <f>P41-AH41</f>
        <v>-0.2870114720126713</v>
      </c>
      <c r="AL41" s="58">
        <f>P41-AF41</f>
        <v>-0.31986051842324681</v>
      </c>
      <c r="AM41" s="60"/>
      <c r="AN41" s="58"/>
      <c r="AP41" s="62"/>
    </row>
    <row r="42" spans="1:42" hidden="1" x14ac:dyDescent="0.2">
      <c r="A42" s="26"/>
      <c r="B42" s="27"/>
      <c r="C42" s="27"/>
      <c r="D42" s="27"/>
      <c r="E42" s="27"/>
      <c r="F42" s="27"/>
      <c r="G42" s="28"/>
      <c r="H42" s="29" t="s">
        <v>46</v>
      </c>
      <c r="I42" s="29"/>
      <c r="J42" s="27">
        <f>B41*31/30</f>
        <v>5101606097.6333332</v>
      </c>
      <c r="K42" s="27">
        <f>C41*31/30</f>
        <v>270329109.86666667</v>
      </c>
      <c r="L42" s="27">
        <f>D41*30/31</f>
        <v>4231991113.5483871</v>
      </c>
      <c r="M42" s="27">
        <f>E41*31/30</f>
        <v>0</v>
      </c>
      <c r="N42" s="27">
        <f>F41*31/30</f>
        <v>58390.566666666666</v>
      </c>
      <c r="O42" s="27">
        <f>J42-K42-L42</f>
        <v>599285874.21827936</v>
      </c>
      <c r="P42" s="30">
        <f>(J42-K42-L42)*100/(J42-N42)</f>
        <v>11.747138488740353</v>
      </c>
      <c r="Q42" s="29"/>
      <c r="R42" s="27"/>
      <c r="S42" s="27"/>
      <c r="T42" s="27"/>
      <c r="U42" s="27"/>
      <c r="V42" s="27"/>
      <c r="W42" s="27"/>
      <c r="X42" s="31"/>
      <c r="Y42" s="29"/>
      <c r="Z42" s="27"/>
      <c r="AA42" s="27"/>
      <c r="AB42" s="27"/>
      <c r="AC42" s="27"/>
      <c r="AD42" s="27"/>
      <c r="AE42" s="27"/>
      <c r="AF42" s="31"/>
      <c r="AG42" s="29"/>
      <c r="AH42" s="12"/>
      <c r="AI42" s="31"/>
      <c r="AJ42" s="31"/>
      <c r="AK42" s="31"/>
      <c r="AL42" s="32"/>
      <c r="AM42" s="20"/>
      <c r="AN42" s="3"/>
    </row>
    <row r="43" spans="1:42" hidden="1" x14ac:dyDescent="0.2">
      <c r="C43" s="33"/>
      <c r="D43" s="34"/>
      <c r="E43" s="33"/>
      <c r="F43" s="33"/>
      <c r="G43" s="33"/>
      <c r="H43" s="35">
        <v>2011</v>
      </c>
      <c r="I43" s="35"/>
      <c r="J43" s="2">
        <f>J41+J42</f>
        <v>59832455500.633331</v>
      </c>
      <c r="K43" s="2">
        <f>K41+K42</f>
        <v>2771736021.8666668</v>
      </c>
      <c r="L43" s="2">
        <f>L41+L42</f>
        <v>53619413396.548386</v>
      </c>
      <c r="M43" s="2"/>
      <c r="N43" s="2">
        <f>N41+N42</f>
        <v>2879940.5666666669</v>
      </c>
      <c r="O43" s="2">
        <f>J43-K43-L43</f>
        <v>3441306082.218277</v>
      </c>
      <c r="P43" s="5">
        <f>(J43-K43-L43)*100/(J43-N43)</f>
        <v>5.7518477274894488</v>
      </c>
      <c r="Q43" s="35"/>
      <c r="U43" s="33"/>
      <c r="V43" s="33"/>
      <c r="W43" s="33"/>
      <c r="Y43" s="35"/>
      <c r="AC43" s="33"/>
      <c r="AD43" s="33"/>
      <c r="AE43" s="33"/>
      <c r="AG43" s="35"/>
    </row>
    <row r="44" spans="1:42" hidden="1" x14ac:dyDescent="0.2">
      <c r="C44" s="33"/>
      <c r="D44" s="33">
        <f>D35+D38+D40</f>
        <v>4689425884</v>
      </c>
      <c r="E44" s="33"/>
      <c r="F44" s="33"/>
      <c r="G44" s="33">
        <f>G34+G9</f>
        <v>34142472</v>
      </c>
      <c r="I44" s="12"/>
      <c r="K44" s="33"/>
      <c r="L44" s="33"/>
      <c r="M44" s="33"/>
      <c r="N44" s="33"/>
      <c r="O44" s="33">
        <f>O34+O9</f>
        <v>331648224</v>
      </c>
      <c r="P44" s="12" t="s">
        <v>57</v>
      </c>
      <c r="Q44" s="12">
        <f>Q34+Q33</f>
        <v>0</v>
      </c>
      <c r="U44" s="33"/>
      <c r="V44" s="33"/>
      <c r="W44" s="33"/>
      <c r="AC44" s="33"/>
      <c r="AD44" s="33"/>
      <c r="AE44" s="33"/>
      <c r="AG44" s="12"/>
    </row>
    <row r="45" spans="1:42" hidden="1" x14ac:dyDescent="0.2">
      <c r="C45" s="33"/>
      <c r="D45" s="33"/>
      <c r="E45" s="33"/>
      <c r="F45" s="33"/>
      <c r="G45" s="33">
        <v>21751619</v>
      </c>
      <c r="J45" s="33"/>
      <c r="K45" s="33"/>
      <c r="L45" s="33"/>
      <c r="M45" s="33"/>
      <c r="N45" s="33"/>
      <c r="O45" s="33">
        <v>137155540</v>
      </c>
      <c r="Q45" s="12"/>
      <c r="U45" s="33"/>
      <c r="V45" s="33"/>
      <c r="W45" s="33"/>
      <c r="AC45" s="33"/>
      <c r="AD45" s="33"/>
      <c r="AE45" s="33"/>
    </row>
    <row r="46" spans="1:42" x14ac:dyDescent="0.2">
      <c r="C46" s="33"/>
      <c r="D46" s="33"/>
      <c r="E46" s="33"/>
      <c r="F46" s="33"/>
      <c r="G46" s="33"/>
      <c r="J46" s="33"/>
      <c r="K46" s="33"/>
      <c r="L46" s="33"/>
      <c r="M46" s="33"/>
      <c r="N46" s="33"/>
      <c r="O46" s="33"/>
      <c r="U46" s="33"/>
      <c r="V46" s="33"/>
      <c r="W46" s="33"/>
      <c r="AC46" s="33"/>
      <c r="AD46" s="33"/>
      <c r="AE46" s="33"/>
    </row>
    <row r="47" spans="1:42" x14ac:dyDescent="0.2">
      <c r="B47" s="33"/>
      <c r="C47" s="33"/>
      <c r="D47" s="33"/>
      <c r="E47" s="33"/>
      <c r="F47" s="33"/>
      <c r="G47" s="33"/>
      <c r="J47" s="33"/>
      <c r="K47" s="33"/>
      <c r="L47" s="33"/>
      <c r="M47" s="33"/>
      <c r="N47" s="33"/>
      <c r="O47" s="33"/>
      <c r="U47" s="33"/>
      <c r="V47" s="33"/>
      <c r="W47" s="33"/>
      <c r="Z47" s="33"/>
      <c r="AC47" s="33"/>
      <c r="AD47" s="33"/>
      <c r="AE47" s="33"/>
    </row>
    <row r="48" spans="1:42" x14ac:dyDescent="0.2">
      <c r="C48" s="33"/>
      <c r="D48" s="33"/>
      <c r="E48" s="33"/>
      <c r="F48" s="33"/>
      <c r="G48" s="33"/>
      <c r="K48" s="33"/>
      <c r="L48" s="33"/>
      <c r="M48" s="33"/>
      <c r="N48" s="33"/>
      <c r="O48" s="33"/>
      <c r="U48" s="33"/>
      <c r="V48" s="33"/>
      <c r="W48" s="33"/>
      <c r="AC48" s="33"/>
      <c r="AD48" s="33"/>
      <c r="AE48" s="33"/>
    </row>
    <row r="49" spans="3:31" x14ac:dyDescent="0.2">
      <c r="C49" s="33"/>
      <c r="D49" s="33"/>
      <c r="E49" s="33"/>
      <c r="F49" s="33"/>
      <c r="G49" s="33"/>
      <c r="J49" s="33"/>
      <c r="K49" s="33"/>
      <c r="L49" s="33"/>
      <c r="M49" s="33"/>
      <c r="N49" s="33"/>
      <c r="O49" s="33"/>
      <c r="U49" s="33"/>
      <c r="V49" s="33"/>
      <c r="W49" s="33"/>
      <c r="AC49" s="33"/>
      <c r="AD49" s="33"/>
      <c r="AE49" s="33"/>
    </row>
    <row r="50" spans="3:31" x14ac:dyDescent="0.2">
      <c r="C50" s="33"/>
      <c r="D50" s="33"/>
      <c r="E50" s="33"/>
      <c r="F50" s="33"/>
      <c r="G50" s="33"/>
      <c r="J50" s="33"/>
      <c r="K50" s="33"/>
      <c r="L50" s="33"/>
      <c r="M50" s="33"/>
      <c r="N50" s="33"/>
      <c r="O50" s="33"/>
      <c r="U50" s="33"/>
      <c r="V50" s="33"/>
      <c r="W50" s="33"/>
      <c r="AC50" s="33"/>
      <c r="AD50" s="33"/>
      <c r="AE50" s="33"/>
    </row>
    <row r="51" spans="3:31" x14ac:dyDescent="0.2">
      <c r="C51" s="33"/>
      <c r="D51" s="33"/>
      <c r="E51" s="33"/>
      <c r="F51" s="33"/>
      <c r="G51" s="33"/>
      <c r="K51" s="33"/>
      <c r="L51" s="33"/>
      <c r="M51" s="33"/>
      <c r="N51" s="33"/>
      <c r="O51" s="33"/>
      <c r="U51" s="33"/>
      <c r="V51" s="33"/>
      <c r="W51" s="33"/>
      <c r="AC51" s="33"/>
      <c r="AD51" s="33"/>
      <c r="AE51" s="33"/>
    </row>
  </sheetData>
  <mergeCells count="25">
    <mergeCell ref="A3:A5"/>
    <mergeCell ref="B4:B5"/>
    <mergeCell ref="C4:D4"/>
    <mergeCell ref="E4:F4"/>
    <mergeCell ref="G4:G5"/>
    <mergeCell ref="H4:H5"/>
    <mergeCell ref="I4:I5"/>
    <mergeCell ref="J4:J5"/>
    <mergeCell ref="K4:L4"/>
    <mergeCell ref="M4:N4"/>
    <mergeCell ref="O4:O5"/>
    <mergeCell ref="P4:P5"/>
    <mergeCell ref="Q4:Q5"/>
    <mergeCell ref="R4:R5"/>
    <mergeCell ref="S4:T4"/>
    <mergeCell ref="U4:V4"/>
    <mergeCell ref="W4:W5"/>
    <mergeCell ref="X4:X5"/>
    <mergeCell ref="AG4:AG5"/>
    <mergeCell ref="Y4:Y5"/>
    <mergeCell ref="Z4:Z5"/>
    <mergeCell ref="AA4:AB4"/>
    <mergeCell ref="AC4:AD4"/>
    <mergeCell ref="AE4:AE5"/>
    <mergeCell ref="AF4:AF5"/>
  </mergeCells>
  <conditionalFormatting sqref="AO42:IV42 AL8:IV13 AO15:AO34 AQ15:IV34 AK42:AM42 AI42 AI8:AI35 AL14:AM35 AP14:AP35 AP38:AP39 AL38:AM39 AI38:AI39">
    <cfRule type="expression" dxfId="77" priority="75" stopIfTrue="1">
      <formula>"AE&gt;0"</formula>
    </cfRule>
  </conditionalFormatting>
  <conditionalFormatting sqref="R42:X42 A42:N42 AJ42 AJ8:AJ35 A38:B39 AJ38:AJ39 A8:A10 A11:H33 A35:H35 A34 J11:P33 R11:X33 R35:X35 Z35:AF35 Z11:AF33 Z42:AF42 J35:P35">
    <cfRule type="expression" dxfId="76" priority="76" stopIfTrue="1">
      <formula>#REF!&gt;0</formula>
    </cfRule>
  </conditionalFormatting>
  <conditionalFormatting sqref="AN14:AO14 AQ14:IV14 AN42 AN15:AN35 AN38:AN39">
    <cfRule type="expression" dxfId="75" priority="77" stopIfTrue="1">
      <formula>#REF!&gt;0</formula>
    </cfRule>
  </conditionalFormatting>
  <conditionalFormatting sqref="AK8:AK35 AK38:AK39">
    <cfRule type="cellIs" dxfId="74" priority="78" stopIfTrue="1" operator="greaterThanOrEqual">
      <formula>0</formula>
    </cfRule>
  </conditionalFormatting>
  <conditionalFormatting sqref="AH8:AH34">
    <cfRule type="expression" dxfId="73" priority="74" stopIfTrue="1">
      <formula>"AE&gt;0"</formula>
    </cfRule>
  </conditionalFormatting>
  <conditionalFormatting sqref="AI40 AL40:AM40 AO40 AQ40:IV40">
    <cfRule type="expression" dxfId="72" priority="70" stopIfTrue="1">
      <formula>"AE&gt;0"</formula>
    </cfRule>
  </conditionalFormatting>
  <conditionalFormatting sqref="AJ40 A40:H40 J40:P40">
    <cfRule type="expression" dxfId="71" priority="71" stopIfTrue="1">
      <formula>#REF!&gt;0</formula>
    </cfRule>
  </conditionalFormatting>
  <conditionalFormatting sqref="AN40">
    <cfRule type="expression" dxfId="70" priority="72" stopIfTrue="1">
      <formula>#REF!&gt;0</formula>
    </cfRule>
  </conditionalFormatting>
  <conditionalFormatting sqref="AK40">
    <cfRule type="cellIs" dxfId="69" priority="73" stopIfTrue="1" operator="greaterThanOrEqual">
      <formula>0</formula>
    </cfRule>
  </conditionalFormatting>
  <conditionalFormatting sqref="AH40">
    <cfRule type="expression" dxfId="68" priority="69" stopIfTrue="1">
      <formula>"AE&gt;0"</formula>
    </cfRule>
  </conditionalFormatting>
  <conditionalFormatting sqref="R40:X40 Z40:AF40">
    <cfRule type="expression" dxfId="67" priority="68" stopIfTrue="1">
      <formula>#REF!&gt;0</formula>
    </cfRule>
  </conditionalFormatting>
  <conditionalFormatting sqref="AP40">
    <cfRule type="expression" dxfId="66" priority="67" stopIfTrue="1">
      <formula>"AE&gt;0"</formula>
    </cfRule>
  </conditionalFormatting>
  <conditionalFormatting sqref="B8:F8 H9 H8:P8 J9:P9 G10:H10 O10:P10 J10:M10 B9:C9 E9:F9 B10:D10">
    <cfRule type="expression" dxfId="65" priority="66" stopIfTrue="1">
      <formula>#REF!&gt;0</formula>
    </cfRule>
  </conditionalFormatting>
  <conditionalFormatting sqref="R34:X34 Z34:AF34">
    <cfRule type="expression" dxfId="64" priority="63" stopIfTrue="1">
      <formula>#REF!&gt;0</formula>
    </cfRule>
  </conditionalFormatting>
  <conditionalFormatting sqref="R8:X9 Z8:AF9 V10:X10 Z10:AB10 AD10:AF10 R10:T10">
    <cfRule type="expression" dxfId="63" priority="65" stopIfTrue="1">
      <formula>#REF!&gt;0</formula>
    </cfRule>
  </conditionalFormatting>
  <conditionalFormatting sqref="B34:F34">
    <cfRule type="expression" dxfId="62" priority="64" stopIfTrue="1">
      <formula>#REF!&gt;0</formula>
    </cfRule>
  </conditionalFormatting>
  <conditionalFormatting sqref="I10:I33">
    <cfRule type="expression" dxfId="61" priority="62" stopIfTrue="1">
      <formula>#REF!&gt;0</formula>
    </cfRule>
  </conditionalFormatting>
  <conditionalFormatting sqref="I40">
    <cfRule type="expression" dxfId="60" priority="59" stopIfTrue="1">
      <formula>#REF!&gt;0</formula>
    </cfRule>
  </conditionalFormatting>
  <conditionalFormatting sqref="I35">
    <cfRule type="expression" dxfId="59" priority="61" stopIfTrue="1">
      <formula>#REF!&gt;0</formula>
    </cfRule>
  </conditionalFormatting>
  <conditionalFormatting sqref="I9">
    <cfRule type="expression" dxfId="58" priority="60" stopIfTrue="1">
      <formula>#REF!&gt;0</formula>
    </cfRule>
  </conditionalFormatting>
  <conditionalFormatting sqref="Q40">
    <cfRule type="expression" dxfId="57" priority="55" stopIfTrue="1">
      <formula>#REF!&gt;0</formula>
    </cfRule>
  </conditionalFormatting>
  <conditionalFormatting sqref="Q42">
    <cfRule type="expression" dxfId="56" priority="58" stopIfTrue="1">
      <formula>#REF!&gt;0</formula>
    </cfRule>
  </conditionalFormatting>
  <conditionalFormatting sqref="Q11:Q33">
    <cfRule type="expression" dxfId="55" priority="57" stopIfTrue="1">
      <formula>#REF!&gt;0</formula>
    </cfRule>
  </conditionalFormatting>
  <conditionalFormatting sqref="Y40">
    <cfRule type="expression" dxfId="54" priority="49" stopIfTrue="1">
      <formula>#REF!&gt;0</formula>
    </cfRule>
  </conditionalFormatting>
  <conditionalFormatting sqref="Q35">
    <cfRule type="expression" dxfId="53" priority="56" stopIfTrue="1">
      <formula>#REF!&gt;0</formula>
    </cfRule>
  </conditionalFormatting>
  <conditionalFormatting sqref="Y42">
    <cfRule type="expression" dxfId="52" priority="54" stopIfTrue="1">
      <formula>#REF!&gt;0</formula>
    </cfRule>
  </conditionalFormatting>
  <conditionalFormatting sqref="Y8">
    <cfRule type="expression" dxfId="51" priority="53" stopIfTrue="1">
      <formula>#REF!&gt;0</formula>
    </cfRule>
  </conditionalFormatting>
  <conditionalFormatting sqref="Y10:Y34">
    <cfRule type="expression" dxfId="50" priority="52" stopIfTrue="1">
      <formula>#REF!&gt;0</formula>
    </cfRule>
  </conditionalFormatting>
  <conditionalFormatting sqref="Y35">
    <cfRule type="expression" dxfId="49" priority="51" stopIfTrue="1">
      <formula>#REF!&gt;0</formula>
    </cfRule>
  </conditionalFormatting>
  <conditionalFormatting sqref="Y9">
    <cfRule type="expression" dxfId="48" priority="50" stopIfTrue="1">
      <formula>#REF!&gt;0</formula>
    </cfRule>
  </conditionalFormatting>
  <conditionalFormatting sqref="AG40">
    <cfRule type="expression" dxfId="47" priority="43" stopIfTrue="1">
      <formula>#REF!&gt;0</formula>
    </cfRule>
  </conditionalFormatting>
  <conditionalFormatting sqref="AG42">
    <cfRule type="expression" dxfId="46" priority="48" stopIfTrue="1">
      <formula>#REF!&gt;0</formula>
    </cfRule>
  </conditionalFormatting>
  <conditionalFormatting sqref="AG8">
    <cfRule type="expression" dxfId="45" priority="47" stopIfTrue="1">
      <formula>#REF!&gt;0</formula>
    </cfRule>
  </conditionalFormatting>
  <conditionalFormatting sqref="AG10:AG33">
    <cfRule type="expression" dxfId="44" priority="46" stopIfTrue="1">
      <formula>#REF!&gt;0</formula>
    </cfRule>
  </conditionalFormatting>
  <conditionalFormatting sqref="AG35">
    <cfRule type="expression" dxfId="43" priority="45" stopIfTrue="1">
      <formula>#REF!&gt;0</formula>
    </cfRule>
  </conditionalFormatting>
  <conditionalFormatting sqref="AG9">
    <cfRule type="expression" dxfId="42" priority="44" stopIfTrue="1">
      <formula>#REF!&gt;0</formula>
    </cfRule>
  </conditionalFormatting>
  <conditionalFormatting sqref="AI37 AL37:AM37 AP37">
    <cfRule type="expression" dxfId="41" priority="39" stopIfTrue="1">
      <formula>"AE&gt;0"</formula>
    </cfRule>
  </conditionalFormatting>
  <conditionalFormatting sqref="AJ37 A37:H37 J37:P37 R37:X37 Z37:AF37">
    <cfRule type="expression" dxfId="40" priority="40" stopIfTrue="1">
      <formula>#REF!&gt;0</formula>
    </cfRule>
  </conditionalFormatting>
  <conditionalFormatting sqref="AN37">
    <cfRule type="expression" dxfId="39" priority="41" stopIfTrue="1">
      <formula>#REF!&gt;0</formula>
    </cfRule>
  </conditionalFormatting>
  <conditionalFormatting sqref="AK37">
    <cfRule type="cellIs" dxfId="38" priority="42" stopIfTrue="1" operator="greaterThanOrEqual">
      <formula>0</formula>
    </cfRule>
  </conditionalFormatting>
  <conditionalFormatting sqref="I37">
    <cfRule type="expression" dxfId="37" priority="38" stopIfTrue="1">
      <formula>#REF!&gt;0</formula>
    </cfRule>
  </conditionalFormatting>
  <conditionalFormatting sqref="Q37">
    <cfRule type="expression" dxfId="36" priority="37" stopIfTrue="1">
      <formula>#REF!&gt;0</formula>
    </cfRule>
  </conditionalFormatting>
  <conditionalFormatting sqref="Y37">
    <cfRule type="expression" dxfId="35" priority="36" stopIfTrue="1">
      <formula>#REF!&gt;0</formula>
    </cfRule>
  </conditionalFormatting>
  <conditionalFormatting sqref="AG37">
    <cfRule type="expression" dxfId="34" priority="35" stopIfTrue="1">
      <formula>#REF!&gt;0</formula>
    </cfRule>
  </conditionalFormatting>
  <conditionalFormatting sqref="J38:O39 R38:W39 Z38:AE39 C38:G39">
    <cfRule type="expression" dxfId="33" priority="34" stopIfTrue="1">
      <formula>#REF!&gt;0</formula>
    </cfRule>
  </conditionalFormatting>
  <conditionalFormatting sqref="H38:I39">
    <cfRule type="expression" dxfId="32" priority="33" stopIfTrue="1">
      <formula>#REF!&gt;0</formula>
    </cfRule>
  </conditionalFormatting>
  <conditionalFormatting sqref="P38:Q39">
    <cfRule type="expression" dxfId="31" priority="32" stopIfTrue="1">
      <formula>#REF!&gt;0</formula>
    </cfRule>
  </conditionalFormatting>
  <conditionalFormatting sqref="X38:Y39">
    <cfRule type="expression" dxfId="30" priority="31" stopIfTrue="1">
      <formula>#REF!&gt;0</formula>
    </cfRule>
  </conditionalFormatting>
  <conditionalFormatting sqref="AF38:AG39">
    <cfRule type="expression" dxfId="29" priority="30" stopIfTrue="1">
      <formula>#REF!&gt;0</formula>
    </cfRule>
  </conditionalFormatting>
  <conditionalFormatting sqref="A6">
    <cfRule type="expression" dxfId="28" priority="29" stopIfTrue="1">
      <formula>#REF!&gt;0</formula>
    </cfRule>
  </conditionalFormatting>
  <conditionalFormatting sqref="AI41 AL41:AM41 AO41 AQ41:IV41">
    <cfRule type="expression" dxfId="27" priority="25" stopIfTrue="1">
      <formula>"AE&gt;0"</formula>
    </cfRule>
  </conditionalFormatting>
  <conditionalFormatting sqref="AJ41 J41:P41 A41:H41">
    <cfRule type="expression" dxfId="26" priority="26" stopIfTrue="1">
      <formula>#REF!&gt;0</formula>
    </cfRule>
  </conditionalFormatting>
  <conditionalFormatting sqref="AN41">
    <cfRule type="expression" dxfId="25" priority="27" stopIfTrue="1">
      <formula>#REF!&gt;0</formula>
    </cfRule>
  </conditionalFormatting>
  <conditionalFormatting sqref="AK41">
    <cfRule type="cellIs" dxfId="24" priority="28" stopIfTrue="1" operator="greaterThanOrEqual">
      <formula>0</formula>
    </cfRule>
  </conditionalFormatting>
  <conditionalFormatting sqref="AH41">
    <cfRule type="expression" dxfId="23" priority="24" stopIfTrue="1">
      <formula>"AE&gt;0"</formula>
    </cfRule>
  </conditionalFormatting>
  <conditionalFormatting sqref="R41:X41 Z41:AF41">
    <cfRule type="expression" dxfId="22" priority="23" stopIfTrue="1">
      <formula>#REF!&gt;0</formula>
    </cfRule>
  </conditionalFormatting>
  <conditionalFormatting sqref="AP41">
    <cfRule type="expression" dxfId="21" priority="22" stopIfTrue="1">
      <formula>"AE&gt;0"</formula>
    </cfRule>
  </conditionalFormatting>
  <conditionalFormatting sqref="I41">
    <cfRule type="expression" dxfId="20" priority="21" stopIfTrue="1">
      <formula>#REF!&gt;0</formula>
    </cfRule>
  </conditionalFormatting>
  <conditionalFormatting sqref="Q41">
    <cfRule type="expression" dxfId="19" priority="20" stopIfTrue="1">
      <formula>#REF!&gt;0</formula>
    </cfRule>
  </conditionalFormatting>
  <conditionalFormatting sqref="Y41">
    <cfRule type="expression" dxfId="18" priority="19" stopIfTrue="1">
      <formula>#REF!&gt;0</formula>
    </cfRule>
  </conditionalFormatting>
  <conditionalFormatting sqref="AG41">
    <cfRule type="expression" dxfId="17" priority="18" stopIfTrue="1">
      <formula>#REF!&gt;0</formula>
    </cfRule>
  </conditionalFormatting>
  <conditionalFormatting sqref="F10">
    <cfRule type="expression" dxfId="16" priority="17" stopIfTrue="1">
      <formula>#REF!&gt;0</formula>
    </cfRule>
  </conditionalFormatting>
  <conditionalFormatting sqref="N10">
    <cfRule type="expression" dxfId="15" priority="16" stopIfTrue="1">
      <formula>#REF!&gt;0</formula>
    </cfRule>
  </conditionalFormatting>
  <conditionalFormatting sqref="D9">
    <cfRule type="expression" dxfId="14" priority="15" stopIfTrue="1">
      <formula>#REF!&gt;0</formula>
    </cfRule>
  </conditionalFormatting>
  <conditionalFormatting sqref="G9">
    <cfRule type="expression" dxfId="13" priority="14" stopIfTrue="1">
      <formula>#REF!&gt;0</formula>
    </cfRule>
  </conditionalFormatting>
  <conditionalFormatting sqref="G8">
    <cfRule type="expression" dxfId="12" priority="13" stopIfTrue="1">
      <formula>#REF!&gt;0</formula>
    </cfRule>
  </conditionalFormatting>
  <conditionalFormatting sqref="E10">
    <cfRule type="expression" dxfId="11" priority="12" stopIfTrue="1">
      <formula>#REF!&gt;0</formula>
    </cfRule>
  </conditionalFormatting>
  <conditionalFormatting sqref="U10">
    <cfRule type="expression" dxfId="10" priority="11" stopIfTrue="1">
      <formula>#REF!&gt;0</formula>
    </cfRule>
  </conditionalFormatting>
  <conditionalFormatting sqref="AC10">
    <cfRule type="expression" dxfId="9" priority="10" stopIfTrue="1">
      <formula>#REF!&gt;0</formula>
    </cfRule>
  </conditionalFormatting>
  <conditionalFormatting sqref="Q8">
    <cfRule type="expression" dxfId="8" priority="9" stopIfTrue="1">
      <formula>#REF!&gt;0</formula>
    </cfRule>
  </conditionalFormatting>
  <conditionalFormatting sqref="Q10">
    <cfRule type="expression" dxfId="7" priority="8" stopIfTrue="1">
      <formula>#REF!&gt;0</formula>
    </cfRule>
  </conditionalFormatting>
  <conditionalFormatting sqref="Q9">
    <cfRule type="expression" dxfId="6" priority="7" stopIfTrue="1">
      <formula>#REF!&gt;0</formula>
    </cfRule>
  </conditionalFormatting>
  <conditionalFormatting sqref="J34:N34">
    <cfRule type="expression" dxfId="5" priority="6" stopIfTrue="1">
      <formula>#REF!&gt;0</formula>
    </cfRule>
  </conditionalFormatting>
  <conditionalFormatting sqref="I34">
    <cfRule type="expression" dxfId="4" priority="5" stopIfTrue="1">
      <formula>#REF!&gt;0</formula>
    </cfRule>
  </conditionalFormatting>
  <conditionalFormatting sqref="G34:H34">
    <cfRule type="expression" dxfId="3" priority="4" stopIfTrue="1">
      <formula>#REF!&gt;0</formula>
    </cfRule>
  </conditionalFormatting>
  <conditionalFormatting sqref="O34:P34">
    <cfRule type="expression" dxfId="2" priority="3" stopIfTrue="1">
      <formula>#REF!&gt;0</formula>
    </cfRule>
  </conditionalFormatting>
  <conditionalFormatting sqref="AG34">
    <cfRule type="expression" dxfId="1" priority="2" stopIfTrue="1">
      <formula>#REF!&gt;0</formula>
    </cfRule>
  </conditionalFormatting>
  <conditionalFormatting sqref="Q34">
    <cfRule type="expression" dxfId="0" priority="1" stopIfTrue="1">
      <formula>#REF!&gt;0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KH_TA</vt:lpstr>
      <vt:lpstr>T08</vt:lpstr>
      <vt:lpstr>T09</vt:lpstr>
      <vt:lpstr>T10</vt:lpstr>
      <vt:lpstr>T11</vt:lpstr>
      <vt:lpstr>T12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EVN SPC</dc:title>
  <dc:subject>0983 390 391</dc:subject>
  <dc:creator>Nguyen Minh Tan - BAN KT</dc:creator>
  <cp:lastModifiedBy>Administrator</cp:lastModifiedBy>
  <cp:lastPrinted>2025-07-07T01:18:38Z</cp:lastPrinted>
  <dcterms:created xsi:type="dcterms:W3CDTF">2007-07-02T00:56:15Z</dcterms:created>
  <dcterms:modified xsi:type="dcterms:W3CDTF">2025-07-28T02:41:10Z</dcterms:modified>
</cp:coreProperties>
</file>