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NCS\Chuyen de 1\"/>
    </mc:Choice>
  </mc:AlternateContent>
  <bookViews>
    <workbookView xWindow="0" yWindow="0" windowWidth="19200" windowHeight="7050"/>
  </bookViews>
  <sheets>
    <sheet name="w - q - m" sheetId="1" r:id="rId1"/>
    <sheet name="K1 - 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5" i="1"/>
  <c r="L22" i="2"/>
  <c r="L21" i="2"/>
  <c r="L20" i="2"/>
  <c r="L19" i="2"/>
  <c r="L18" i="2"/>
  <c r="J23" i="2" l="1"/>
  <c r="J22" i="2"/>
  <c r="J21" i="2"/>
  <c r="J20" i="2"/>
  <c r="J19" i="2"/>
  <c r="J18" i="2"/>
  <c r="E23" i="2"/>
  <c r="E22" i="2"/>
  <c r="E21" i="2"/>
  <c r="E20" i="2"/>
  <c r="E19" i="2"/>
  <c r="E18" i="2"/>
  <c r="O11" i="2"/>
  <c r="O10" i="2"/>
  <c r="O9" i="2"/>
  <c r="O8" i="2"/>
  <c r="O7" i="2"/>
  <c r="O6" i="2"/>
  <c r="J11" i="2"/>
  <c r="J10" i="2"/>
  <c r="J9" i="2"/>
  <c r="J8" i="2"/>
  <c r="J7" i="2"/>
  <c r="J6" i="2"/>
  <c r="E6" i="2"/>
  <c r="E8" i="2"/>
  <c r="E9" i="2"/>
  <c r="E11" i="2"/>
  <c r="E10" i="2"/>
  <c r="E7" i="2"/>
  <c r="D19" i="2"/>
  <c r="D20" i="2"/>
  <c r="D21" i="2"/>
  <c r="D22" i="2"/>
  <c r="D23" i="2"/>
  <c r="D18" i="2"/>
  <c r="I19" i="2"/>
  <c r="I20" i="2"/>
  <c r="I21" i="2"/>
  <c r="I22" i="2"/>
  <c r="I23" i="2"/>
  <c r="I18" i="2"/>
  <c r="N7" i="2"/>
  <c r="N8" i="2"/>
  <c r="N9" i="2"/>
  <c r="N10" i="2"/>
  <c r="N11" i="2"/>
  <c r="N6" i="2"/>
  <c r="I7" i="2"/>
  <c r="I8" i="2"/>
  <c r="I9" i="2"/>
  <c r="I10" i="2"/>
  <c r="I11" i="2"/>
  <c r="I6" i="2"/>
  <c r="B15" i="2"/>
  <c r="C14" i="2"/>
  <c r="C15" i="2" s="1"/>
  <c r="C13" i="2"/>
  <c r="G15" i="2"/>
  <c r="H14" i="2"/>
  <c r="H15" i="2" s="1"/>
  <c r="H13" i="2"/>
  <c r="L3" i="2"/>
  <c r="M2" i="2"/>
  <c r="M3" i="2" s="1"/>
  <c r="M1" i="2"/>
  <c r="H2" i="2"/>
  <c r="H1" i="2"/>
  <c r="C1" i="2"/>
  <c r="C2" i="2"/>
  <c r="H3" i="2"/>
  <c r="H11" i="2" s="1"/>
  <c r="G3" i="2"/>
  <c r="B3" i="2"/>
  <c r="C23" i="2" l="1"/>
  <c r="C21" i="2"/>
  <c r="C19" i="2"/>
  <c r="C22" i="2"/>
  <c r="C20" i="2"/>
  <c r="C18" i="2"/>
  <c r="H18" i="2"/>
  <c r="H23" i="2"/>
  <c r="H21" i="2"/>
  <c r="H19" i="2"/>
  <c r="H20" i="2"/>
  <c r="H22" i="2"/>
  <c r="M11" i="2"/>
  <c r="M9" i="2"/>
  <c r="M7" i="2"/>
  <c r="M6" i="2"/>
  <c r="M10" i="2"/>
  <c r="M8" i="2"/>
  <c r="H8" i="2"/>
  <c r="H6" i="2"/>
  <c r="H10" i="2"/>
  <c r="H7" i="2"/>
  <c r="H9" i="2"/>
  <c r="C3" i="2"/>
  <c r="C10" i="2" s="1"/>
  <c r="D10" i="2" s="1"/>
  <c r="C11" i="2"/>
  <c r="D11" i="2" s="1"/>
  <c r="C6" i="2"/>
  <c r="D6" i="2" s="1"/>
  <c r="C7" i="2"/>
  <c r="D7" i="2" s="1"/>
  <c r="C9" i="2"/>
  <c r="D9" i="2" s="1"/>
  <c r="R12" i="1"/>
  <c r="R9" i="1"/>
  <c r="P9" i="1"/>
  <c r="O12" i="1"/>
  <c r="O9" i="1"/>
  <c r="O8" i="1"/>
  <c r="C8" i="2" l="1"/>
  <c r="D8" i="2" s="1"/>
  <c r="O18" i="1"/>
  <c r="J18" i="1"/>
  <c r="J19" i="1"/>
  <c r="H20" i="1" s="1"/>
  <c r="I19" i="1"/>
  <c r="L16" i="1"/>
  <c r="K16" i="1"/>
  <c r="L12" i="1" l="1"/>
  <c r="K12" i="1"/>
  <c r="J12" i="1"/>
  <c r="K13" i="1" l="1"/>
  <c r="L13" i="1"/>
  <c r="H12" i="1"/>
  <c r="G12" i="1"/>
  <c r="F12" i="1"/>
  <c r="G13" i="1" l="1"/>
  <c r="H13" i="1"/>
  <c r="C13" i="1"/>
  <c r="H7" i="1" l="1"/>
  <c r="G7" i="1"/>
  <c r="P4" i="1"/>
  <c r="O4" i="1"/>
  <c r="N4" i="1"/>
  <c r="L4" i="1"/>
  <c r="K4" i="1"/>
  <c r="J4" i="1"/>
  <c r="H4" i="1"/>
  <c r="G4" i="1"/>
  <c r="G5" i="1" s="1"/>
  <c r="F4" i="1"/>
  <c r="C4" i="1"/>
  <c r="D4" i="1"/>
  <c r="B4" i="1"/>
  <c r="O5" i="1" l="1"/>
  <c r="P5" i="1"/>
  <c r="L5" i="1"/>
  <c r="K5" i="1"/>
  <c r="H5" i="1"/>
  <c r="D5" i="1"/>
  <c r="C5" i="1"/>
</calcChain>
</file>

<file path=xl/sharedStrings.xml><?xml version="1.0" encoding="utf-8"?>
<sst xmlns="http://schemas.openxmlformats.org/spreadsheetml/2006/main" count="94" uniqueCount="29">
  <si>
    <t>C</t>
  </si>
  <si>
    <t>H</t>
  </si>
  <si>
    <t>O</t>
  </si>
  <si>
    <t>Kết quả phân tích</t>
  </si>
  <si>
    <t>K1=</t>
  </si>
  <si>
    <t>ln500=</t>
  </si>
  <si>
    <t>w=</t>
  </si>
  <si>
    <t>m=</t>
  </si>
  <si>
    <t>MC=</t>
  </si>
  <si>
    <t>ER=</t>
  </si>
  <si>
    <t>q=</t>
  </si>
  <si>
    <t>T1=</t>
  </si>
  <si>
    <t>T2=</t>
  </si>
  <si>
    <t>Tam=</t>
  </si>
  <si>
    <t>Cp</t>
  </si>
  <si>
    <t>DeltaH</t>
  </si>
  <si>
    <t>H2O</t>
  </si>
  <si>
    <t>H2</t>
  </si>
  <si>
    <t>CO</t>
  </si>
  <si>
    <t>CO2</t>
  </si>
  <si>
    <t>N2</t>
  </si>
  <si>
    <t>CH4</t>
  </si>
  <si>
    <t>dH</t>
  </si>
  <si>
    <t>A</t>
  </si>
  <si>
    <t>B</t>
  </si>
  <si>
    <t>D</t>
  </si>
  <si>
    <t>E</t>
  </si>
  <si>
    <t>Kq ptich=</t>
  </si>
  <si>
    <t>HHV=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</si>
</sst>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C13" sqref="C13"/>
    </sheetView>
  </sheetViews>
  <sheetFormatPr defaultRowHeight="14.5" x14ac:dyDescent="0.35"/>
  <cols>
    <col min="2" max="2" width="10.81640625" bestFit="1" customWidth="1"/>
    <col min="5" max="5" width="15.1796875" customWidth="1"/>
    <col min="8" max="8" width="11.81640625" bestFit="1" customWidth="1"/>
  </cols>
  <sheetData>
    <row r="1" spans="1:18" x14ac:dyDescent="0.35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8" x14ac:dyDescent="0.35">
      <c r="B2">
        <v>12</v>
      </c>
      <c r="C2">
        <v>1</v>
      </c>
      <c r="D2">
        <v>16</v>
      </c>
      <c r="F2">
        <v>12</v>
      </c>
      <c r="G2">
        <v>1</v>
      </c>
      <c r="H2">
        <v>16</v>
      </c>
      <c r="J2">
        <v>12</v>
      </c>
      <c r="K2">
        <v>1</v>
      </c>
      <c r="L2">
        <v>16</v>
      </c>
      <c r="N2">
        <v>12</v>
      </c>
      <c r="O2">
        <v>1</v>
      </c>
      <c r="P2">
        <v>16</v>
      </c>
    </row>
    <row r="3" spans="1:18" x14ac:dyDescent="0.35">
      <c r="B3">
        <v>49.29</v>
      </c>
      <c r="C3">
        <v>5.99</v>
      </c>
      <c r="D3">
        <v>44.36</v>
      </c>
      <c r="F3">
        <v>43.8</v>
      </c>
      <c r="G3">
        <v>6.4</v>
      </c>
      <c r="H3">
        <v>49.8</v>
      </c>
      <c r="J3">
        <v>42.6</v>
      </c>
      <c r="K3">
        <v>5.5</v>
      </c>
      <c r="L3">
        <v>51.7</v>
      </c>
      <c r="N3">
        <v>44.5</v>
      </c>
      <c r="O3">
        <v>5.5</v>
      </c>
      <c r="P3">
        <v>49.4</v>
      </c>
    </row>
    <row r="4" spans="1:18" x14ac:dyDescent="0.35">
      <c r="B4">
        <f>B3/B2</f>
        <v>4.1074999999999999</v>
      </c>
      <c r="C4">
        <f t="shared" ref="C4:D4" si="0">C3/C2</f>
        <v>5.99</v>
      </c>
      <c r="D4">
        <f t="shared" si="0"/>
        <v>2.7725</v>
      </c>
      <c r="F4">
        <f>F3/F2</f>
        <v>3.65</v>
      </c>
      <c r="G4">
        <f t="shared" ref="G4" si="1">G3/G2</f>
        <v>6.4</v>
      </c>
      <c r="H4">
        <f t="shared" ref="H4" si="2">H3/H2</f>
        <v>3.1124999999999998</v>
      </c>
      <c r="J4">
        <f>J3/J2</f>
        <v>3.5500000000000003</v>
      </c>
      <c r="K4">
        <f t="shared" ref="K4" si="3">K3/K2</f>
        <v>5.5</v>
      </c>
      <c r="L4">
        <f t="shared" ref="L4" si="4">L3/L2</f>
        <v>3.2312500000000002</v>
      </c>
      <c r="N4">
        <f>N3/N2</f>
        <v>3.7083333333333335</v>
      </c>
      <c r="O4">
        <f t="shared" ref="O4" si="5">O3/O2</f>
        <v>5.5</v>
      </c>
      <c r="P4">
        <f t="shared" ref="P4" si="6">P3/P2</f>
        <v>3.0874999999999999</v>
      </c>
    </row>
    <row r="5" spans="1:18" x14ac:dyDescent="0.35">
      <c r="C5">
        <f>C4/B4</f>
        <v>1.4583079732197202</v>
      </c>
      <c r="D5">
        <f>D4/B4</f>
        <v>0.67498478393183203</v>
      </c>
      <c r="G5">
        <f>G4/F4</f>
        <v>1.7534246575342467</v>
      </c>
      <c r="H5">
        <f>H4/F4</f>
        <v>0.85273972602739723</v>
      </c>
      <c r="K5">
        <f>K4/J4</f>
        <v>1.5492957746478873</v>
      </c>
      <c r="L5">
        <f>L4/J4</f>
        <v>0.91021126760563376</v>
      </c>
      <c r="O5">
        <f>O4/N4</f>
        <v>1.4831460674157302</v>
      </c>
      <c r="P5">
        <f>P4/N4</f>
        <v>0.83258426966292132</v>
      </c>
    </row>
    <row r="7" spans="1:18" x14ac:dyDescent="0.35">
      <c r="G7">
        <f>(G5+K5+O5)/3</f>
        <v>1.595288833199288</v>
      </c>
      <c r="H7">
        <f>(H5+L5+P5)/3</f>
        <v>0.86517842109865073</v>
      </c>
    </row>
    <row r="8" spans="1:18" x14ac:dyDescent="0.35">
      <c r="J8" s="4" t="s">
        <v>3</v>
      </c>
      <c r="N8" t="s">
        <v>8</v>
      </c>
      <c r="O8">
        <f>12+(1.28*1)+(0.64*16)</f>
        <v>23.52</v>
      </c>
      <c r="P8">
        <v>64</v>
      </c>
    </row>
    <row r="9" spans="1:18" x14ac:dyDescent="0.35">
      <c r="F9" s="1" t="s">
        <v>0</v>
      </c>
      <c r="G9" s="1" t="s">
        <v>1</v>
      </c>
      <c r="H9" s="1" t="s">
        <v>2</v>
      </c>
      <c r="J9" s="2" t="s">
        <v>0</v>
      </c>
      <c r="K9" s="2" t="s">
        <v>1</v>
      </c>
      <c r="L9" s="2" t="s">
        <v>2</v>
      </c>
      <c r="N9" s="1" t="s">
        <v>6</v>
      </c>
      <c r="O9" s="1">
        <f>(O8*0.1)/(18*(1-0.1))</f>
        <v>0.14518518518518519</v>
      </c>
      <c r="P9" s="1">
        <f>(P8*0.75)/(18*(1-0.75))</f>
        <v>10.666666666666666</v>
      </c>
      <c r="Q9" s="7" t="s">
        <v>10</v>
      </c>
      <c r="R9" s="7">
        <f>P9*O12</f>
        <v>3.1999999999999997</v>
      </c>
    </row>
    <row r="10" spans="1:18" x14ac:dyDescent="0.35">
      <c r="C10">
        <v>-393509</v>
      </c>
      <c r="D10">
        <f>C10+(B11*C11)</f>
        <v>-567617.96</v>
      </c>
      <c r="F10" s="1">
        <v>12</v>
      </c>
      <c r="G10" s="1">
        <v>1</v>
      </c>
      <c r="H10" s="1">
        <v>16</v>
      </c>
      <c r="J10" s="2">
        <v>12</v>
      </c>
      <c r="K10" s="2">
        <v>1</v>
      </c>
      <c r="L10" s="2">
        <v>16</v>
      </c>
    </row>
    <row r="11" spans="1:18" x14ac:dyDescent="0.35">
      <c r="B11">
        <v>0.72</v>
      </c>
      <c r="C11">
        <v>-241818</v>
      </c>
      <c r="F11" s="1">
        <v>50</v>
      </c>
      <c r="G11" s="1">
        <v>6</v>
      </c>
      <c r="H11" s="1">
        <v>44</v>
      </c>
      <c r="J11" s="2">
        <v>44.37</v>
      </c>
      <c r="K11" s="2">
        <v>4.75</v>
      </c>
      <c r="L11" s="2">
        <v>37.64</v>
      </c>
      <c r="N11" t="s">
        <v>9</v>
      </c>
      <c r="O11" s="2">
        <v>0.3</v>
      </c>
    </row>
    <row r="12" spans="1:18" x14ac:dyDescent="0.35">
      <c r="B12" t="s">
        <v>27</v>
      </c>
      <c r="C12">
        <v>365736</v>
      </c>
      <c r="F12" s="1">
        <f>F11/F10</f>
        <v>4.166666666666667</v>
      </c>
      <c r="G12" s="1">
        <f t="shared" ref="G12:H12" si="7">G11/G10</f>
        <v>6</v>
      </c>
      <c r="H12" s="1">
        <f t="shared" si="7"/>
        <v>2.75</v>
      </c>
      <c r="J12" s="2">
        <f>J11/J10</f>
        <v>3.6974999999999998</v>
      </c>
      <c r="K12" s="2">
        <f t="shared" ref="K12:L12" si="8">K11/K10</f>
        <v>4.75</v>
      </c>
      <c r="L12" s="2">
        <f t="shared" si="8"/>
        <v>2.3525</v>
      </c>
      <c r="N12" t="s">
        <v>7</v>
      </c>
      <c r="O12" s="6">
        <f>O11*(1+(1.28/4)-(0.64/2))</f>
        <v>0.3</v>
      </c>
      <c r="Q12" s="7"/>
      <c r="R12" s="7">
        <f>L13+O9+R9+(O12*2)</f>
        <v>4.5814258883630075</v>
      </c>
    </row>
    <row r="13" spans="1:18" x14ac:dyDescent="0.35">
      <c r="C13">
        <f>C10+(B11*C11)+C12</f>
        <v>-201881.95999999996</v>
      </c>
      <c r="F13" s="1"/>
      <c r="G13" s="1">
        <f>G12/F12</f>
        <v>1.44</v>
      </c>
      <c r="H13" s="1">
        <f>H12/F12</f>
        <v>0.65999999999999992</v>
      </c>
      <c r="J13" s="2"/>
      <c r="K13" s="3">
        <f>K12/J12</f>
        <v>1.2846517917511833</v>
      </c>
      <c r="L13" s="3">
        <f>L12/J12</f>
        <v>0.63624070317782289</v>
      </c>
    </row>
    <row r="15" spans="1:18" x14ac:dyDescent="0.35">
      <c r="A15" t="s">
        <v>28</v>
      </c>
      <c r="B15">
        <f>0.2326*((146.58*50)+(56.878*6)-(51.53*44)-(6.58*0)+29.45)</f>
        <v>1263.5757748000001</v>
      </c>
    </row>
    <row r="16" spans="1:18" x14ac:dyDescent="0.35">
      <c r="G16" s="1" t="s">
        <v>4</v>
      </c>
      <c r="H16" s="1">
        <v>4276</v>
      </c>
      <c r="I16" s="1">
        <v>500</v>
      </c>
      <c r="J16" s="1">
        <v>3.9609999999999999</v>
      </c>
      <c r="K16" s="1">
        <f>(H16/I16)-J16</f>
        <v>4.5909999999999993</v>
      </c>
      <c r="L16" s="5">
        <f>2.72^K16</f>
        <v>98.879403635181575</v>
      </c>
    </row>
    <row r="18" spans="7:15" x14ac:dyDescent="0.35">
      <c r="H18">
        <v>5870.53</v>
      </c>
      <c r="I18">
        <v>1.86</v>
      </c>
      <c r="J18">
        <f>2.7*10^-4</f>
        <v>2.7000000000000006E-4</v>
      </c>
      <c r="K18">
        <v>58200</v>
      </c>
      <c r="L18">
        <v>18.007000000000001</v>
      </c>
      <c r="O18">
        <f>LN(7.389)</f>
        <v>1.9999924078065106</v>
      </c>
    </row>
    <row r="19" spans="7:15" x14ac:dyDescent="0.35">
      <c r="G19" s="2"/>
      <c r="H19" s="2" t="s">
        <v>5</v>
      </c>
      <c r="I19" s="2">
        <f>LN(I16)</f>
        <v>6.2146080984221914</v>
      </c>
      <c r="J19" s="4">
        <f>(H18/I16)+(I18*I19)+(J18*I16)+(K18/(I16*I16))+L18</f>
        <v>41.675031063065276</v>
      </c>
    </row>
    <row r="20" spans="7:15" x14ac:dyDescent="0.35">
      <c r="G20" s="2" t="s">
        <v>4</v>
      </c>
      <c r="H20" s="2">
        <f>2.72^J19</f>
        <v>1.2902461583971423E+18</v>
      </c>
      <c r="I20" s="2"/>
      <c r="J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E6" sqref="E6"/>
    </sheetView>
  </sheetViews>
  <sheetFormatPr defaultRowHeight="14.5" x14ac:dyDescent="0.35"/>
  <cols>
    <col min="4" max="4" width="13.08984375" customWidth="1"/>
    <col min="5" max="5" width="11.7265625" bestFit="1" customWidth="1"/>
    <col min="6" max="6" width="10.08984375" bestFit="1" customWidth="1"/>
    <col min="9" max="9" width="11.36328125" customWidth="1"/>
    <col min="10" max="10" width="11.54296875" customWidth="1"/>
    <col min="12" max="12" width="13.90625" customWidth="1"/>
    <col min="14" max="14" width="11.1796875" customWidth="1"/>
    <col min="15" max="15" width="10.81640625" customWidth="1"/>
  </cols>
  <sheetData>
    <row r="1" spans="1:15" x14ac:dyDescent="0.35">
      <c r="A1" s="10" t="s">
        <v>11</v>
      </c>
      <c r="B1" s="10">
        <v>25</v>
      </c>
      <c r="C1" s="10">
        <f>B1+273</f>
        <v>298</v>
      </c>
      <c r="F1" s="10" t="s">
        <v>11</v>
      </c>
      <c r="G1" s="10">
        <v>25</v>
      </c>
      <c r="H1" s="10">
        <f>G1+273</f>
        <v>298</v>
      </c>
      <c r="K1" s="10" t="s">
        <v>11</v>
      </c>
      <c r="L1" s="10">
        <v>25</v>
      </c>
      <c r="M1" s="10">
        <f>L1+273</f>
        <v>298</v>
      </c>
    </row>
    <row r="2" spans="1:15" x14ac:dyDescent="0.35">
      <c r="A2" s="10" t="s">
        <v>12</v>
      </c>
      <c r="B2" s="10">
        <v>550</v>
      </c>
      <c r="C2" s="10">
        <f>B2+273</f>
        <v>823</v>
      </c>
      <c r="F2" s="10" t="s">
        <v>12</v>
      </c>
      <c r="G2" s="10">
        <v>600</v>
      </c>
      <c r="H2" s="10">
        <f>G2+273</f>
        <v>873</v>
      </c>
      <c r="K2" s="10" t="s">
        <v>12</v>
      </c>
      <c r="L2" s="10">
        <v>650</v>
      </c>
      <c r="M2" s="10">
        <f>L2+273</f>
        <v>923</v>
      </c>
    </row>
    <row r="3" spans="1:15" x14ac:dyDescent="0.35">
      <c r="A3" s="11" t="s">
        <v>13</v>
      </c>
      <c r="B3" s="11">
        <f>B2-B1</f>
        <v>525</v>
      </c>
      <c r="C3" s="11">
        <f>(C2+C1)/2</f>
        <v>560.5</v>
      </c>
      <c r="F3" s="11" t="s">
        <v>13</v>
      </c>
      <c r="G3" s="11">
        <f>G2-G1</f>
        <v>575</v>
      </c>
      <c r="H3" s="11">
        <f>(H2+H1)/2</f>
        <v>585.5</v>
      </c>
      <c r="K3" s="11" t="s">
        <v>13</v>
      </c>
      <c r="L3" s="11">
        <f>L2-L1</f>
        <v>625</v>
      </c>
      <c r="M3" s="11">
        <f>(M2+M1)/2</f>
        <v>610.5</v>
      </c>
    </row>
    <row r="5" spans="1:15" x14ac:dyDescent="0.35">
      <c r="C5" s="1" t="s">
        <v>14</v>
      </c>
      <c r="D5" s="1" t="s">
        <v>15</v>
      </c>
      <c r="E5" s="1" t="s">
        <v>22</v>
      </c>
      <c r="H5" s="1" t="s">
        <v>14</v>
      </c>
      <c r="I5" s="1" t="s">
        <v>15</v>
      </c>
      <c r="J5" s="1" t="s">
        <v>22</v>
      </c>
      <c r="M5" s="1" t="s">
        <v>14</v>
      </c>
      <c r="N5" s="1" t="s">
        <v>15</v>
      </c>
      <c r="O5" s="1" t="s">
        <v>22</v>
      </c>
    </row>
    <row r="6" spans="1:15" x14ac:dyDescent="0.35">
      <c r="B6" s="2" t="s">
        <v>16</v>
      </c>
      <c r="C6" s="8">
        <f>8.314*(3.47+(C3*0.00145)+(((4*C3*C3)-(C1*C2)/3)*0)+(12100/(C1*C2)))</f>
        <v>36.016760193371361</v>
      </c>
      <c r="D6" s="9">
        <f>C6*$B$3</f>
        <v>18908.799101519966</v>
      </c>
      <c r="E6" s="9">
        <f>D6-241818</f>
        <v>-222909.20089848002</v>
      </c>
      <c r="G6" s="2" t="s">
        <v>16</v>
      </c>
      <c r="H6" s="8">
        <f>8.314*(3.47+(H3*0.00145)+(((4*H3*H3)-(H1*H2)/3)*0)+(12100/(H1*H2)))</f>
        <v>36.294649878745282</v>
      </c>
      <c r="I6" s="9">
        <f>H6*$G$3</f>
        <v>20869.423680278538</v>
      </c>
      <c r="J6" s="9">
        <f>I6-241818</f>
        <v>-220948.57631972147</v>
      </c>
      <c r="L6" s="2" t="s">
        <v>16</v>
      </c>
      <c r="M6" s="8">
        <f>8.314*(3.47+(M3*0.00145)+(((4*M3*M3)-(M1*M2)/3)*0)+(12100/(M1*M2)))</f>
        <v>36.575084831142611</v>
      </c>
      <c r="N6" s="9">
        <f>M6*$L$3</f>
        <v>22859.428019464132</v>
      </c>
      <c r="O6" s="9">
        <f>N6-241818</f>
        <v>-218958.57198053587</v>
      </c>
    </row>
    <row r="7" spans="1:15" x14ac:dyDescent="0.35">
      <c r="B7" s="2" t="s">
        <v>17</v>
      </c>
      <c r="C7" s="8">
        <f>8.314*(3.249+(C3*0.000422)+(((4*C3*C3)-(C1*C2)/3)*0)+(8300/(C1*C2)))</f>
        <v>29.26007099102333</v>
      </c>
      <c r="D7" s="9">
        <f t="shared" ref="D7:D11" si="0">C7*$B$3</f>
        <v>15361.537270287248</v>
      </c>
      <c r="E7" s="9">
        <f>D7</f>
        <v>15361.537270287248</v>
      </c>
      <c r="G7" s="2" t="s">
        <v>17</v>
      </c>
      <c r="H7" s="8">
        <f>8.314*(3.249+(H3*0.000422)+(((4*H3*H3)-(H1*H2)/3)*0)+(8300/(H1*H2)))</f>
        <v>29.331668785122798</v>
      </c>
      <c r="I7" s="9">
        <f t="shared" ref="I7:I11" si="1">H7*$G$3</f>
        <v>16865.709551445609</v>
      </c>
      <c r="J7" s="9">
        <f>I7</f>
        <v>16865.709551445609</v>
      </c>
      <c r="L7" s="2" t="s">
        <v>17</v>
      </c>
      <c r="M7" s="8">
        <f>8.314*(3.249+(M3*0.000422)+(((4*M3*M3)-(M1*M2)/3)*0)+(8300/(M1*M2)))</f>
        <v>29.405012506188733</v>
      </c>
      <c r="N7" s="9">
        <f t="shared" ref="N7:N11" si="2">M7*$L$3</f>
        <v>18378.132816367957</v>
      </c>
      <c r="O7" s="9">
        <f>N7</f>
        <v>18378.132816367957</v>
      </c>
    </row>
    <row r="8" spans="1:15" x14ac:dyDescent="0.35">
      <c r="B8" s="2" t="s">
        <v>18</v>
      </c>
      <c r="C8" s="8">
        <f>8.314*(3.376+(C3*0.000557)+(((4*C3*C3)-(C1*C2)/3)*0)-(3100/(C1*C2)))</f>
        <v>30.55859372697924</v>
      </c>
      <c r="D8" s="9">
        <f t="shared" si="0"/>
        <v>16043.261706664101</v>
      </c>
      <c r="E8" s="9">
        <f>D8-110525</f>
        <v>-94481.738293335904</v>
      </c>
      <c r="G8" s="2" t="s">
        <v>18</v>
      </c>
      <c r="H8" s="8">
        <f>8.314*(3.376+(H3*0.000557)+(((4*H3*H3)-(H1*H2)/3)*0)-(3100/(H1*H2)))</f>
        <v>30.680384997255342</v>
      </c>
      <c r="I8" s="9">
        <f t="shared" si="1"/>
        <v>17641.22137342182</v>
      </c>
      <c r="J8" s="9">
        <f>I8-110525</f>
        <v>-92883.778626578176</v>
      </c>
      <c r="L8" s="2" t="s">
        <v>18</v>
      </c>
      <c r="M8" s="8">
        <f>8.314*(3.376+(M3*0.000557)+(((4*M3*M3)-(M1*M2)/3)*0)-(3100/(M1*M2)))</f>
        <v>30.801524174327099</v>
      </c>
      <c r="N8" s="9">
        <f t="shared" si="2"/>
        <v>19250.952608954438</v>
      </c>
      <c r="O8" s="9">
        <f>N8-110525</f>
        <v>-91274.047391045562</v>
      </c>
    </row>
    <row r="9" spans="1:15" x14ac:dyDescent="0.35">
      <c r="B9" s="2" t="s">
        <v>19</v>
      </c>
      <c r="C9" s="8">
        <f>8.314*(5.457+(C3*0.001047)+(((4*C3*C3)-(C1*C2)/3)*0)-(115700/(C1*C2)))</f>
        <v>46.326337035192843</v>
      </c>
      <c r="D9" s="9">
        <f t="shared" si="0"/>
        <v>24321.326943476244</v>
      </c>
      <c r="E9" s="9">
        <f>D9-393509</f>
        <v>-369187.67305652378</v>
      </c>
      <c r="G9" s="2" t="s">
        <v>19</v>
      </c>
      <c r="H9" s="8">
        <f>8.314*(5.457+(H3*0.001047)+(((4*H3*H3)-(H1*H2)/3)*0)-(115700/(H1*H2)))</f>
        <v>46.76859389033644</v>
      </c>
      <c r="I9" s="9">
        <f t="shared" si="1"/>
        <v>26891.941486943451</v>
      </c>
      <c r="J9" s="9">
        <f>I9-393509</f>
        <v>-366617.05851305655</v>
      </c>
      <c r="L9" s="2" t="s">
        <v>19</v>
      </c>
      <c r="M9" s="8">
        <f>8.314*(5.457+(M3*0.001047)+(((4*M3*M3)-(M1*M2)/3)*0)-(115700/(M1*M2)))</f>
        <v>47.186512944272707</v>
      </c>
      <c r="N9" s="9">
        <f t="shared" si="2"/>
        <v>29491.570590170442</v>
      </c>
      <c r="O9" s="9">
        <f>N9-393509</f>
        <v>-364017.42940982955</v>
      </c>
    </row>
    <row r="10" spans="1:15" x14ac:dyDescent="0.35">
      <c r="B10" s="2" t="s">
        <v>20</v>
      </c>
      <c r="C10" s="8">
        <f>8.314*(3.28+(C3*0.000593)+(((4*C3*C3)-(C1*C2)/3)*0)+(4000/(C1*C2)))</f>
        <v>30.168896417155821</v>
      </c>
      <c r="D10" s="9">
        <f t="shared" si="0"/>
        <v>15838.670619006805</v>
      </c>
      <c r="E10" s="9">
        <f>D10</f>
        <v>15838.670619006805</v>
      </c>
      <c r="G10" s="2" t="s">
        <v>20</v>
      </c>
      <c r="H10" s="8">
        <f>8.314*(3.28+(H3*0.000593)+(((4*H3*H3)-(H1*H2)/3)*0)+(4000/(H1*H2)))</f>
        <v>30.284385247444721</v>
      </c>
      <c r="I10" s="9">
        <f t="shared" si="1"/>
        <v>17413.521517280715</v>
      </c>
      <c r="J10" s="9">
        <f>I10</f>
        <v>17413.521517280715</v>
      </c>
      <c r="L10" s="2" t="s">
        <v>20</v>
      </c>
      <c r="M10" s="8">
        <f>8.314*(3.28+(M3*0.000593)+(((4*M3*M3)-(M1*M2)/3)*0)+(4000/(M1*M2)))</f>
        <v>30.400715488319868</v>
      </c>
      <c r="N10" s="9">
        <f t="shared" si="2"/>
        <v>19000.447180199917</v>
      </c>
      <c r="O10" s="9">
        <f>N10</f>
        <v>19000.447180199917</v>
      </c>
    </row>
    <row r="11" spans="1:15" x14ac:dyDescent="0.35">
      <c r="B11" s="2" t="s">
        <v>21</v>
      </c>
      <c r="C11" s="8">
        <f>8.314*(1.702+(C3*0.009081)-((((4*C3*C3)-(C1*C2))/3)*0.000002164)+(0/(C1*C2)))</f>
        <v>50.402405702016004</v>
      </c>
      <c r="D11" s="9">
        <f t="shared" si="0"/>
        <v>26461.262993558401</v>
      </c>
      <c r="E11" s="9">
        <f>D11-74520</f>
        <v>-48058.737006441603</v>
      </c>
      <c r="G11" s="2" t="s">
        <v>21</v>
      </c>
      <c r="H11" s="8">
        <f>8.314*(1.702+(H3*0.009081)-((((4*H3*H3)-(H1*H2))/3)*0.000002164)+(0/(H1*H2)))</f>
        <v>51.69197416828267</v>
      </c>
      <c r="I11" s="9">
        <f t="shared" si="1"/>
        <v>29722.885146762535</v>
      </c>
      <c r="J11" s="9">
        <f>I11-74520</f>
        <v>-44797.114853237465</v>
      </c>
      <c r="L11" s="2" t="s">
        <v>21</v>
      </c>
      <c r="M11" s="8">
        <f>8.314*(1.702+(M3*0.009081)-((((4*M3*M3)-(M1*M2))/3)*0.000002164)+(0/(M1*M2)))</f>
        <v>52.951556807882667</v>
      </c>
      <c r="N11" s="9">
        <f t="shared" si="2"/>
        <v>33094.723004926665</v>
      </c>
      <c r="O11" s="9">
        <f>N11-74520</f>
        <v>-41425.276995073335</v>
      </c>
    </row>
    <row r="13" spans="1:15" x14ac:dyDescent="0.35">
      <c r="A13" s="10" t="s">
        <v>11</v>
      </c>
      <c r="B13" s="10">
        <v>25</v>
      </c>
      <c r="C13" s="10">
        <f>B13+273</f>
        <v>298</v>
      </c>
      <c r="F13" s="10" t="s">
        <v>11</v>
      </c>
      <c r="G13" s="10">
        <v>25</v>
      </c>
      <c r="H13" s="10">
        <f>G13+273</f>
        <v>298</v>
      </c>
    </row>
    <row r="14" spans="1:15" x14ac:dyDescent="0.35">
      <c r="A14" s="10" t="s">
        <v>12</v>
      </c>
      <c r="B14" s="10">
        <v>700</v>
      </c>
      <c r="C14" s="10">
        <f>B14+273</f>
        <v>973</v>
      </c>
      <c r="F14" s="10" t="s">
        <v>12</v>
      </c>
      <c r="G14" s="10">
        <v>750</v>
      </c>
      <c r="H14" s="10">
        <f>G14+273</f>
        <v>1023</v>
      </c>
    </row>
    <row r="15" spans="1:15" x14ac:dyDescent="0.35">
      <c r="A15" s="11" t="s">
        <v>13</v>
      </c>
      <c r="B15" s="11">
        <f>B14-B13</f>
        <v>675</v>
      </c>
      <c r="C15" s="11">
        <f>(C14+C13)/2</f>
        <v>635.5</v>
      </c>
      <c r="F15" s="11" t="s">
        <v>13</v>
      </c>
      <c r="G15" s="11">
        <f>G14-G13</f>
        <v>725</v>
      </c>
      <c r="H15" s="11">
        <f>(H14+H13)/2</f>
        <v>660.5</v>
      </c>
    </row>
    <row r="17" spans="2:12" x14ac:dyDescent="0.35">
      <c r="C17" s="1" t="s">
        <v>14</v>
      </c>
      <c r="D17" s="1" t="s">
        <v>15</v>
      </c>
      <c r="E17" s="1" t="s">
        <v>22</v>
      </c>
      <c r="H17" s="1" t="s">
        <v>14</v>
      </c>
      <c r="I17" s="1" t="s">
        <v>15</v>
      </c>
      <c r="J17" s="1" t="s">
        <v>22</v>
      </c>
    </row>
    <row r="18" spans="2:12" x14ac:dyDescent="0.35">
      <c r="B18" s="2" t="s">
        <v>16</v>
      </c>
      <c r="C18" s="8">
        <f>8.314*(3.47+(C15*0.00145)+(((4*C15*C15)-(C13*C14)/3)*0)+(12100/(C13*C14)))</f>
        <v>36.857672666130142</v>
      </c>
      <c r="D18" s="9">
        <f>C18*$B$15</f>
        <v>24878.929049637845</v>
      </c>
      <c r="E18" s="9">
        <f>D18-241818</f>
        <v>-216939.07095036216</v>
      </c>
      <c r="G18" s="2" t="s">
        <v>16</v>
      </c>
      <c r="H18" s="8">
        <f>8.314*(3.47+(H15*0.00145)+(((4*H15*H15)-(H13*H14)/3)*0)+(12100/(H13*H14)))</f>
        <v>37.142097711773843</v>
      </c>
      <c r="I18" s="9">
        <f>H18*$G$15</f>
        <v>26928.020841036036</v>
      </c>
      <c r="J18" s="9">
        <f>I18-241818</f>
        <v>-214889.97915896395</v>
      </c>
      <c r="K18" s="12" t="s">
        <v>23</v>
      </c>
      <c r="L18" s="9">
        <f>J19-J18-(1.88*J22)</f>
        <v>194561.95726956642</v>
      </c>
    </row>
    <row r="19" spans="2:12" x14ac:dyDescent="0.35">
      <c r="B19" s="2" t="s">
        <v>17</v>
      </c>
      <c r="C19" s="8">
        <f>8.314*(3.249+(C15*0.000422)+(((4*C15*C15)-(C13*C14)/3)*0)+(8300/(C13*C14)))</f>
        <v>29.47983299795704</v>
      </c>
      <c r="D19" s="9">
        <f t="shared" ref="D19:D23" si="3">C19*$B$15</f>
        <v>19898.887273621003</v>
      </c>
      <c r="E19" s="9">
        <f>D19</f>
        <v>19898.887273621003</v>
      </c>
      <c r="G19" s="2" t="s">
        <v>17</v>
      </c>
      <c r="H19" s="8">
        <f>8.314*(3.249+(H15*0.000422)+(((4*H15*H15)-(H13*H14)/3)*0)+(8300/(H13*H14)))</f>
        <v>29.555913725134118</v>
      </c>
      <c r="I19" s="9">
        <f t="shared" ref="I19:I23" si="4">H19*$G$15</f>
        <v>21428.037450722237</v>
      </c>
      <c r="J19" s="9">
        <f>I19</f>
        <v>21428.037450722237</v>
      </c>
      <c r="K19" s="12" t="s">
        <v>24</v>
      </c>
      <c r="L19" s="7">
        <f>J20+2*J18-J23+5.64*J22</f>
        <v>-358162.21882424771</v>
      </c>
    </row>
    <row r="20" spans="2:12" x14ac:dyDescent="0.35">
      <c r="B20" s="2" t="s">
        <v>18</v>
      </c>
      <c r="C20" s="8">
        <f>8.314*(3.376+(C15*0.000557)+(((4*C15*C15)-(C13*C14)/3)*0)-(3100/(C13*C14)))</f>
        <v>30.922111786437732</v>
      </c>
      <c r="D20" s="9">
        <f t="shared" si="3"/>
        <v>20872.42545584547</v>
      </c>
      <c r="E20" s="9">
        <f>D20-110525</f>
        <v>-89652.57454415453</v>
      </c>
      <c r="G20" s="2" t="s">
        <v>18</v>
      </c>
      <c r="H20" s="8">
        <f>8.314*(3.376+(H15*0.000557)+(((4*H15*H15)-(H13*H14)/3)*0)-(3100/(H13*H14)))</f>
        <v>31.042228708214967</v>
      </c>
      <c r="I20" s="9">
        <f t="shared" si="4"/>
        <v>22505.61581345585</v>
      </c>
      <c r="J20" s="9">
        <f>I20-110525</f>
        <v>-88019.38418654415</v>
      </c>
      <c r="K20" s="12" t="s">
        <v>0</v>
      </c>
      <c r="L20" s="7">
        <f>J21+2*J18-J23+7.52*J22</f>
        <v>-587122.15658400243</v>
      </c>
    </row>
    <row r="21" spans="2:12" x14ac:dyDescent="0.35">
      <c r="B21" s="2" t="s">
        <v>19</v>
      </c>
      <c r="C21" s="8">
        <f>8.314*(5.457+(C15*0.001047)+(((4*C15*C15)-(C13*C14)/3)*0)-(115700/(C13*C14)))</f>
        <v>47.583846170466309</v>
      </c>
      <c r="D21" s="9">
        <f t="shared" si="3"/>
        <v>32119.096165064759</v>
      </c>
      <c r="E21" s="9">
        <f>D21-393509</f>
        <v>-361389.90383493522</v>
      </c>
      <c r="G21" s="2" t="s">
        <v>19</v>
      </c>
      <c r="H21" s="8">
        <f>8.314*(5.457+(H15*0.001047)+(((4*H15*H15)-(H13*H14)/3)*0)-(115700/(H13*H14)))</f>
        <v>47.963612018732853</v>
      </c>
      <c r="I21" s="9">
        <f t="shared" si="4"/>
        <v>34773.618713581316</v>
      </c>
      <c r="J21" s="9">
        <f>I21-393509</f>
        <v>-358735.38128641871</v>
      </c>
      <c r="K21" s="12" t="s">
        <v>25</v>
      </c>
      <c r="L21" s="7">
        <f>J18+241818+285830</f>
        <v>312758.02084103605</v>
      </c>
    </row>
    <row r="22" spans="2:12" x14ac:dyDescent="0.35">
      <c r="B22" s="2" t="s">
        <v>20</v>
      </c>
      <c r="C22" s="8">
        <f>8.314*(3.28+(C15*0.000593)+(((4*C15*C15)-(C13*C14)/3)*0)+(4000/(C13*C14)))</f>
        <v>30.517757425919054</v>
      </c>
      <c r="D22" s="9">
        <f t="shared" si="3"/>
        <v>20599.48626249536</v>
      </c>
      <c r="E22" s="9">
        <f>D22</f>
        <v>20599.48626249536</v>
      </c>
      <c r="G22" s="2" t="s">
        <v>20</v>
      </c>
      <c r="H22" s="8">
        <f>8.314*(3.28+(H15*0.000593)+(((4*H15*H15)-(H13*H14)/3)*0)+(4000/(H13*H14)))</f>
        <v>30.635406705883909</v>
      </c>
      <c r="I22" s="9">
        <f t="shared" si="4"/>
        <v>22210.669861765833</v>
      </c>
      <c r="J22" s="9">
        <f>I22</f>
        <v>22210.669861765833</v>
      </c>
      <c r="K22" s="12" t="s">
        <v>26</v>
      </c>
      <c r="L22" s="7">
        <f>J23-1.28*J18-3.6472*J22-402133</f>
        <v>-242449.52745622359</v>
      </c>
    </row>
    <row r="23" spans="2:12" x14ac:dyDescent="0.35">
      <c r="B23" s="2" t="s">
        <v>21</v>
      </c>
      <c r="C23" s="8">
        <f>8.314*(1.702+(C15*0.009081)-((((4*C15*C15)-(C13*C14))/3)*0.000002164)+(0/(C13*C14)))</f>
        <v>54.181153620816005</v>
      </c>
      <c r="D23" s="9">
        <f t="shared" si="3"/>
        <v>36572.278694050801</v>
      </c>
      <c r="E23" s="9">
        <f>D23-74520</f>
        <v>-37947.721305949199</v>
      </c>
      <c r="G23" s="2" t="s">
        <v>21</v>
      </c>
      <c r="H23" s="8">
        <f>8.314*(1.702+(H15*0.009081)-((((4*H15*H15)-(H13*H14))/3)*0.000002164)+(0/(H13*H14)))</f>
        <v>55.380764607082668</v>
      </c>
      <c r="I23" s="9">
        <f t="shared" si="4"/>
        <v>40151.054340134935</v>
      </c>
      <c r="J23" s="9">
        <f>I23-74520</f>
        <v>-34368.945659865065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 - q - m</vt:lpstr>
      <vt:lpstr>K1 - 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2018-09-22T13:41:45Z</dcterms:created>
  <dcterms:modified xsi:type="dcterms:W3CDTF">2020-03-29T16:10:02Z</dcterms:modified>
</cp:coreProperties>
</file>