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2S1\Mathematical and Statiscal Software\A1_formal\"/>
    </mc:Choice>
  </mc:AlternateContent>
  <xr:revisionPtr revIDLastSave="0" documentId="13_ncr:1_{67B2F4AD-F71C-472A-A6A6-43785B1B9919}" xr6:coauthVersionLast="47" xr6:coauthVersionMax="47" xr10:uidLastSave="{00000000-0000-0000-0000-000000000000}"/>
  <bookViews>
    <workbookView xWindow="-108" yWindow="-108" windowWidth="23256" windowHeight="12576" xr2:uid="{11FD1749-4454-4F1A-A398-42C258BEA707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1" l="1"/>
  <c r="I25" i="1" s="1"/>
  <c r="D15" i="1"/>
  <c r="B33" i="1" s="1"/>
  <c r="F13" i="1"/>
  <c r="K21" i="1" s="1"/>
  <c r="F18" i="1" l="1"/>
  <c r="J25" i="1"/>
  <c r="L25" i="1"/>
  <c r="I26" i="1"/>
  <c r="B26" i="1"/>
  <c r="G33" i="1"/>
  <c r="G23" i="1"/>
  <c r="G25" i="1" s="1"/>
  <c r="N25" i="1" l="1"/>
  <c r="L26" i="1"/>
  <c r="J26" i="1"/>
  <c r="I27" i="1"/>
  <c r="A13" i="2"/>
  <c r="A14" i="2" s="1"/>
  <c r="A15" i="2" s="1"/>
  <c r="N26" i="1" l="1"/>
  <c r="J27" i="1"/>
  <c r="L27" i="1"/>
  <c r="I28" i="1"/>
  <c r="D25" i="1"/>
  <c r="N27" i="1" l="1"/>
  <c r="L28" i="1"/>
  <c r="J28" i="1"/>
  <c r="N28" i="1"/>
  <c r="I29" i="1"/>
  <c r="J29" i="1" l="1"/>
  <c r="L29" i="1"/>
  <c r="N29" i="1"/>
  <c r="N32" i="1" s="1"/>
  <c r="E25" i="1"/>
  <c r="E23" i="1" l="1" a="1"/>
  <c r="E23" i="1" s="1"/>
  <c r="D23" i="1" s="1"/>
  <c r="D24" i="1" l="1"/>
  <c r="G24" i="1"/>
  <c r="G31" i="1" s="1"/>
  <c r="D26" i="1" l="1"/>
  <c r="D30" i="1" s="1"/>
  <c r="G26" i="1"/>
  <c r="G30" i="1" s="1"/>
  <c r="E24" i="1"/>
  <c r="E30" i="1" s="1"/>
  <c r="G32" i="1"/>
  <c r="G36" i="1" l="1"/>
  <c r="D16" i="1" s="1"/>
  <c r="D18" i="1" s="1"/>
  <c r="D17" i="1" s="1"/>
  <c r="E26" i="1"/>
  <c r="B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dreamsummit</author>
  </authors>
  <commentList>
    <comment ref="B25" authorId="0" shapeId="0" xr:uid="{ACB6BF85-518E-4853-85E1-356CDD142670}">
      <text>
        <r>
          <rPr>
            <b/>
            <sz val="12"/>
            <color indexed="9"/>
            <rFont val="Calibri Light"/>
            <family val="2"/>
          </rPr>
          <t>ICPT rebate RM0.02/kWh is given for monthly kWh consumption for a period of 6 months (1 July 2021 - 31 December 2021)</t>
        </r>
      </text>
    </comment>
    <comment ref="B26" authorId="0" shapeId="0" xr:uid="{781F30C3-2C3D-4953-B82F-056D0779AEC9}">
      <text>
        <r>
          <rPr>
            <b/>
            <sz val="12"/>
            <color indexed="9"/>
            <rFont val="Calibri Light"/>
            <family val="2"/>
          </rPr>
          <t>Recovery Discount for Domestic (Tariff A) is based on the total monthly electricity consumption for the period of 3 months from 1 July 2021 to 30 September 2021:
 1   -200kWh    40% discount
201-300kWh    15% discount
301-600kWh    10% discount
601-900kWh      5% discount</t>
        </r>
      </text>
    </comment>
    <comment ref="B31" authorId="0" shapeId="0" xr:uid="{345F0662-24C0-497F-80CC-2C87DD091DE6}">
      <text>
        <r>
          <rPr>
            <b/>
            <sz val="12"/>
            <color indexed="9"/>
            <rFont val="Calibri Light"/>
            <family val="2"/>
            <scheme val="major"/>
          </rPr>
          <t>Service Tax(ST) 6% is given for Domestic consumption exceeding 600kWh</t>
        </r>
      </text>
    </comment>
    <comment ref="B32" authorId="0" shapeId="0" xr:uid="{759460B7-412A-4704-9C88-1E53055EFC8D}">
      <text>
        <r>
          <rPr>
            <b/>
            <sz val="12"/>
            <color indexed="9"/>
            <rFont val="Calibri Light"/>
            <family val="2"/>
            <scheme val="major"/>
          </rPr>
          <t xml:space="preserve">KWTBB 1.6% is given for Domestic consumption exceeding 300kWh
</t>
        </r>
      </text>
    </comment>
    <comment ref="B33" authorId="0" shapeId="0" xr:uid="{93F96FD7-5607-466D-AD8F-642F2BFD483A}">
      <text>
        <r>
          <rPr>
            <b/>
            <sz val="12"/>
            <color indexed="9"/>
            <rFont val="Calibri Light"/>
            <family val="2"/>
            <scheme val="major"/>
          </rPr>
          <t xml:space="preserve">Penalty charge for late payment (1%) is given when exceed 30 days of the outstanding amount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<sst xmlns="http://schemas.openxmlformats.org/spreadsheetml/2006/main" count="73" uniqueCount="59">
  <si>
    <t>Total Bill</t>
  </si>
  <si>
    <t>Current Charges</t>
  </si>
  <si>
    <t>Amount (RM)</t>
  </si>
  <si>
    <t>Previous Bill</t>
  </si>
  <si>
    <t>Date</t>
  </si>
  <si>
    <t>Due Date</t>
  </si>
  <si>
    <t>Bill Date</t>
  </si>
  <si>
    <t>Outstanding Charges</t>
  </si>
  <si>
    <t>Last Payment</t>
  </si>
  <si>
    <t>Tariff</t>
  </si>
  <si>
    <t>A: Domestic</t>
  </si>
  <si>
    <t>:</t>
  </si>
  <si>
    <t>Tariff Block(kWh)</t>
  </si>
  <si>
    <t>Rates(RM)</t>
  </si>
  <si>
    <t>Amount(RM)</t>
  </si>
  <si>
    <t>Total</t>
  </si>
  <si>
    <t>TARIFF CATEGORY</t>
  </si>
  <si>
    <t>UNIT</t>
  </si>
  <si>
    <t>CURRENT RATE (1 JAN 2018)</t>
  </si>
  <si>
    <t>Tariff A - Domestic Tariff</t>
  </si>
  <si>
    <t>For the first 200 kWh (1 - 200 kWh) per month</t>
  </si>
  <si>
    <t>sen/kWh</t>
  </si>
  <si>
    <t>For the next 100 kWh (201 - 300 kWh) per month</t>
  </si>
  <si>
    <t>For the next 300 kWh (301 - 600 kWh) per month</t>
  </si>
  <si>
    <t>For the next 300 kWh (601 - 900 kWh) per month</t>
  </si>
  <si>
    <t>For the next kWh (901 kWh onwards) per month</t>
  </si>
  <si>
    <t>The minimum monthly charge is RM3.00</t>
  </si>
  <si>
    <t>200 (200 x 1.00000)</t>
  </si>
  <si>
    <t>300 (300 x 1.00000)</t>
  </si>
  <si>
    <t>100 (100 x 1.00000)</t>
  </si>
  <si>
    <t>Column1</t>
  </si>
  <si>
    <t>Column2</t>
  </si>
  <si>
    <t>Rate</t>
  </si>
  <si>
    <t xml:space="preserve">Prorated Block </t>
  </si>
  <si>
    <t>Description</t>
  </si>
  <si>
    <t>kWh</t>
  </si>
  <si>
    <t>RM</t>
  </si>
  <si>
    <t>ST Charged</t>
  </si>
  <si>
    <t>No ST Charged</t>
  </si>
  <si>
    <t>kWh Used</t>
  </si>
  <si>
    <t>Used</t>
  </si>
  <si>
    <t>Consumption of Month</t>
  </si>
  <si>
    <t>Service Tax (6%)</t>
  </si>
  <si>
    <t>KWTBB (1.6%)</t>
  </si>
  <si>
    <t>How it is calculated?</t>
  </si>
  <si>
    <t>The late payment penalty charge is calculated based on 1% (simple interest) of the outstanding bill amount, multiplied by number of days outstanding.</t>
  </si>
  <si>
    <t>[Outstanding Amount] x 1% x No. of Days Outstanding / 30 days</t>
  </si>
  <si>
    <t>For example: Total billed amount: RM1,000.00 Bill due date: 31 May 2019 Date of payment: 10 June 2019</t>
  </si>
  <si>
    <r>
      <t>Days outstanding: 10 days Late payment penalty charge incurred: RM1,000 x 1% x 10/30 = </t>
    </r>
    <r>
      <rPr>
        <b/>
        <sz val="8"/>
        <color rgb="FF000000"/>
        <rFont val="Arial"/>
        <family val="2"/>
      </rPr>
      <t>RM3.33</t>
    </r>
  </si>
  <si>
    <t>The following components are excluded from the calculation of late payment penalty charge:</t>
  </si>
  <si>
    <t>Total Consumption (kWh):</t>
  </si>
  <si>
    <t>Rounding</t>
  </si>
  <si>
    <t>Column3</t>
  </si>
  <si>
    <t>ICPT rebate(RM0.02/kWh)</t>
  </si>
  <si>
    <t>Prorated Block(kWh)</t>
  </si>
  <si>
    <t xml:space="preserve"> </t>
  </si>
  <si>
    <t>Today Date</t>
  </si>
  <si>
    <t>**Instruction: Please fill in the blue color cells</t>
  </si>
  <si>
    <t xml:space="preserve">Billing Period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</si>
</sst>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55EA8"/>
      <name val="Din_bold"/>
    </font>
    <font>
      <sz val="8"/>
      <color rgb="FF000000"/>
      <name val="Arial"/>
      <family val="2"/>
    </font>
    <font>
      <b/>
      <sz val="8"/>
      <color rgb="FF000000"/>
      <name val="Inherit"/>
    </font>
    <font>
      <i/>
      <sz val="8"/>
      <color rgb="FF000000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5DAA"/>
      <name val="Din_1451_std_engschrift"/>
    </font>
    <font>
      <b/>
      <sz val="8"/>
      <color rgb="FF000000"/>
      <name val="Arial"/>
      <family val="2"/>
    </font>
    <font>
      <sz val="11"/>
      <color theme="0"/>
      <name val="Berlin Sans FB Demi"/>
      <family val="2"/>
    </font>
    <font>
      <sz val="11"/>
      <color theme="1"/>
      <name val="Berlin Sans FB"/>
      <family val="2"/>
    </font>
    <font>
      <sz val="16"/>
      <color theme="1"/>
      <name val="Berlin Sans FB"/>
      <family val="2"/>
    </font>
    <font>
      <sz val="22"/>
      <name val="Blackadder ITC"/>
      <family val="5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Berlin Sans FB"/>
      <family val="2"/>
    </font>
    <font>
      <b/>
      <sz val="12"/>
      <color indexed="9"/>
      <name val="Calibri Light"/>
      <family val="2"/>
    </font>
    <font>
      <b/>
      <sz val="12"/>
      <color indexed="9"/>
      <name val="Calibri Light"/>
      <family val="2"/>
      <scheme val="major"/>
    </font>
    <font>
      <sz val="11"/>
      <name val="Berlin Sans FB"/>
      <family val="2"/>
    </font>
    <font>
      <b/>
      <sz val="16"/>
      <name val="Calibri"/>
      <family val="2"/>
      <scheme val="minor"/>
    </font>
    <font>
      <sz val="16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DF01"/>
        <bgColor indexed="64"/>
      </patternFill>
    </fill>
    <fill>
      <patternFill patternType="solid">
        <fgColor rgb="FFFFFAC2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ADF2C"/>
      </bottom>
      <diagonal/>
    </border>
    <border>
      <left/>
      <right/>
      <top style="medium">
        <color rgb="FFFADF2C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7" xfId="0" applyBorder="1"/>
    <xf numFmtId="0" fontId="2" fillId="3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 applyAlignment="1">
      <alignment vertical="center" wrapText="1"/>
    </xf>
    <xf numFmtId="2" fontId="1" fillId="0" borderId="0" xfId="0" applyNumberFormat="1" applyFont="1" applyBorder="1"/>
    <xf numFmtId="0" fontId="3" fillId="0" borderId="0" xfId="0" applyFont="1" applyAlignment="1">
      <alignment vertical="center"/>
    </xf>
    <xf numFmtId="164" fontId="1" fillId="0" borderId="11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0" applyFont="1"/>
    <xf numFmtId="0" fontId="11" fillId="0" borderId="0" xfId="0" applyFont="1" applyFill="1" applyBorder="1" applyAlignment="1"/>
    <xf numFmtId="0" fontId="11" fillId="0" borderId="0" xfId="0" applyFont="1" applyFill="1"/>
    <xf numFmtId="0" fontId="11" fillId="0" borderId="0" xfId="0" applyFont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/>
    <xf numFmtId="0" fontId="0" fillId="5" borderId="0" xfId="0" applyFill="1" applyBorder="1"/>
    <xf numFmtId="0" fontId="11" fillId="0" borderId="12" xfId="0" applyFont="1" applyBorder="1" applyAlignment="1">
      <alignment horizontal="center" vertical="center"/>
    </xf>
    <xf numFmtId="2" fontId="12" fillId="0" borderId="2" xfId="0" applyNumberFormat="1" applyFont="1" applyBorder="1"/>
    <xf numFmtId="0" fontId="12" fillId="0" borderId="0" xfId="0" applyFont="1"/>
    <xf numFmtId="0" fontId="14" fillId="0" borderId="0" xfId="0" applyFont="1" applyFill="1"/>
    <xf numFmtId="2" fontId="11" fillId="0" borderId="0" xfId="0" applyNumberFormat="1" applyFont="1"/>
    <xf numFmtId="2" fontId="0" fillId="0" borderId="0" xfId="0" applyNumberFormat="1" applyBorder="1"/>
    <xf numFmtId="2" fontId="0" fillId="0" borderId="7" xfId="0" applyNumberFormat="1" applyBorder="1"/>
    <xf numFmtId="0" fontId="13" fillId="0" borderId="0" xfId="0" applyFont="1" applyFill="1" applyAlignment="1">
      <alignment vertical="center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164" fontId="16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9" fillId="0" borderId="0" xfId="0" applyFont="1" applyFill="1"/>
    <xf numFmtId="0" fontId="15" fillId="0" borderId="0" xfId="0" applyFont="1" applyFill="1"/>
    <xf numFmtId="2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14" fontId="0" fillId="0" borderId="0" xfId="0" applyNumberFormat="1"/>
    <xf numFmtId="164" fontId="16" fillId="2" borderId="3" xfId="0" applyNumberFormat="1" applyFont="1" applyFill="1" applyBorder="1" applyAlignment="1" applyProtection="1">
      <alignment horizontal="center" vertical="center"/>
      <protection locked="0"/>
    </xf>
    <xf numFmtId="164" fontId="16" fillId="2" borderId="4" xfId="0" applyNumberFormat="1" applyFont="1" applyFill="1" applyBorder="1" applyAlignment="1" applyProtection="1">
      <alignment horizontal="center" vertical="center"/>
      <protection locked="0"/>
    </xf>
    <xf numFmtId="0" fontId="10" fillId="5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2" borderId="1" xfId="0" applyNumberFormat="1" applyFont="1" applyFill="1" applyBorder="1" applyAlignment="1" applyProtection="1">
      <alignment horizontal="center" vertical="center"/>
      <protection locked="0"/>
    </xf>
    <xf numFmtId="14" fontId="10" fillId="5" borderId="0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" fontId="21" fillId="0" borderId="2" xfId="0" applyNumberFormat="1" applyFont="1" applyFill="1" applyBorder="1" applyAlignment="1">
      <alignment vertical="center"/>
    </xf>
    <xf numFmtId="0" fontId="11" fillId="0" borderId="7" xfId="0" applyFont="1" applyBorder="1" applyAlignment="1">
      <alignment horizontal="center" vertical="center"/>
    </xf>
  </cellXfs>
  <cellStyles count="1">
    <cellStyle name="Normal" xfId="0" builtinId="0"/>
  </cellStyles>
  <dxfs count="1">
    <dxf>
      <border outline="0">
        <top style="medium">
          <color rgb="FFFADF2C"/>
        </top>
      </border>
    </dxf>
  </dxfs>
  <tableStyles count="0" defaultTableStyle="TableStyleMedium2" defaultPivotStyle="PivotStyleLight16"/>
  <colors>
    <mruColors>
      <color rgb="FFF7C7A7"/>
      <color rgb="FFD663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65BE1-2E1C-48E1-8255-5F87B6BE55CC}" name="Tariff_Rates" displayName="Tariff_Rates" ref="A10:E15" totalsRowShown="0" tableBorderDxfId="0">
  <autoFilter ref="A10:E15" xr:uid="{3D365BE1-2E1C-48E1-8255-5F87B6BE55CC}"/>
  <tableColumns count="5">
    <tableColumn id="1" xr3:uid="{D1CD128A-78A5-4330-8E00-5B6604ECBE09}" name="Column1"/>
    <tableColumn id="2" xr3:uid="{519E12DE-EDF1-495A-9D4D-F51E764B4516}" name="Prorated Block "/>
    <tableColumn id="3" xr3:uid="{6DD5AC3E-BFD2-4049-8183-8063C758DE81}" name="Rate"/>
    <tableColumn id="4" xr3:uid="{A5B09B04-BC54-4961-8CDC-BE35CEE8B64A}" name="Column2"/>
    <tableColumn id="5" xr3:uid="{84CDD3FC-8F00-41F2-B197-0DEAC4370463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72E9-D4A1-4CD2-87F7-8A48A22FC3DE}">
  <sheetPr codeName="Sheet1"/>
  <dimension ref="B1:O77"/>
  <sheetViews>
    <sheetView showGridLines="0" tabSelected="1" zoomScale="98" zoomScaleNormal="98" workbookViewId="0">
      <selection activeCell="J7" sqref="J7"/>
    </sheetView>
  </sheetViews>
  <sheetFormatPr defaultRowHeight="14.4"/>
  <cols>
    <col min="1" max="1" width="4" customWidth="1"/>
    <col min="2" max="2" width="33.109375" customWidth="1"/>
    <col min="3" max="3" width="12" bestFit="1" customWidth="1"/>
    <col min="4" max="4" width="18.5546875" customWidth="1"/>
    <col min="5" max="5" width="13.44140625" customWidth="1"/>
    <col min="6" max="6" width="11.77734375" customWidth="1"/>
    <col min="7" max="7" width="16.21875" customWidth="1"/>
    <col min="8" max="8" width="3.21875" customWidth="1"/>
    <col min="9" max="9" width="15.88671875" customWidth="1"/>
    <col min="10" max="10" width="19.44140625" bestFit="1" customWidth="1"/>
    <col min="11" max="11" width="11.5546875" customWidth="1"/>
    <col min="12" max="12" width="23.6640625" customWidth="1"/>
    <col min="13" max="13" width="11.21875" bestFit="1" customWidth="1"/>
    <col min="14" max="14" width="12.109375" customWidth="1"/>
  </cols>
  <sheetData>
    <row r="1" spans="2:9">
      <c r="B1" s="8" t="s">
        <v>57</v>
      </c>
    </row>
    <row r="3" spans="2:9" ht="21.6" customHeight="1">
      <c r="B3" s="16" t="s">
        <v>50</v>
      </c>
      <c r="C3" s="16"/>
      <c r="D3" s="32">
        <v>365</v>
      </c>
      <c r="E3" s="17"/>
      <c r="F3" s="17"/>
      <c r="G3" s="16"/>
    </row>
    <row r="4" spans="2:9" ht="21.6" customHeight="1">
      <c r="B4" s="16"/>
      <c r="C4" s="16"/>
      <c r="D4" s="16"/>
      <c r="E4" s="16"/>
      <c r="F4" s="16"/>
      <c r="G4" s="16"/>
    </row>
    <row r="5" spans="2:9" ht="21.6" customHeight="1">
      <c r="B5" s="16"/>
      <c r="C5" s="16"/>
      <c r="D5" s="42" t="s">
        <v>2</v>
      </c>
      <c r="E5" s="16"/>
      <c r="F5" s="66" t="s">
        <v>4</v>
      </c>
      <c r="G5" s="66"/>
    </row>
    <row r="6" spans="2:9" ht="21.6" customHeight="1">
      <c r="B6" s="16" t="s">
        <v>3</v>
      </c>
      <c r="C6" s="16"/>
      <c r="D6" s="32">
        <v>1120</v>
      </c>
      <c r="E6" s="18"/>
      <c r="F6" s="44">
        <v>44417</v>
      </c>
      <c r="G6" s="45"/>
      <c r="H6" s="12"/>
      <c r="I6" s="43"/>
    </row>
    <row r="7" spans="2:9" ht="21.6" customHeight="1">
      <c r="B7" s="16" t="s">
        <v>8</v>
      </c>
      <c r="C7" s="16"/>
      <c r="D7" s="32">
        <v>30</v>
      </c>
      <c r="E7" s="18"/>
      <c r="F7" s="54">
        <v>44378</v>
      </c>
      <c r="G7" s="54"/>
      <c r="H7" s="14"/>
    </row>
    <row r="8" spans="2:9" ht="21.6" customHeight="1">
      <c r="B8" s="16"/>
      <c r="C8" s="16"/>
      <c r="D8" s="16"/>
      <c r="E8" s="16"/>
      <c r="F8" s="16"/>
      <c r="G8" s="16"/>
    </row>
    <row r="9" spans="2:9" ht="21.6" customHeight="1">
      <c r="B9" s="16" t="s">
        <v>56</v>
      </c>
      <c r="C9" s="16"/>
      <c r="D9" s="33">
        <v>44440</v>
      </c>
      <c r="E9" s="16"/>
      <c r="F9" s="16"/>
      <c r="G9" s="16"/>
    </row>
    <row r="10" spans="2:9" ht="21.6" customHeight="1"/>
    <row r="11" spans="2:9" ht="21.6" customHeight="1"/>
    <row r="12" spans="2:9" ht="21.6" customHeight="1">
      <c r="B12" s="46" t="str">
        <f>"Amount Payable: RM"&amp;TEXT(D18,".00")</f>
        <v>Amount Payable: RM1223.30</v>
      </c>
      <c r="C12" s="46"/>
      <c r="D12" s="46"/>
      <c r="E12" s="46"/>
      <c r="F12" s="46" t="s">
        <v>6</v>
      </c>
      <c r="G12" s="46"/>
    </row>
    <row r="13" spans="2:9" ht="21.6" customHeight="1">
      <c r="B13" s="46"/>
      <c r="C13" s="46"/>
      <c r="D13" s="46"/>
      <c r="E13" s="46"/>
      <c r="F13" s="46" t="str">
        <f>IF($F$6&lt;&gt;"",TEXT(DATE(YEAR($F$6)+0,MONTH($F$6)+1,DAY($F$6)-1),"dd-mmm-yyyy"),"")</f>
        <v>08-Sep-2021</v>
      </c>
      <c r="G13" s="46"/>
    </row>
    <row r="14" spans="2:9" ht="21.6" customHeight="1">
      <c r="D14" s="42" t="s">
        <v>2</v>
      </c>
      <c r="F14" s="51"/>
      <c r="G14" s="51"/>
    </row>
    <row r="15" spans="2:9" ht="21.6" customHeight="1">
      <c r="B15" s="16" t="s">
        <v>7</v>
      </c>
      <c r="D15" s="28">
        <f>IF(OR($F$6="",$F$7="",$D$6="",$D$7=""),"",IF(AND($F$6&lt;$F$7,$D$6&lt;0),$D$6-$D$7,IF(AND($F$6&lt;$F$7,$D$6&lt;$D$7),$D$6-$D$7,IF(AND($F$6&lt;$F$7,$D$6&gt;$D$7),$D$6-$D$7,IF(AND($F$6&lt;$F$7,$D$6=$D$7),$D$6-$D$7,IF($F$6&gt;$F$7,$D$6))))))</f>
        <v>1120</v>
      </c>
      <c r="F15" s="31"/>
      <c r="G15" s="31"/>
    </row>
    <row r="16" spans="2:9" ht="21.6" customHeight="1">
      <c r="B16" s="16" t="s">
        <v>1</v>
      </c>
      <c r="D16" s="28">
        <f>IFERROR($G$36,"")</f>
        <v>103.27666666666666</v>
      </c>
      <c r="F16" s="31"/>
      <c r="G16" s="31"/>
    </row>
    <row r="17" spans="2:15" ht="21.6" customHeight="1">
      <c r="B17" s="37" t="s">
        <v>51</v>
      </c>
      <c r="C17" s="38"/>
      <c r="D17" s="39">
        <f>IFERROR(IF(OR(D18="",D15="",D16=""),"",ROUND(D18,2)-ROUND((D15+D16),2)),"")</f>
        <v>1.999999999998181E-2</v>
      </c>
      <c r="E17" s="38"/>
      <c r="F17" s="46" t="s">
        <v>5</v>
      </c>
      <c r="G17" s="46"/>
    </row>
    <row r="18" spans="2:15" ht="21.6" customHeight="1" thickBot="1">
      <c r="B18" s="40" t="s">
        <v>0</v>
      </c>
      <c r="C18" s="27"/>
      <c r="D18" s="65">
        <f>IFERROR(IF(OR(D16="",D3="",D9="",D6="",D7="",F6="",F7=""),"",MROUND(D16+D15,0.05)),-1*MROUND(ABS(D15+D16),0.05))</f>
        <v>1223.3</v>
      </c>
      <c r="E18" s="41"/>
      <c r="F18" s="46" t="str">
        <f>IF($F$6&lt;&gt;"",TEXT(DATE(YEAR($F$13)+0,MONTH($F$13)+1,DAY($F$13)-1),"dd-mmm-yyyy"),"")</f>
        <v>07-Oct-2021</v>
      </c>
      <c r="G18" s="46"/>
    </row>
    <row r="19" spans="2:15" ht="21.6" customHeight="1" thickTop="1"/>
    <row r="20" spans="2:15" ht="21.6" customHeight="1">
      <c r="I20" s="1"/>
      <c r="J20" s="1"/>
      <c r="L20" s="2"/>
      <c r="M20" s="13"/>
      <c r="N20" s="13"/>
    </row>
    <row r="21" spans="2:15" ht="21.6" customHeight="1">
      <c r="B21" s="46" t="s">
        <v>34</v>
      </c>
      <c r="C21" s="46"/>
      <c r="D21" s="46" t="s">
        <v>38</v>
      </c>
      <c r="E21" s="46" t="s">
        <v>37</v>
      </c>
      <c r="F21" s="46"/>
      <c r="G21" s="46" t="s">
        <v>15</v>
      </c>
      <c r="I21" s="46" t="s">
        <v>58</v>
      </c>
      <c r="J21" s="50" t="s">
        <v>11</v>
      </c>
      <c r="K21" s="55" t="str">
        <f>IFERROR(TEXT($F$6,"dd-mmm-yyyy")&amp;" to "&amp;TEXT($F$13,"dd-mmm-yyyy")&amp;" ("&amp;$F$13-$F$6&amp;" days)","")</f>
        <v>09-Aug-2021 to 08-Sep-2021 (30 days)</v>
      </c>
      <c r="L21" s="55"/>
      <c r="M21" s="20"/>
      <c r="N21" s="20"/>
    </row>
    <row r="22" spans="2:15" ht="21.6" customHeight="1">
      <c r="B22" s="46"/>
      <c r="C22" s="46"/>
      <c r="D22" s="46"/>
      <c r="E22" s="46"/>
      <c r="F22" s="46"/>
      <c r="G22" s="46"/>
      <c r="I22" s="46"/>
      <c r="J22" s="50"/>
      <c r="K22" s="55"/>
      <c r="L22" s="55"/>
      <c r="M22" s="20"/>
      <c r="N22" s="20"/>
    </row>
    <row r="23" spans="2:15" ht="21.6" customHeight="1">
      <c r="B23" s="34" t="s">
        <v>39</v>
      </c>
      <c r="C23" s="16" t="s">
        <v>35</v>
      </c>
      <c r="D23" s="16">
        <f>IFERROR(G23-E23,"")</f>
        <v>300</v>
      </c>
      <c r="E23" s="16" cm="1">
        <f t="array" ref="E23">IFERROR(LOOKUP(2,1/(I25:I29&lt;&gt;""),I25:I29),"")</f>
        <v>65</v>
      </c>
      <c r="F23" s="16"/>
      <c r="G23" s="16">
        <f>IF(OR(J32="",J32=0),"",J32)</f>
        <v>365</v>
      </c>
      <c r="I23" s="21" t="s">
        <v>9</v>
      </c>
      <c r="J23" s="22" t="s">
        <v>11</v>
      </c>
      <c r="K23" s="50" t="s">
        <v>10</v>
      </c>
      <c r="L23" s="50"/>
      <c r="M23" s="23"/>
      <c r="N23" s="23"/>
    </row>
    <row r="24" spans="2:15" ht="21.6" customHeight="1">
      <c r="B24" s="34" t="s">
        <v>40</v>
      </c>
      <c r="C24" s="16" t="s">
        <v>36</v>
      </c>
      <c r="D24" s="16">
        <f>IF(OR(D3="",D9="",D6="",D7="",F6="",F7=""),"",IF(N32=0,3,N32))</f>
        <v>110.53999999999999</v>
      </c>
      <c r="E24" s="16">
        <f>IFERROR(IF(G24-D24=0,0,G24-D24),"")</f>
        <v>0</v>
      </c>
      <c r="F24" s="16"/>
      <c r="G24" s="28">
        <f>IF(OR(D3="",D9="",D6="",D7="",F6="",F7=""),"",IF(N32=0,3,N32))</f>
        <v>110.53999999999999</v>
      </c>
      <c r="I24" s="24" t="s">
        <v>12</v>
      </c>
      <c r="J24" s="48" t="s">
        <v>54</v>
      </c>
      <c r="K24" s="49"/>
      <c r="L24" s="48" t="s">
        <v>13</v>
      </c>
      <c r="M24" s="49"/>
      <c r="N24" s="24" t="s">
        <v>14</v>
      </c>
    </row>
    <row r="25" spans="2:15" ht="21.6" customHeight="1">
      <c r="B25" s="36" t="s">
        <v>53</v>
      </c>
      <c r="C25" s="19">
        <v>0.02</v>
      </c>
      <c r="D25" s="16">
        <f>IF(OR(C25=0,$G$23="",$G$23=0),"",-1*ROUND($G$23*C25,2))</f>
        <v>-7.3</v>
      </c>
      <c r="E25" s="16">
        <f>IFERROR(IF(G25-D25=0,0,G25-D25),"")</f>
        <v>0</v>
      </c>
      <c r="F25" s="16"/>
      <c r="G25" s="28">
        <f>IF(OR(D6="",D7="",F6="",F7="",D3="",D9=""),"",IF(OR(C25=0,$G$23="-"),"",-1*ROUND($G$23*C25,2)))</f>
        <v>-7.3</v>
      </c>
      <c r="I25" s="35">
        <f>IF(OR(J32=0,J32= "",J32="-"),"",IF(J32&lt;=200, J32,VLOOKUP(0,Tariff_Rates[],4,TRUE)))</f>
        <v>200</v>
      </c>
      <c r="J25" s="56" t="str">
        <f>IF(I25="","",IF(J32&gt;=200,VLOOKUP(0,Tariff_Rates[],2,FALSE),J32))</f>
        <v>200 (200 x 1.00000)</v>
      </c>
      <c r="K25" s="56"/>
      <c r="L25" s="56">
        <f>IF(I25="","",VLOOKUP(0,Tariff_Rates[],3,TRUE))</f>
        <v>0.218</v>
      </c>
      <c r="M25" s="56"/>
      <c r="N25" s="28">
        <f>IF(I25="","",IFERROR(J25*L25,VLOOKUP(0,Tariff_Rates[],4,FALSE)*L25))</f>
        <v>43.6</v>
      </c>
    </row>
    <row r="26" spans="2:15" ht="21.6" customHeight="1">
      <c r="B26" s="34" t="str">
        <f>IF(OR($J$32="",$J$32="-",F13=""),"",IF(AND(OR(MONTH(F13)=7,MONTH(F13)=8,MONTH(F13)=9),YEAR(F13)=2021),VLOOKUP($J$32,Tariff_Rates[],5,TRUE)*100&amp;"% recovery discount",""))</f>
        <v>10% recovery discount</v>
      </c>
      <c r="C26" s="16"/>
      <c r="D26" s="16">
        <f>IF(OR($G$24="-",$G$24=0,F13=""),"",IF(AND(OR(MONTH(F13)=7,MONTH(F13)=8,MONTH(F13)=9),YEAR(F13)=2021),-1*MROUND(($G$24+G25)*VLOOKUP(J32,Tariff_Rates[],5,TRUE),0.01),""))</f>
        <v>-10.32</v>
      </c>
      <c r="E26" s="16">
        <f>IFERROR(IF(G26-D26=0,0,G26-D26),"")</f>
        <v>0</v>
      </c>
      <c r="F26" s="16"/>
      <c r="G26" s="28">
        <f>IF(OR($G$24="-",$G$24=0,F13=""),"",IF(AND(OR(MONTH(F13)=7,MONTH(F13)=8,MONTH(F13)=9),YEAR(F13)=2021),-1*MROUND(($G$24+G25)*VLOOKUP(J32,Tariff_Rates[],5,TRUE),0.01),""))</f>
        <v>-10.32</v>
      </c>
      <c r="I26" s="35">
        <f>IF(I25="","",IF(J32-I25=0,"",IF(J32-I25&lt;=100,J32-I25,VLOOKUP(201,Tariff_Rates[],4,TRUE))))</f>
        <v>100</v>
      </c>
      <c r="J26" s="47" t="str">
        <f>IF(I26="","",IF(I26&gt;=100,VLOOKUP(201,Tariff_Rates[],2,FALSE),I26))</f>
        <v>100 (100 x 1.00000)</v>
      </c>
      <c r="K26" s="47"/>
      <c r="L26" s="47">
        <f>IF(I26="","",VLOOKUP(201,Tariff_Rates[],3,TRUE))</f>
        <v>0.33400000000000002</v>
      </c>
      <c r="M26" s="47"/>
      <c r="N26" s="28">
        <f>IF(I26="","",IFERROR(J26*L26,VLOOKUP(201,Tariff_Rates[],4,FALSE)*L26))</f>
        <v>33.4</v>
      </c>
    </row>
    <row r="27" spans="2:15" ht="21.6" customHeight="1">
      <c r="B27" s="16"/>
      <c r="C27" s="16"/>
      <c r="D27" s="16"/>
      <c r="E27" s="16"/>
      <c r="F27" s="16"/>
      <c r="G27" s="28"/>
      <c r="I27" s="35">
        <f>IF(I26="","",IF(J32-I25-I26=0,"",IF(J32-I25-I26&lt;=300,J32-I25-I26,VLOOKUP(301,Tariff_Rates[],4,TRUE))))</f>
        <v>65</v>
      </c>
      <c r="J27" s="47">
        <f>IF(I27="","",IF(I27&gt;=300,VLOOKUP(301,Tariff_Rates[],2,FALSE),I27))</f>
        <v>65</v>
      </c>
      <c r="K27" s="47"/>
      <c r="L27" s="47">
        <f>IF(I27="","",VLOOKUP(301,Tariff_Rates[],3,TRUE))</f>
        <v>0.51600000000000001</v>
      </c>
      <c r="M27" s="47"/>
      <c r="N27" s="28">
        <f>IF(I27="","",IFERROR(J27*L27,VLOOKUP(301,Tariff_Rates[],4,FALSE)*L27))</f>
        <v>33.54</v>
      </c>
    </row>
    <row r="28" spans="2:15" ht="21.6" customHeight="1">
      <c r="B28" s="16"/>
      <c r="C28" s="16"/>
      <c r="D28" s="2"/>
      <c r="E28" s="2"/>
      <c r="F28" s="2"/>
      <c r="G28" s="29"/>
      <c r="I28" s="35" t="str">
        <f>IF(I27="","",IF(J32-I25-I26-I27=0,"",IF(J32-I25-I26-I27&lt;=300,J32-I25-I26-I27,VLOOKUP(601,Tariff_Rates[],4,TRUE))))</f>
        <v/>
      </c>
      <c r="J28" s="47" t="str">
        <f>IF(I28="","",IF(I28&gt;=300,VLOOKUP(601,Tariff_Rates[],2,FALSE),I28))</f>
        <v/>
      </c>
      <c r="K28" s="47"/>
      <c r="L28" s="47" t="str">
        <f>IF(I28="","",VLOOKUP(601,Tariff_Rates[],3,TRUE))</f>
        <v/>
      </c>
      <c r="M28" s="47"/>
      <c r="N28" s="28" t="str">
        <f>IF(I28="","",IFERROR(J28*L28,VLOOKUP(601,Tariff_Rates[],4,FALSE)*L28))</f>
        <v/>
      </c>
    </row>
    <row r="29" spans="2:15" ht="21.6" customHeight="1">
      <c r="B29" s="16"/>
      <c r="C29" s="16"/>
      <c r="D29" s="3"/>
      <c r="E29" s="3"/>
      <c r="F29" s="3"/>
      <c r="G29" s="30"/>
      <c r="I29" s="35" t="str">
        <f>IF(I28="","",IF(J32-I25-I26-I27-I28=0,"",IF(J32-I25-I26-I27-I28&gt;0,J32-I25-I26-I27-I28,VLOOKUP(901,Tariff_Rates[],4,TRUE))))</f>
        <v/>
      </c>
      <c r="J29" s="47" t="str">
        <f>IF(I29="","",IF(J32-I25-I26-I27-I28&gt;=0,J32-I25-I26-I27-I28,""))</f>
        <v/>
      </c>
      <c r="K29" s="47"/>
      <c r="L29" s="47" t="str">
        <f>IF(I29="","",VLOOKUP(901,Tariff_Rates[],3,TRUE))</f>
        <v/>
      </c>
      <c r="M29" s="47"/>
      <c r="N29" s="28" t="str">
        <f>IF(I29="","",IFERROR(J29*L29,VLOOKUP(601,Tariff_Rates[],4,FALSE)*L29))</f>
        <v/>
      </c>
    </row>
    <row r="30" spans="2:15" ht="21.6" customHeight="1">
      <c r="B30" s="34" t="s">
        <v>41</v>
      </c>
      <c r="C30" s="16" t="s">
        <v>36</v>
      </c>
      <c r="D30" s="16">
        <f>IFERROR(IF(D24-D25&gt;0,SUM(D24:D26),""),"")</f>
        <v>92.919999999999987</v>
      </c>
      <c r="E30" s="16" t="str">
        <f>IFERROR(IF(E24-E25&gt;0,E24-E25,""),"")</f>
        <v/>
      </c>
      <c r="F30" s="16"/>
      <c r="G30" s="28">
        <f>IFERROR(IF(G24-G25&gt;0,SUM(G24:G26),""),"")</f>
        <v>92.919999999999987</v>
      </c>
      <c r="I30" s="35"/>
      <c r="J30" s="47"/>
      <c r="K30" s="47"/>
      <c r="L30" s="47"/>
      <c r="M30" s="47"/>
      <c r="N30" s="28"/>
    </row>
    <row r="31" spans="2:15" ht="21.6" customHeight="1">
      <c r="B31" s="34" t="s">
        <v>42</v>
      </c>
      <c r="C31" s="16" t="s">
        <v>36</v>
      </c>
      <c r="D31" s="16"/>
      <c r="E31" s="16"/>
      <c r="F31" s="16"/>
      <c r="G31" s="28">
        <f>IF(OR(J32="",G24=""),"",IF(J32&gt;600,G24*0.06,0))</f>
        <v>0</v>
      </c>
      <c r="I31" s="15"/>
      <c r="J31" s="52"/>
      <c r="K31" s="52"/>
      <c r="L31" s="53"/>
      <c r="M31" s="53"/>
      <c r="N31" s="6"/>
    </row>
    <row r="32" spans="2:15" ht="21.6" customHeight="1" thickBot="1">
      <c r="B32" s="34" t="s">
        <v>43</v>
      </c>
      <c r="C32" s="16" t="s">
        <v>36</v>
      </c>
      <c r="D32" s="16"/>
      <c r="E32" s="16"/>
      <c r="F32" s="16"/>
      <c r="G32" s="28">
        <f>IF(OR(D6="",D7="",F6="",F7="",D3="",D9=""),"",IF(J32&gt;300,ROUND(G24*0.016,2),0))</f>
        <v>1.77</v>
      </c>
      <c r="I32" s="26" t="s">
        <v>15</v>
      </c>
      <c r="J32" s="57">
        <f>IF(D3&lt;&gt;"Not Available",D3,"-")</f>
        <v>365</v>
      </c>
      <c r="K32" s="57"/>
      <c r="L32" s="16"/>
      <c r="M32" s="16"/>
      <c r="N32" s="25">
        <f>IF(SUM(N25:N29)=0,0,SUM(N25:N29))</f>
        <v>110.53999999999999</v>
      </c>
      <c r="O32" s="16"/>
    </row>
    <row r="33" spans="2:11" ht="21.6" customHeight="1" thickTop="1">
      <c r="B33" s="34" t="str">
        <f>IF(AND(D15&gt;0,F6-F7&gt;30),"Penalty charge for late payment (1%)","")</f>
        <v>Penalty charge for late payment (1%)</v>
      </c>
      <c r="C33" s="16" t="s">
        <v>36</v>
      </c>
      <c r="D33" s="16"/>
      <c r="E33" s="16"/>
      <c r="F33" s="16"/>
      <c r="G33" s="28">
        <f>IF(OR(D9="",F6="",F7=""),"",IF(AND(D15&gt;0,F6-F7&gt;30),(D15*0.01*(D9-F6))/(F13-F6),""))</f>
        <v>8.5866666666666678</v>
      </c>
      <c r="J33" s="2"/>
      <c r="K33" s="2"/>
    </row>
    <row r="34" spans="2:11" ht="21.6" customHeight="1">
      <c r="B34" s="16"/>
      <c r="C34" s="16"/>
      <c r="D34" s="16"/>
      <c r="E34" s="16"/>
      <c r="F34" s="16"/>
      <c r="G34" s="28"/>
    </row>
    <row r="35" spans="2:11" ht="21.6" customHeight="1">
      <c r="B35" s="16"/>
      <c r="C35" s="16"/>
    </row>
    <row r="36" spans="2:11" ht="21.6" customHeight="1" thickBot="1">
      <c r="B36" s="26" t="s">
        <v>1</v>
      </c>
      <c r="C36" s="26" t="s">
        <v>36</v>
      </c>
      <c r="G36" s="25">
        <f>IF(OR(G30="",G31=""),"",SUM(G30:G33))</f>
        <v>103.27666666666666</v>
      </c>
    </row>
    <row r="37" spans="2:11" ht="21.6" customHeight="1" thickTop="1">
      <c r="C37" s="7"/>
      <c r="G37" s="10"/>
    </row>
    <row r="38" spans="2:11" ht="21.6" customHeight="1"/>
    <row r="39" spans="2:11" ht="21.6" customHeight="1"/>
    <row r="40" spans="2:11" ht="21.6" customHeight="1"/>
    <row r="41" spans="2:11" ht="21.6" customHeight="1"/>
    <row r="42" spans="2:11" ht="21.6" customHeight="1"/>
    <row r="43" spans="2:11" ht="21.6" customHeight="1"/>
    <row r="44" spans="2:11" ht="21.6" customHeight="1"/>
    <row r="45" spans="2:11" ht="21.6" customHeight="1"/>
    <row r="46" spans="2:11" ht="21.6" customHeight="1"/>
    <row r="47" spans="2:11" ht="21.6" customHeight="1"/>
    <row r="48" spans="2:11" ht="21.6" customHeight="1"/>
    <row r="49" ht="21.6" customHeight="1"/>
    <row r="50" ht="21.6" customHeight="1"/>
    <row r="51" ht="21.6" customHeight="1"/>
    <row r="52" ht="21.6" customHeight="1"/>
    <row r="53" ht="21.6" customHeight="1"/>
    <row r="54" ht="21.6" customHeight="1"/>
    <row r="55" ht="21.6" customHeight="1"/>
    <row r="56" ht="21.6" customHeight="1"/>
    <row r="57" ht="21.6" customHeight="1"/>
    <row r="58" ht="21.6" customHeight="1"/>
    <row r="59" ht="21.6" customHeight="1"/>
    <row r="60" ht="21.6" customHeight="1"/>
    <row r="61" ht="21.6" customHeight="1"/>
    <row r="62" ht="21.6" customHeight="1"/>
    <row r="63" ht="21.6" customHeight="1"/>
    <row r="64" ht="21.6" customHeight="1"/>
    <row r="65" ht="21.6" customHeight="1"/>
    <row r="66" ht="21.6" customHeight="1"/>
    <row r="67" ht="21.6" customHeight="1"/>
    <row r="68" ht="21.6" customHeight="1"/>
    <row r="69" ht="21.6" customHeight="1"/>
    <row r="70" ht="21.6" customHeight="1"/>
    <row r="71" ht="21.6" customHeight="1"/>
    <row r="72" ht="21.6" customHeight="1"/>
    <row r="73" ht="21.6" customHeight="1"/>
    <row r="74" ht="21.6" customHeight="1"/>
    <row r="75" ht="21.6" customHeight="1"/>
    <row r="76" ht="21.6" customHeight="1"/>
    <row r="77" ht="21.6" customHeight="1"/>
  </sheetData>
  <mergeCells count="34">
    <mergeCell ref="F5:G5"/>
    <mergeCell ref="J32:K32"/>
    <mergeCell ref="J25:K25"/>
    <mergeCell ref="J26:K26"/>
    <mergeCell ref="J27:K27"/>
    <mergeCell ref="J28:K28"/>
    <mergeCell ref="J29:K29"/>
    <mergeCell ref="J30:K30"/>
    <mergeCell ref="J31:K31"/>
    <mergeCell ref="F17:G17"/>
    <mergeCell ref="L31:M31"/>
    <mergeCell ref="F7:G7"/>
    <mergeCell ref="F18:G18"/>
    <mergeCell ref="I21:I22"/>
    <mergeCell ref="J21:J22"/>
    <mergeCell ref="K21:L22"/>
    <mergeCell ref="L25:M25"/>
    <mergeCell ref="L26:M26"/>
    <mergeCell ref="L27:M27"/>
    <mergeCell ref="L28:M28"/>
    <mergeCell ref="L29:M29"/>
    <mergeCell ref="L30:M30"/>
    <mergeCell ref="L24:M24"/>
    <mergeCell ref="J24:K24"/>
    <mergeCell ref="G21:G22"/>
    <mergeCell ref="K23:L23"/>
    <mergeCell ref="F6:G6"/>
    <mergeCell ref="B21:C22"/>
    <mergeCell ref="E21:F22"/>
    <mergeCell ref="D21:D22"/>
    <mergeCell ref="B12:E13"/>
    <mergeCell ref="F12:G12"/>
    <mergeCell ref="F13:G13"/>
    <mergeCell ref="F14:G14"/>
  </mergeCells>
  <dataValidations xWindow="953" yWindow="630" count="7">
    <dataValidation type="decimal" allowBlank="1" showInputMessage="1" showErrorMessage="1" prompt="(RM 0.0X/kWh)_x000a_" sqref="C25:C27" xr:uid="{320D9FA2-4CE2-4CC9-A8B4-DAAEC5ABF0EB}">
      <formula1>0</formula1>
      <formula2>0.09</formula2>
    </dataValidation>
    <dataValidation type="whole" operator="greaterThan" allowBlank="1" showInputMessage="1" showErrorMessage="1" error="Invalid number and negative value are not allowed." sqref="D3" xr:uid="{D702E888-0386-4112-9257-65446E463FE1}">
      <formula1>-1</formula1>
    </dataValidation>
    <dataValidation type="decimal" operator="greaterThan" allowBlank="1" showInputMessage="1" showErrorMessage="1" error="Zero, negative value &amp; alphabet are not allowed._x000a_" prompt="Last payment paid amount" sqref="D7" xr:uid="{2E094A9B-0ABE-4C20-A563-2CB0DEF7D089}">
      <formula1>0</formula1>
    </dataValidation>
    <dataValidation type="decimal" operator="greaterThan" allowBlank="1" showInputMessage="1" showErrorMessage="1" error="Must be a number or decimal_x000a_" prompt="Amount of last month bill_x000a_" sqref="D6" xr:uid="{A1C6754B-C61F-4B18-ACEA-8F12CFF8C13B}">
      <formula1>-100000</formula1>
    </dataValidation>
    <dataValidation type="custom" operator="lessThan" allowBlank="1" showInputMessage="1" showErrorMessage="1" error="Future date and invalid date format are not allowed." prompt="Date format write as _x000a_9-Dec-2020" sqref="F6:G6" xr:uid="{90E1B401-3AC3-47F0-B93D-E95A236A8AD9}">
      <formula1>DATEVALUE(TEXT(F6,"dd-mmm-yyyy"))</formula1>
    </dataValidation>
    <dataValidation type="custom" allowBlank="1" showInputMessage="1" showErrorMessage="1" errorTitle="Error of last payment" error="Enter a valid date format._x000a_Future date is not allowed._x000a_The last payment cannot be more than 2 months before the previous bill._x000a_" sqref="F7:G7" xr:uid="{9F50C7D6-F859-4FD0-A258-F911AA3EB779}">
      <formula1>IF(AND(ABS(F7-F6)&lt;60,F7-F13&lt;0,DATEVALUE(TEXT(F7,"dd-mmm-yyyy"))),TRUE,FALSE)</formula1>
    </dataValidation>
    <dataValidation type="custom" allowBlank="1" showInputMessage="1" showErrorMessage="1" error="Enter a valid date format as dd-mon-yyyy_x000a_The date range is between the previous date and the bill date." sqref="D9" xr:uid="{BC2EFC7B-A4AC-44D4-BF82-912EAAC3A3B5}">
      <formula1>AND(D9-F13&lt;0,AND(F6-D9&lt;0,F7-D9&lt;0))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98E5-7B89-40F5-92BB-360E7B2ED2E3}">
  <sheetPr codeName="Sheet2"/>
  <dimension ref="A2:J26"/>
  <sheetViews>
    <sheetView topLeftCell="A10" workbookViewId="0">
      <selection activeCell="E27" sqref="E27"/>
    </sheetView>
  </sheetViews>
  <sheetFormatPr defaultRowHeight="14.4"/>
  <cols>
    <col min="1" max="1" width="18.5546875" bestFit="1" customWidth="1"/>
    <col min="2" max="2" width="17" bestFit="1" customWidth="1"/>
    <col min="3" max="3" width="10.109375" customWidth="1"/>
    <col min="4" max="4" width="21" customWidth="1"/>
  </cols>
  <sheetData>
    <row r="2" spans="1:5" ht="24">
      <c r="A2" s="59" t="s">
        <v>16</v>
      </c>
      <c r="B2" s="59"/>
      <c r="C2" s="4" t="s">
        <v>17</v>
      </c>
      <c r="D2" s="4" t="s">
        <v>18</v>
      </c>
    </row>
    <row r="3" spans="1:5" ht="15" thickBot="1">
      <c r="A3" s="60" t="s">
        <v>19</v>
      </c>
      <c r="B3" s="60"/>
      <c r="C3" s="60"/>
      <c r="D3" s="5"/>
    </row>
    <row r="4" spans="1:5" ht="21" customHeight="1" thickBot="1">
      <c r="A4" s="62" t="s">
        <v>20</v>
      </c>
      <c r="B4" s="62"/>
      <c r="C4" s="5" t="s">
        <v>21</v>
      </c>
      <c r="D4" s="5">
        <v>21.8</v>
      </c>
    </row>
    <row r="5" spans="1:5" ht="21" customHeight="1" thickBot="1">
      <c r="A5" s="63" t="s">
        <v>22</v>
      </c>
      <c r="B5" s="63"/>
      <c r="C5" s="5" t="s">
        <v>21</v>
      </c>
      <c r="D5" s="5">
        <v>33.4</v>
      </c>
    </row>
    <row r="6" spans="1:5" ht="21" customHeight="1" thickBot="1">
      <c r="A6" s="63" t="s">
        <v>23</v>
      </c>
      <c r="B6" s="63"/>
      <c r="C6" s="5" t="s">
        <v>21</v>
      </c>
      <c r="D6" s="5">
        <v>51.6</v>
      </c>
    </row>
    <row r="7" spans="1:5" ht="21" customHeight="1" thickBot="1">
      <c r="A7" s="63" t="s">
        <v>24</v>
      </c>
      <c r="B7" s="63"/>
      <c r="C7" s="5" t="s">
        <v>21</v>
      </c>
      <c r="D7" s="5">
        <v>54.6</v>
      </c>
    </row>
    <row r="8" spans="1:5" ht="21" customHeight="1" thickBot="1">
      <c r="A8" s="64" t="s">
        <v>25</v>
      </c>
      <c r="B8" s="64"/>
      <c r="C8" s="5" t="s">
        <v>21</v>
      </c>
      <c r="D8" s="5">
        <v>57.1</v>
      </c>
    </row>
    <row r="9" spans="1:5" ht="20.399999999999999" customHeight="1" thickBot="1">
      <c r="A9" s="61" t="s">
        <v>26</v>
      </c>
      <c r="B9" s="61"/>
      <c r="C9" s="61"/>
      <c r="D9" s="5"/>
    </row>
    <row r="10" spans="1:5">
      <c r="A10" t="s">
        <v>30</v>
      </c>
      <c r="B10" t="s">
        <v>33</v>
      </c>
      <c r="C10" t="s">
        <v>32</v>
      </c>
      <c r="D10" t="s">
        <v>31</v>
      </c>
      <c r="E10" t="s">
        <v>52</v>
      </c>
    </row>
    <row r="11" spans="1:5">
      <c r="A11">
        <v>0</v>
      </c>
      <c r="B11" t="s">
        <v>27</v>
      </c>
      <c r="C11">
        <v>0.218</v>
      </c>
      <c r="D11">
        <v>200</v>
      </c>
      <c r="E11">
        <v>0.4</v>
      </c>
    </row>
    <row r="12" spans="1:5">
      <c r="A12">
        <v>201</v>
      </c>
      <c r="B12" t="s">
        <v>29</v>
      </c>
      <c r="C12">
        <v>0.33400000000000002</v>
      </c>
      <c r="D12">
        <v>100</v>
      </c>
      <c r="E12">
        <v>0.15</v>
      </c>
    </row>
    <row r="13" spans="1:5">
      <c r="A13">
        <f>A12+100</f>
        <v>301</v>
      </c>
      <c r="B13" t="s">
        <v>28</v>
      </c>
      <c r="C13">
        <v>0.51600000000000001</v>
      </c>
      <c r="D13">
        <v>300</v>
      </c>
      <c r="E13">
        <v>0.1</v>
      </c>
    </row>
    <row r="14" spans="1:5">
      <c r="A14">
        <f>A13+300</f>
        <v>601</v>
      </c>
      <c r="B14" t="s">
        <v>28</v>
      </c>
      <c r="C14">
        <v>0.54600000000000004</v>
      </c>
      <c r="D14">
        <v>300</v>
      </c>
      <c r="E14">
        <v>0.05</v>
      </c>
    </row>
    <row r="15" spans="1:5">
      <c r="A15">
        <f>A14+300</f>
        <v>901</v>
      </c>
      <c r="C15">
        <v>0.57099999999999995</v>
      </c>
    </row>
    <row r="17" spans="1:10">
      <c r="J17" t="s">
        <v>55</v>
      </c>
    </row>
    <row r="18" spans="1:10" ht="27.6">
      <c r="A18" s="9" t="s">
        <v>44</v>
      </c>
    </row>
    <row r="19" spans="1:10">
      <c r="A19" s="11" t="s">
        <v>45</v>
      </c>
    </row>
    <row r="20" spans="1:10">
      <c r="A20" s="11" t="s">
        <v>46</v>
      </c>
    </row>
    <row r="21" spans="1:10">
      <c r="A21" s="11" t="s">
        <v>47</v>
      </c>
    </row>
    <row r="22" spans="1:10">
      <c r="A22" s="11" t="s">
        <v>48</v>
      </c>
    </row>
    <row r="23" spans="1:10">
      <c r="A23" s="11" t="s">
        <v>49</v>
      </c>
    </row>
    <row r="25" spans="1:10">
      <c r="A25" s="58">
        <v>43831</v>
      </c>
      <c r="B25" s="58"/>
    </row>
    <row r="26" spans="1:10">
      <c r="A26" s="58">
        <v>44561</v>
      </c>
      <c r="B26" s="58"/>
    </row>
  </sheetData>
  <sheetProtection sheet="1" objects="1" scenarios="1"/>
  <mergeCells count="10">
    <mergeCell ref="A25:B25"/>
    <mergeCell ref="A26:B26"/>
    <mergeCell ref="A2:B2"/>
    <mergeCell ref="A3:C3"/>
    <mergeCell ref="A9:C9"/>
    <mergeCell ref="A4:B4"/>
    <mergeCell ref="A5:B5"/>
    <mergeCell ref="A6:B6"/>
    <mergeCell ref="A7:B7"/>
    <mergeCell ref="A8:B8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2021-08-28T18:18:40Z</dcterms:created>
  <dcterms:modified xsi:type="dcterms:W3CDTF">2021-09-04T20:13:38Z</dcterms:modified>
</cp:coreProperties>
</file>