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C:\Users\tiffa\Documents\FINA 6273\Professor Medlej\Group Project\"/>
    </mc:Choice>
  </mc:AlternateContent>
  <xr:revisionPtr revIDLastSave="0" documentId="13_ncr:1_{78BCFF9A-F5E7-4E48-A390-314FAE25853C}" xr6:coauthVersionLast="47" xr6:coauthVersionMax="47" xr10:uidLastSave="{00000000-0000-0000-0000-000000000000}"/>
  <bookViews>
    <workbookView xWindow="-108" yWindow="-108" windowWidth="23256" windowHeight="14016" tabRatio="1000" firstSheet="1" activeTab="7" xr2:uid="{00000000-000D-0000-FFFF-FFFF00000000}"/>
  </bookViews>
  <sheets>
    <sheet name="Document and Entity Information" sheetId="1" state="hidden" r:id="rId1"/>
    <sheet name="Consolidated Balance Sheets" sheetId="2" r:id="rId2"/>
    <sheet name="Consolidated Statements of Oper" sheetId="4" r:id="rId3"/>
    <sheet name="Forecast Balance Sheet" sheetId="9" r:id="rId4"/>
    <sheet name="Forecast Income Statement" sheetId="12" r:id="rId5"/>
    <sheet name="BalanceStat Rate Projection" sheetId="10" r:id="rId6"/>
    <sheet name="OperationStat Rate Projection" sheetId="11" r:id="rId7"/>
    <sheet name="Valuation" sheetId="13" r:id="rId8"/>
    <sheet name="Consolidated Statements of Cash" sheetId="8" state="hidden" r:id="rId9"/>
    <sheet name="Consolidated Balance Sheets (Pa" sheetId="3" state="hidden" r:id="rId10"/>
    <sheet name="Consolidated Statements of Op_2" sheetId="5" state="hidden" r:id="rId11"/>
    <sheet name="Condensed Consolidated Statemen" sheetId="7" state="hidden" r:id="rId12"/>
    <sheet name="Consolidated Statements of Comp" sheetId="6" state="hidden" r:id="rId13"/>
  </sheets>
  <externalReferences>
    <externalReference r:id="rId14"/>
    <externalReference r:id="rId15"/>
    <externalReference r:id="rId16"/>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7" i="13" l="1"/>
  <c r="C6" i="13"/>
  <c r="C5" i="13"/>
  <c r="F7" i="12"/>
  <c r="F37" i="9"/>
  <c r="F31" i="9" s="1"/>
  <c r="G37" i="9"/>
  <c r="G31" i="9" s="1"/>
  <c r="H37" i="9"/>
  <c r="H31" i="9" s="1"/>
  <c r="I37" i="9"/>
  <c r="I31" i="9" s="1"/>
  <c r="E37" i="9"/>
  <c r="E31" i="9" s="1"/>
  <c r="E23" i="13"/>
  <c r="D23" i="13"/>
  <c r="F23" i="13"/>
  <c r="C23" i="13"/>
  <c r="B29" i="13"/>
  <c r="B28" i="13"/>
  <c r="B27" i="13"/>
  <c r="F22" i="13"/>
  <c r="D22" i="13"/>
  <c r="E22" i="13"/>
  <c r="C22" i="13"/>
  <c r="B3" i="13"/>
  <c r="C20" i="13"/>
  <c r="D20" i="13"/>
  <c r="E20" i="13"/>
  <c r="F20" i="13"/>
  <c r="B20" i="13"/>
  <c r="I4" i="13"/>
  <c r="G58" i="11"/>
  <c r="G56" i="11"/>
  <c r="E58" i="11"/>
  <c r="F58" i="11"/>
  <c r="D58" i="11"/>
  <c r="C58" i="11"/>
  <c r="F56" i="11"/>
  <c r="E56" i="11"/>
  <c r="D56" i="11"/>
  <c r="C56" i="11"/>
  <c r="G45" i="11"/>
  <c r="H23" i="12" s="1"/>
  <c r="G46" i="11"/>
  <c r="G24" i="12" s="1"/>
  <c r="G23" i="12"/>
  <c r="J23" i="12"/>
  <c r="F23" i="12"/>
  <c r="C25" i="12"/>
  <c r="D25" i="12"/>
  <c r="E25" i="12"/>
  <c r="E21" i="12"/>
  <c r="E22" i="12"/>
  <c r="E23" i="12"/>
  <c r="E24" i="12"/>
  <c r="D21" i="12"/>
  <c r="D22" i="12"/>
  <c r="D23" i="12"/>
  <c r="D24" i="12"/>
  <c r="C21" i="12"/>
  <c r="C22" i="12"/>
  <c r="C23" i="12"/>
  <c r="C24" i="12"/>
  <c r="D20" i="12"/>
  <c r="E20" i="12"/>
  <c r="C20" i="12"/>
  <c r="G44" i="11"/>
  <c r="F22" i="12" s="1"/>
  <c r="G43" i="11"/>
  <c r="G21" i="12" s="1"/>
  <c r="G42" i="11"/>
  <c r="G20" i="12" s="1"/>
  <c r="F22" i="11"/>
  <c r="D22" i="11"/>
  <c r="C14" i="12"/>
  <c r="D14" i="12"/>
  <c r="E14" i="12"/>
  <c r="G8" i="4"/>
  <c r="G31" i="11"/>
  <c r="G17" i="12" s="1"/>
  <c r="G23" i="11"/>
  <c r="J15" i="12" s="1"/>
  <c r="E22" i="11"/>
  <c r="C22" i="11"/>
  <c r="I9" i="13"/>
  <c r="C6" i="12"/>
  <c r="D6" i="12"/>
  <c r="E6" i="12"/>
  <c r="C7" i="12"/>
  <c r="D7" i="12"/>
  <c r="E7" i="12"/>
  <c r="C9" i="12"/>
  <c r="D9" i="12"/>
  <c r="E9" i="12"/>
  <c r="C10" i="12"/>
  <c r="D10" i="12"/>
  <c r="E10" i="12"/>
  <c r="C11" i="12"/>
  <c r="D11" i="12"/>
  <c r="E11" i="12"/>
  <c r="C12" i="12"/>
  <c r="D12" i="12"/>
  <c r="E12" i="12"/>
  <c r="C15" i="12"/>
  <c r="D15" i="12"/>
  <c r="E15" i="12"/>
  <c r="C17" i="12"/>
  <c r="D17" i="12"/>
  <c r="E17" i="12"/>
  <c r="G14" i="10"/>
  <c r="F32" i="11"/>
  <c r="E32" i="11"/>
  <c r="D32" i="11"/>
  <c r="C32" i="11"/>
  <c r="F30" i="11"/>
  <c r="E30" i="11"/>
  <c r="D30" i="11"/>
  <c r="C30" i="11"/>
  <c r="F24" i="11"/>
  <c r="E24" i="11"/>
  <c r="D24" i="11"/>
  <c r="C24" i="11"/>
  <c r="F17" i="11"/>
  <c r="E17" i="11"/>
  <c r="D17" i="11"/>
  <c r="C17" i="11"/>
  <c r="F15" i="11"/>
  <c r="E15" i="11"/>
  <c r="D15" i="11"/>
  <c r="C15" i="11"/>
  <c r="F13" i="11"/>
  <c r="E13" i="11"/>
  <c r="D13" i="11"/>
  <c r="C13" i="11"/>
  <c r="F9" i="11"/>
  <c r="E9" i="11"/>
  <c r="D9" i="11"/>
  <c r="C9" i="11"/>
  <c r="F6" i="11"/>
  <c r="E6" i="11"/>
  <c r="D6" i="11"/>
  <c r="C6" i="11"/>
  <c r="F59" i="10"/>
  <c r="E59" i="10"/>
  <c r="G59" i="10" s="1"/>
  <c r="D59" i="10"/>
  <c r="C59" i="10"/>
  <c r="F57" i="10"/>
  <c r="E57" i="10"/>
  <c r="D57" i="10"/>
  <c r="C57" i="10"/>
  <c r="G57" i="10" s="1"/>
  <c r="G55" i="10"/>
  <c r="F55" i="10"/>
  <c r="E55" i="10"/>
  <c r="D55" i="10"/>
  <c r="C55" i="10"/>
  <c r="F48" i="10"/>
  <c r="E48" i="10"/>
  <c r="D48" i="10"/>
  <c r="G48" i="10" s="1"/>
  <c r="C48" i="10"/>
  <c r="G46" i="10"/>
  <c r="F46" i="10"/>
  <c r="B45" i="10"/>
  <c r="F44" i="10"/>
  <c r="C44" i="10"/>
  <c r="D43" i="10"/>
  <c r="D44" i="10" s="1"/>
  <c r="F41" i="10"/>
  <c r="E41" i="10"/>
  <c r="D41" i="10"/>
  <c r="C41" i="10"/>
  <c r="G41" i="10" s="1"/>
  <c r="G39" i="10"/>
  <c r="F39" i="10"/>
  <c r="F37" i="10"/>
  <c r="D36" i="10"/>
  <c r="E37" i="10" s="1"/>
  <c r="C36" i="10"/>
  <c r="C37" i="10" s="1"/>
  <c r="F33" i="10"/>
  <c r="E33" i="10"/>
  <c r="D33" i="10"/>
  <c r="C33" i="10"/>
  <c r="G33" i="10" s="1"/>
  <c r="G31" i="10"/>
  <c r="F31" i="10"/>
  <c r="E31" i="10"/>
  <c r="D31" i="10"/>
  <c r="C31" i="10"/>
  <c r="F29" i="10"/>
  <c r="E29" i="10"/>
  <c r="D29" i="10"/>
  <c r="C29" i="10"/>
  <c r="G29" i="10" s="1"/>
  <c r="G27" i="10"/>
  <c r="F27" i="10"/>
  <c r="E27" i="10"/>
  <c r="D27" i="10"/>
  <c r="C27" i="10"/>
  <c r="D25" i="10"/>
  <c r="C25" i="10"/>
  <c r="G25" i="10" s="1"/>
  <c r="G23" i="10"/>
  <c r="F23" i="10"/>
  <c r="E23" i="10"/>
  <c r="D23" i="10"/>
  <c r="G21" i="10"/>
  <c r="F21" i="10"/>
  <c r="C19" i="10"/>
  <c r="C17" i="10"/>
  <c r="G17" i="10" s="1"/>
  <c r="F13" i="10"/>
  <c r="E13" i="10"/>
  <c r="D13" i="10"/>
  <c r="C13" i="10"/>
  <c r="G13" i="10" s="1"/>
  <c r="F11" i="10"/>
  <c r="E11" i="10"/>
  <c r="G11" i="10" s="1"/>
  <c r="D11" i="10"/>
  <c r="C11" i="10"/>
  <c r="F9" i="10"/>
  <c r="E9" i="10"/>
  <c r="D9" i="10"/>
  <c r="C9" i="10"/>
  <c r="G9" i="10" s="1"/>
  <c r="G7" i="10"/>
  <c r="F7" i="10"/>
  <c r="E7" i="10"/>
  <c r="D7" i="10"/>
  <c r="C7" i="10"/>
  <c r="F5" i="10"/>
  <c r="E5" i="10"/>
  <c r="D5" i="10"/>
  <c r="G5" i="10" s="1"/>
  <c r="C5" i="10"/>
  <c r="E16" i="12" l="1"/>
  <c r="E18" i="12" s="1"/>
  <c r="J22" i="12"/>
  <c r="I22" i="12"/>
  <c r="I23" i="12"/>
  <c r="H22" i="12"/>
  <c r="G22" i="12"/>
  <c r="F20" i="12"/>
  <c r="J20" i="12"/>
  <c r="I20" i="12"/>
  <c r="H20" i="12"/>
  <c r="H24" i="12"/>
  <c r="F21" i="12"/>
  <c r="J21" i="12"/>
  <c r="I21" i="12"/>
  <c r="H21" i="12"/>
  <c r="F24" i="12"/>
  <c r="J24" i="12"/>
  <c r="I24" i="12"/>
  <c r="D16" i="12"/>
  <c r="D18" i="12" s="1"/>
  <c r="C16" i="12"/>
  <c r="C18" i="12" s="1"/>
  <c r="E8" i="12"/>
  <c r="E13" i="12" s="1"/>
  <c r="D8" i="12"/>
  <c r="D13" i="12" s="1"/>
  <c r="C8" i="12"/>
  <c r="C13" i="12" s="1"/>
  <c r="G21" i="11"/>
  <c r="H14" i="12" s="1"/>
  <c r="G9" i="11"/>
  <c r="G7" i="12" s="1"/>
  <c r="H7" i="12" s="1"/>
  <c r="I7" i="12" s="1"/>
  <c r="J7" i="12" s="1"/>
  <c r="G22" i="11"/>
  <c r="F17" i="12"/>
  <c r="J17" i="12"/>
  <c r="I17" i="12"/>
  <c r="H17" i="12"/>
  <c r="I15" i="12"/>
  <c r="H15" i="12"/>
  <c r="G15" i="12"/>
  <c r="F15" i="12"/>
  <c r="G32" i="11"/>
  <c r="G15" i="11"/>
  <c r="F10" i="12" s="1"/>
  <c r="G10" i="12" s="1"/>
  <c r="H10" i="12" s="1"/>
  <c r="I10" i="12" s="1"/>
  <c r="J10" i="12" s="1"/>
  <c r="G17" i="11"/>
  <c r="F11" i="12" s="1"/>
  <c r="G11" i="12" s="1"/>
  <c r="H11" i="12" s="1"/>
  <c r="I11" i="12" s="1"/>
  <c r="J11" i="12" s="1"/>
  <c r="G6" i="11"/>
  <c r="F6" i="12" s="1"/>
  <c r="G6" i="12" s="1"/>
  <c r="G13" i="11"/>
  <c r="G24" i="11"/>
  <c r="G30" i="11"/>
  <c r="E44" i="10"/>
  <c r="G44" i="10" s="1"/>
  <c r="H18" i="9"/>
  <c r="D37" i="10"/>
  <c r="G37" i="10" s="1"/>
  <c r="R64" i="9"/>
  <c r="R66" i="9" s="1"/>
  <c r="S65" i="9" s="1"/>
  <c r="D32" i="9"/>
  <c r="E32" i="9" s="1"/>
  <c r="F32" i="9" s="1"/>
  <c r="G32" i="9" s="1"/>
  <c r="H32" i="9" s="1"/>
  <c r="I32" i="9" s="1"/>
  <c r="C32" i="9"/>
  <c r="D31" i="9"/>
  <c r="C31" i="9"/>
  <c r="C30" i="9"/>
  <c r="D30" i="9"/>
  <c r="E30" i="9" s="1"/>
  <c r="F30" i="9" s="1"/>
  <c r="D26" i="9"/>
  <c r="E26" i="9" s="1"/>
  <c r="F26" i="9" s="1"/>
  <c r="G26" i="9" s="1"/>
  <c r="H26" i="9" s="1"/>
  <c r="I26" i="9" s="1"/>
  <c r="D27" i="9"/>
  <c r="E27" i="9" s="1"/>
  <c r="F27" i="9" s="1"/>
  <c r="G27" i="9" s="1"/>
  <c r="H27" i="9" s="1"/>
  <c r="I27" i="9" s="1"/>
  <c r="D25" i="9"/>
  <c r="C26" i="9"/>
  <c r="C27" i="9"/>
  <c r="C25" i="9"/>
  <c r="C23" i="9"/>
  <c r="D23" i="9"/>
  <c r="E23" i="9" s="1"/>
  <c r="F23" i="9" s="1"/>
  <c r="G23" i="9" s="1"/>
  <c r="H23" i="9" s="1"/>
  <c r="I23" i="9" s="1"/>
  <c r="D22" i="9"/>
  <c r="E22" i="9" s="1"/>
  <c r="F22" i="9" s="1"/>
  <c r="G22" i="9" s="1"/>
  <c r="H22" i="9" s="1"/>
  <c r="I22" i="9" s="1"/>
  <c r="C22" i="9"/>
  <c r="D21" i="9"/>
  <c r="C21" i="9"/>
  <c r="D16" i="9"/>
  <c r="E16" i="9" s="1"/>
  <c r="F16" i="9" s="1"/>
  <c r="G16" i="9" s="1"/>
  <c r="H16" i="9" s="1"/>
  <c r="I16" i="9" s="1"/>
  <c r="C16" i="9"/>
  <c r="C15" i="9"/>
  <c r="C13" i="9"/>
  <c r="C14" i="9"/>
  <c r="D14" i="9"/>
  <c r="E14" i="9" s="1"/>
  <c r="F14" i="9" s="1"/>
  <c r="G14" i="9" s="1"/>
  <c r="H14" i="9" s="1"/>
  <c r="I14" i="9" s="1"/>
  <c r="D13" i="9"/>
  <c r="E13" i="9" s="1"/>
  <c r="F13" i="9" s="1"/>
  <c r="G13" i="9" s="1"/>
  <c r="H13" i="9" s="1"/>
  <c r="I13" i="9" s="1"/>
  <c r="C17" i="9"/>
  <c r="C18" i="9"/>
  <c r="D18" i="9"/>
  <c r="E18" i="9" s="1"/>
  <c r="F18" i="9" s="1"/>
  <c r="G18" i="9" s="1"/>
  <c r="D17" i="9"/>
  <c r="E17" i="9" s="1"/>
  <c r="F17" i="9" s="1"/>
  <c r="G17" i="9" s="1"/>
  <c r="H17" i="9" s="1"/>
  <c r="I17" i="9" s="1"/>
  <c r="D15" i="9"/>
  <c r="E15" i="9" s="1"/>
  <c r="F15" i="9" s="1"/>
  <c r="G15" i="9" s="1"/>
  <c r="H15" i="9" s="1"/>
  <c r="I15" i="9" s="1"/>
  <c r="D12" i="9"/>
  <c r="E12" i="9" s="1"/>
  <c r="F12" i="9" s="1"/>
  <c r="G12" i="9" s="1"/>
  <c r="H12" i="9" s="1"/>
  <c r="I12" i="9" s="1"/>
  <c r="C12" i="9"/>
  <c r="D10" i="9"/>
  <c r="E10" i="9" s="1"/>
  <c r="C10" i="9"/>
  <c r="D9" i="9"/>
  <c r="E9" i="9" s="1"/>
  <c r="F9" i="9" s="1"/>
  <c r="G9" i="9" s="1"/>
  <c r="C9" i="9"/>
  <c r="C8" i="9"/>
  <c r="D8" i="9"/>
  <c r="E8" i="9" s="1"/>
  <c r="F8" i="9" s="1"/>
  <c r="G8" i="9" s="1"/>
  <c r="H8" i="9" s="1"/>
  <c r="I8" i="9" s="1"/>
  <c r="D7" i="9"/>
  <c r="E7" i="9" s="1"/>
  <c r="F7" i="9" s="1"/>
  <c r="G7" i="9" s="1"/>
  <c r="H7" i="9" s="1"/>
  <c r="I7" i="9" s="1"/>
  <c r="C7" i="9"/>
  <c r="D6" i="9"/>
  <c r="E6" i="9" s="1"/>
  <c r="F6" i="9" s="1"/>
  <c r="G6" i="9" s="1"/>
  <c r="H6" i="9" s="1"/>
  <c r="I6" i="9" s="1"/>
  <c r="C6" i="9"/>
  <c r="U61" i="9"/>
  <c r="G14" i="12" l="1"/>
  <c r="J14" i="12"/>
  <c r="F14" i="12"/>
  <c r="I14" i="12"/>
  <c r="F9" i="12"/>
  <c r="G9" i="12" s="1"/>
  <c r="H9" i="12" s="1"/>
  <c r="I9" i="12" s="1"/>
  <c r="J9" i="12" s="1"/>
  <c r="F8" i="12"/>
  <c r="H6" i="12"/>
  <c r="G8" i="12"/>
  <c r="E21" i="9"/>
  <c r="E24" i="9" s="1"/>
  <c r="E11" i="9"/>
  <c r="E19" i="9" s="1"/>
  <c r="F10" i="9"/>
  <c r="G10" i="9" s="1"/>
  <c r="H10" i="9" s="1"/>
  <c r="I10" i="9" s="1"/>
  <c r="E25" i="9"/>
  <c r="F25" i="9" s="1"/>
  <c r="G25" i="9" s="1"/>
  <c r="H25" i="9" s="1"/>
  <c r="I25" i="9" s="1"/>
  <c r="G30" i="9"/>
  <c r="I18" i="9"/>
  <c r="H9" i="9"/>
  <c r="C33" i="9"/>
  <c r="D33" i="9"/>
  <c r="D24" i="9"/>
  <c r="D28" i="9" s="1"/>
  <c r="D34" i="9" s="1"/>
  <c r="C24" i="9"/>
  <c r="C28" i="9" s="1"/>
  <c r="D11" i="9"/>
  <c r="D19" i="9" s="1"/>
  <c r="C11" i="9"/>
  <c r="C19" i="9" s="1"/>
  <c r="S64" i="9"/>
  <c r="T68" i="9" s="1"/>
  <c r="F13" i="12" l="1"/>
  <c r="F16" i="12" s="1"/>
  <c r="F18" i="12" s="1"/>
  <c r="G13" i="12"/>
  <c r="G16" i="12" s="1"/>
  <c r="G18" i="12" s="1"/>
  <c r="I6" i="12"/>
  <c r="H8" i="12"/>
  <c r="H13" i="12" s="1"/>
  <c r="H16" i="12" s="1"/>
  <c r="H18" i="12" s="1"/>
  <c r="F21" i="9"/>
  <c r="F24" i="9" s="1"/>
  <c r="F28" i="9" s="1"/>
  <c r="G11" i="9"/>
  <c r="G19" i="9" s="1"/>
  <c r="E28" i="9"/>
  <c r="H30" i="9"/>
  <c r="F11" i="9"/>
  <c r="F19" i="9" s="1"/>
  <c r="I9" i="9"/>
  <c r="I11" i="9" s="1"/>
  <c r="I19" i="9" s="1"/>
  <c r="H11" i="9"/>
  <c r="H19" i="9" s="1"/>
  <c r="C34" i="9"/>
  <c r="G25" i="12" l="1"/>
  <c r="D4" i="13"/>
  <c r="F25" i="12"/>
  <c r="C4" i="13"/>
  <c r="H25" i="12"/>
  <c r="E4" i="13"/>
  <c r="J6" i="12"/>
  <c r="J8" i="12" s="1"/>
  <c r="J13" i="12" s="1"/>
  <c r="J16" i="12" s="1"/>
  <c r="J18" i="12" s="1"/>
  <c r="I8" i="12"/>
  <c r="I13" i="12" s="1"/>
  <c r="I16" i="12" s="1"/>
  <c r="I18" i="12" s="1"/>
  <c r="G21" i="9"/>
  <c r="G24" i="9" s="1"/>
  <c r="G28" i="9" s="1"/>
  <c r="I30" i="9"/>
  <c r="I25" i="12" l="1"/>
  <c r="F4" i="13"/>
  <c r="J25" i="12"/>
  <c r="G4" i="13"/>
  <c r="H21" i="9"/>
  <c r="H24" i="9" s="1"/>
  <c r="H28" i="9" s="1"/>
  <c r="F33" i="9"/>
  <c r="F34" i="9" l="1"/>
  <c r="D3" i="13"/>
  <c r="E5" i="13" s="1"/>
  <c r="E6" i="13" s="1"/>
  <c r="E7" i="13" s="1"/>
  <c r="I21" i="9"/>
  <c r="I24" i="9" s="1"/>
  <c r="I28" i="9" s="1"/>
  <c r="I33" i="9"/>
  <c r="H33" i="9"/>
  <c r="G33" i="9"/>
  <c r="E33" i="9"/>
  <c r="E34" i="9" l="1"/>
  <c r="C3" i="13"/>
  <c r="D5" i="13" s="1"/>
  <c r="D6" i="13" s="1"/>
  <c r="D7" i="13" s="1"/>
  <c r="G34" i="9"/>
  <c r="E3" i="13"/>
  <c r="F5" i="13" s="1"/>
  <c r="F6" i="13" s="1"/>
  <c r="F7" i="13" s="1"/>
  <c r="H34" i="9"/>
  <c r="F3" i="13"/>
  <c r="G5" i="13" s="1"/>
  <c r="G6" i="13" s="1"/>
  <c r="G7" i="13" s="1"/>
  <c r="I34" i="9"/>
  <c r="G3" i="13"/>
  <c r="C9" i="13"/>
  <c r="C10" i="13" s="1"/>
  <c r="C11" i="13" s="1"/>
  <c r="C8" i="13" l="1"/>
  <c r="C12" i="13" s="1"/>
  <c r="C13" i="13" s="1"/>
  <c r="C14" i="13" s="1"/>
</calcChain>
</file>

<file path=xl/sharedStrings.xml><?xml version="1.0" encoding="utf-8"?>
<sst xmlns="http://schemas.openxmlformats.org/spreadsheetml/2006/main" count="562" uniqueCount="344">
  <si>
    <t>Document and Entity Information - USD ($) shares in Millions, $ in Billions</t>
  </si>
  <si>
    <t>12 Months Ended</t>
  </si>
  <si>
    <t>Jan. 31, 2021</t>
  </si>
  <si>
    <t>Mar. 15, 2021</t>
  </si>
  <si>
    <t>Jul. 31, 2020</t>
  </si>
  <si>
    <t>Cover [Abstract]</t>
  </si>
  <si>
    <t>Document Type</t>
  </si>
  <si>
    <t>10-K</t>
  </si>
  <si>
    <t>Document Annual Report</t>
  </si>
  <si>
    <t>true</t>
  </si>
  <si>
    <t>Document Period End Date</t>
  </si>
  <si>
    <t>Jan. 31,
		2021</t>
  </si>
  <si>
    <t>Current Fiscal Year End Date</t>
  </si>
  <si>
    <t>--01-31</t>
  </si>
  <si>
    <t>Document Transition Report</t>
  </si>
  <si>
    <t>false</t>
  </si>
  <si>
    <t>Entity File Number</t>
  </si>
  <si>
    <t>001-32224</t>
  </si>
  <si>
    <t>Entity Registrant Name</t>
  </si>
  <si>
    <t>salesforce.com, inc.</t>
  </si>
  <si>
    <t>Entity Incorporation, State or Country Code</t>
  </si>
  <si>
    <t>DE</t>
  </si>
  <si>
    <t>Entity Tax Identification Number</t>
  </si>
  <si>
    <t>94-3320693</t>
  </si>
  <si>
    <t>Entity Address, Address Line One</t>
  </si>
  <si>
    <t>Salesforce Tower</t>
  </si>
  <si>
    <t>Entity Address, Address Line Two</t>
  </si>
  <si>
    <t>415 Mission Street, 3rd Fl</t>
  </si>
  <si>
    <t>Entity Address, City or Town</t>
  </si>
  <si>
    <t>San Francisco</t>
  </si>
  <si>
    <t>Entity Address, State or Province</t>
  </si>
  <si>
    <t>CA</t>
  </si>
  <si>
    <t>Entity Address, Postal Zip Code</t>
  </si>
  <si>
    <t>94105</t>
  </si>
  <si>
    <t>City Area Code</t>
  </si>
  <si>
    <t>415</t>
  </si>
  <si>
    <t>Local Phone Number</t>
  </si>
  <si>
    <t>901-7000</t>
  </si>
  <si>
    <t>Title of 12(b) Security</t>
  </si>
  <si>
    <t>Common Stock, par value $0.001 per share</t>
  </si>
  <si>
    <t>Trading Symbol</t>
  </si>
  <si>
    <t>CRM</t>
  </si>
  <si>
    <t>Security Exchange Name</t>
  </si>
  <si>
    <t>NYSE</t>
  </si>
  <si>
    <t>Entity Well-known Seasoned Issuer</t>
  </si>
  <si>
    <t>Yes</t>
  </si>
  <si>
    <t>Entity Voluntary Filers</t>
  </si>
  <si>
    <t>No</t>
  </si>
  <si>
    <t>Entity Current Reporting Status</t>
  </si>
  <si>
    <t>Entity Interactive Data Current</t>
  </si>
  <si>
    <t>Entity Filer Category</t>
  </si>
  <si>
    <t>Large Accelerated Filer</t>
  </si>
  <si>
    <t>Entity Small Business</t>
  </si>
  <si>
    <t>Entity Emerging Growth Company</t>
  </si>
  <si>
    <t>ICFR Auditor Attestation Flag</t>
  </si>
  <si>
    <t>Entity Shell Company</t>
  </si>
  <si>
    <t>Entity Public Float</t>
  </si>
  <si>
    <t>Entity Common Stock, Shares Outstanding</t>
  </si>
  <si>
    <t>Documents Incorporated by Reference</t>
  </si>
  <si>
    <t>Portions of the Registrant’s definitive proxy statement for its 2021 Annual Meeting of Stockholders (the “Proxy Statement”), to be filed within 120 days of the Registrant’s fiscal year ended January 31, 2021, are incorporated by reference in Part III of this Report on Form 10-K. Except with respect to information specifically incorporated by reference in this Form 10-K, the Proxy Statement is not deemed to be filed as part of this Form 10-K.</t>
  </si>
  <si>
    <t>Amendment Flag</t>
  </si>
  <si>
    <t>Document Fiscal Year Focus</t>
  </si>
  <si>
    <t>2021</t>
  </si>
  <si>
    <t>Document Fiscal Period Focus</t>
  </si>
  <si>
    <t>FY</t>
  </si>
  <si>
    <t>Entity Central Index Key</t>
  </si>
  <si>
    <t>0001108524</t>
  </si>
  <si>
    <t>Consolidated Balance Sheets - USD ($) $ in Millions</t>
  </si>
  <si>
    <t>Jan. 31, 2020</t>
  </si>
  <si>
    <t>Current assets:</t>
  </si>
  <si>
    <t>Cash and cash equivalents</t>
  </si>
  <si>
    <t>Marketable securities</t>
  </si>
  <si>
    <t>Accounts receivable, net</t>
  </si>
  <si>
    <t>Costs capitalized to obtain revenue contracts, net</t>
  </si>
  <si>
    <t>Prepaid expenses and other current assets</t>
  </si>
  <si>
    <t>Total current assets</t>
  </si>
  <si>
    <t>Property and equipment, net</t>
  </si>
  <si>
    <t>Operating lease right-of-use assets, net</t>
  </si>
  <si>
    <t>Noncurrent costs capitalized to obtain revenue contracts, net</t>
  </si>
  <si>
    <t>Strategic investments</t>
  </si>
  <si>
    <t>Goodwill</t>
  </si>
  <si>
    <t>Intangible assets acquired through business combinations, net</t>
  </si>
  <si>
    <t>Deferred tax assets and other assets, net</t>
  </si>
  <si>
    <t>Total assets</t>
  </si>
  <si>
    <t>Current liabilities:</t>
  </si>
  <si>
    <t>Accounts payable, accrued expenses and other liabilities</t>
  </si>
  <si>
    <t>Operating lease liabilities, current</t>
  </si>
  <si>
    <t>Unearned revenue</t>
  </si>
  <si>
    <t>Total current liabilities</t>
  </si>
  <si>
    <t>Noncurrent debt</t>
  </si>
  <si>
    <t>Noncurrent operating lease liabilities</t>
  </si>
  <si>
    <t>Other noncurrent liabilities</t>
  </si>
  <si>
    <t>Total liabilities</t>
  </si>
  <si>
    <t>Commitments and contingencies (See Notes 6 and 14)</t>
  </si>
  <si>
    <t xml:space="preserve"> </t>
  </si>
  <si>
    <t>Stockholders’ equity:</t>
  </si>
  <si>
    <t>Preferred stock, $0.001 par value; 5 shares authorized and none issued and outstanding</t>
  </si>
  <si>
    <t>Common stock, $0.001 par value; 1,600 shares authorized, 919 and 893 issued and outstanding at January 31, 2021 and 2020, respectively</t>
  </si>
  <si>
    <t>Additional paid-in capital</t>
  </si>
  <si>
    <t>Accumulated other comprehensive loss</t>
  </si>
  <si>
    <t>Retained earnings</t>
  </si>
  <si>
    <t>Total stockholders’ equity</t>
  </si>
  <si>
    <t>Total liabilities and stockholders’ equity</t>
  </si>
  <si>
    <t>Consolidated Balance Sheets (Parenthetical) - $ / shares</t>
  </si>
  <si>
    <t>Statement of Financial Position [Abstract]</t>
  </si>
  <si>
    <t>Preferred stock, par value (in dollars per share)</t>
  </si>
  <si>
    <t>Preferred stock, shares authorized (in shares)</t>
  </si>
  <si>
    <t>Preferred stock, shares issued (in shares)</t>
  </si>
  <si>
    <t>Preferred stock, shares outstanding (in shares)</t>
  </si>
  <si>
    <t>Common stock, par value (in dollars per share)</t>
  </si>
  <si>
    <t>Common stock, shares authorized (in shares)</t>
  </si>
  <si>
    <t>Common stock, shares issued (in shares)</t>
  </si>
  <si>
    <t>Common stock, shares outstanding (in shares)</t>
  </si>
  <si>
    <t>Consolidated Statements of Operations - USD ($) shares in Millions, $ in Millions</t>
  </si>
  <si>
    <t>Jan. 31, 2019</t>
  </si>
  <si>
    <t>Revenues:</t>
  </si>
  <si>
    <t>Total revenues</t>
  </si>
  <si>
    <t>Cost of revenues:</t>
  </si>
  <si>
    <t>Total cost of revenues</t>
  </si>
  <si>
    <t>[1],[2]</t>
  </si>
  <si>
    <t>Gross profit</t>
  </si>
  <si>
    <t>Operating expenses:</t>
  </si>
  <si>
    <t>Research and development</t>
  </si>
  <si>
    <t>Marketing and sales</t>
  </si>
  <si>
    <t>General and administrative</t>
  </si>
  <si>
    <t>Loss on settlement of Salesforce.org reseller agreement</t>
  </si>
  <si>
    <t>Total operating expenses</t>
  </si>
  <si>
    <t>Income from operations</t>
  </si>
  <si>
    <t>Gains on strategic investments, net</t>
  </si>
  <si>
    <t>[3]</t>
  </si>
  <si>
    <t>Other expense</t>
  </si>
  <si>
    <t>Income before benefit from (provision for) income taxes</t>
  </si>
  <si>
    <t>Benefit from (provision for) income taxes</t>
  </si>
  <si>
    <t>[4]</t>
  </si>
  <si>
    <t>Net income</t>
  </si>
  <si>
    <t>Basic net income per share (in dollars per share)</t>
  </si>
  <si>
    <t>Diluted net income per share (in dollars per share)</t>
  </si>
  <si>
    <t>Shares used in computing basic net income per share (in shares)</t>
  </si>
  <si>
    <t>Shares used in computing diluted net income per share (in shares)</t>
  </si>
  <si>
    <t>Subscription and support</t>
  </si>
  <si>
    <t>Professional services and other</t>
  </si>
  <si>
    <t>[1]</t>
  </si>
  <si>
    <t xml:space="preserve">Amounts include amortization of intangible assets acquired through business combinations, as follows: Fiscal Year Ended January 31, 2021 2020 2019 Cost of revenues $ 662 $ 440 $ 215 Marketing and sales 459 352 232 </t>
  </si>
  <si>
    <t>[2]</t>
  </si>
  <si>
    <t xml:space="preserve">Amounts include stock-based expense, as follows: Fiscal Year Ended January 31, 2021 2020 2019 Cost of revenues $ 241 $ 204 $ 161 Research and development 703 510 307 Marketing and sales 941 852 643 General and administrative 305 219 172 </t>
  </si>
  <si>
    <t>During fiscal 2021, two of the Company’s strategic investments completed their initial public offering, resulting in an unrealized gain of $1.7 billion as of January 31, 2021.</t>
  </si>
  <si>
    <t>Amounts include approximately $2.0 billion of one-time benefit from a discrete tax item related to the recognition of deferred tax assets resulting from an intra-entity transfer of intangible property in fiscal 2021, and a benefit related to the partial release of the valuation allowance of $612 million for fiscal 2019.</t>
  </si>
  <si>
    <t>Consolidated Statements of Operations (Parenthetical) - USD ($) $ in Millions</t>
  </si>
  <si>
    <t>Stock-based expenses</t>
  </si>
  <si>
    <t>Unrealized gain</t>
  </si>
  <si>
    <t>Discrete tax benefit</t>
  </si>
  <si>
    <t>Partial release of valuation allowance</t>
  </si>
  <si>
    <t>Publicly traded securities</t>
  </si>
  <si>
    <t>Cost of revenues</t>
  </si>
  <si>
    <t>Amortization of intangibles acquired through business combinations</t>
  </si>
  <si>
    <t>Consolidated Statements of Comprehensive Income - USD ($) $ in Millions</t>
  </si>
  <si>
    <t>Statement of Comprehensive Income [Abstract]</t>
  </si>
  <si>
    <t>Other comprehensive income (loss), net of reclassification adjustments:</t>
  </si>
  <si>
    <t>Foreign currency translation and other gains (losses)</t>
  </si>
  <si>
    <t>Unrealized gains (losses) on marketable securities and privately held debt securities</t>
  </si>
  <si>
    <t>Other comprehensive income (loss), before tax</t>
  </si>
  <si>
    <t>Tax effect</t>
  </si>
  <si>
    <t>Other comprehensive income (loss), net</t>
  </si>
  <si>
    <t>Comprehensive income</t>
  </si>
  <si>
    <t>Condensed Consolidated Statements of Stockholders’ Equity - USD ($) shares in Millions, $ in Millions</t>
  </si>
  <si>
    <t>Total</t>
  </si>
  <si>
    <t>Cumulative Effect, Period of Adoption, Adjustment</t>
  </si>
  <si>
    <t>Common Stock</t>
  </si>
  <si>
    <t>Additional Paid-in Capital</t>
  </si>
  <si>
    <t>Accumulated Other Comprehensive Loss</t>
  </si>
  <si>
    <t>Accumulated Other Comprehensive LossCumulative Effect, Period of Adoption, Adjustment</t>
  </si>
  <si>
    <t>Retained Earnings</t>
  </si>
  <si>
    <t>Retained EarningsCumulative Effect, Period of Adoption, Adjustment</t>
  </si>
  <si>
    <t>Beginning balance (in shares) at Jan. 31, 2018</t>
  </si>
  <si>
    <t>Beginning balance at Jan. 31, 2018</t>
  </si>
  <si>
    <t>Increase (Decrease) in Stockholders' Equity [Roll Forward]</t>
  </si>
  <si>
    <t>Common stock issued (in shares)</t>
  </si>
  <si>
    <t>Common stock issued</t>
  </si>
  <si>
    <t>Shares issued related to business combinations (in shares)</t>
  </si>
  <si>
    <t>Shares issued related to business combinations</t>
  </si>
  <si>
    <t>Settlement of convertible notes and warrants (in shares)</t>
  </si>
  <si>
    <t>Settlement of convertible notes and warrants</t>
  </si>
  <si>
    <t>Stock-based expense</t>
  </si>
  <si>
    <t>Other comprehensive loss, net of tax</t>
  </si>
  <si>
    <t>Ending balance (in shares) at Jan. 31, 2019</t>
  </si>
  <si>
    <t>Ending balance at Jan. 31, 2019</t>
  </si>
  <si>
    <t>Ending balance (in shares) at Jan. 31, 2020</t>
  </si>
  <si>
    <t>Ending balance at Jan. 31, 2020</t>
  </si>
  <si>
    <t>Ending balance (in shares) at Jan. 31, 2021</t>
  </si>
  <si>
    <t>Ending balance at Jan. 31, 2021</t>
  </si>
  <si>
    <t>Consolidated Statements of Cash Flows - USD ($) $ in Millions</t>
  </si>
  <si>
    <t>Operating activities:</t>
  </si>
  <si>
    <t>Adjustments to reconcile net income to net cash provided by operating activities:</t>
  </si>
  <si>
    <t>Depreciation and amortization</t>
  </si>
  <si>
    <t>Amortization of costs capitalized to obtain revenue contracts, net</t>
  </si>
  <si>
    <t>Expenses related to employee stock plans</t>
  </si>
  <si>
    <t>Tax benefit from intra-entity transfer of intangible property</t>
  </si>
  <si>
    <t>Changes in assets and liabilities, net of business combinations:</t>
  </si>
  <si>
    <t>Prepaid expenses and other current assets and other assets</t>
  </si>
  <si>
    <t>Accounts payable and accrued expenses and other liabilities</t>
  </si>
  <si>
    <t>Operating lease liabilities</t>
  </si>
  <si>
    <t>Net cash provided by operating activities</t>
  </si>
  <si>
    <t>Investing activities:</t>
  </si>
  <si>
    <t>Business combinations, net of cash acquired</t>
  </si>
  <si>
    <t>Purchases of strategic investments</t>
  </si>
  <si>
    <t>Sales of strategic investments</t>
  </si>
  <si>
    <t>Purchases of marketable securities</t>
  </si>
  <si>
    <t>Sales of marketable securities</t>
  </si>
  <si>
    <t>Maturities of marketable securities</t>
  </si>
  <si>
    <t>Capital expenditures</t>
  </si>
  <si>
    <t>Net cash used in investing activities</t>
  </si>
  <si>
    <t>Financing activities:</t>
  </si>
  <si>
    <t>Proceeds from issuance of debt, net</t>
  </si>
  <si>
    <t>Proceeds from employee stock plans</t>
  </si>
  <si>
    <t>Principal payments on financing obligations</t>
  </si>
  <si>
    <t>Repayments of debt</t>
  </si>
  <si>
    <t>Net cash provided by financing activities</t>
  </si>
  <si>
    <t>Effect of exchange rate changes</t>
  </si>
  <si>
    <t>Net increase in cash and cash equivalents</t>
  </si>
  <si>
    <t>Cash and cash equivalents, beginning of period</t>
  </si>
  <si>
    <t>Cash and cash equivalents, end of period</t>
  </si>
  <si>
    <t>Cash paid during the period for:</t>
  </si>
  <si>
    <t>Interest</t>
  </si>
  <si>
    <t>Income taxes, net of tax refunds</t>
  </si>
  <si>
    <t>Non-cash investing and financing activities:</t>
  </si>
  <si>
    <t>Fair value of equity awards assumed</t>
  </si>
  <si>
    <t>Fair value of common stock issued as consideration for business combinations</t>
  </si>
  <si>
    <t>Actuals</t>
  </si>
  <si>
    <t>Forecasts</t>
  </si>
  <si>
    <t xml:space="preserve">Year </t>
  </si>
  <si>
    <t>ASSETS:</t>
  </si>
  <si>
    <t xml:space="preserve">Revenues </t>
  </si>
  <si>
    <t xml:space="preserve">Cash and Cash Equivalents </t>
  </si>
  <si>
    <t xml:space="preserve">&lt;Cost of Sales and Occupancy&gt; </t>
  </si>
  <si>
    <t xml:space="preserve">Marketable Securities </t>
  </si>
  <si>
    <t xml:space="preserve">Gross Profit </t>
  </si>
  <si>
    <t xml:space="preserve">Accounts Receivable—Net </t>
  </si>
  <si>
    <t xml:space="preserve">&lt;General and Administrative Expenses&gt; </t>
  </si>
  <si>
    <t xml:space="preserve">Current Assets </t>
  </si>
  <si>
    <t xml:space="preserve">  Operating Profit </t>
  </si>
  <si>
    <t xml:space="preserve">Interest Income </t>
  </si>
  <si>
    <t xml:space="preserve">Amortizable Intangible Assets—Net </t>
  </si>
  <si>
    <t xml:space="preserve">Goodwill and Nonamortizable Intangibles </t>
  </si>
  <si>
    <t xml:space="preserve">Equity and Other Investments </t>
  </si>
  <si>
    <t xml:space="preserve">Net Income (Computed) </t>
  </si>
  <si>
    <t xml:space="preserve">Other Comprehensive Income Items </t>
  </si>
  <si>
    <t xml:space="preserve">Total Assets </t>
  </si>
  <si>
    <t xml:space="preserve">Comprehensive Income </t>
  </si>
  <si>
    <t>LIABILITIES:</t>
  </si>
  <si>
    <t>interest rate on this debt</t>
  </si>
  <si>
    <t>given in the case</t>
  </si>
  <si>
    <t>Tax rate</t>
  </si>
  <si>
    <t>shares outstanding at the end of 2008</t>
  </si>
  <si>
    <t>million</t>
  </si>
  <si>
    <t>The market equity beta for Starbucks at the end of 2008 was .58</t>
  </si>
  <si>
    <t xml:space="preserve">risk-free interest rate is </t>
  </si>
  <si>
    <t xml:space="preserve">Current Liabilities </t>
  </si>
  <si>
    <t xml:space="preserve">market risk premium was </t>
  </si>
  <si>
    <t>At the start of Year +1, Starbucks’ share price was</t>
  </si>
  <si>
    <r>
      <t>E[R</t>
    </r>
    <r>
      <rPr>
        <b/>
        <vertAlign val="subscript"/>
        <sz val="12"/>
        <color theme="1"/>
        <rFont val="Times New Roman"/>
        <family val="1"/>
      </rPr>
      <t>SBUX</t>
    </r>
    <r>
      <rPr>
        <b/>
        <sz val="12"/>
        <color theme="1"/>
        <rFont val="Times New Roman"/>
        <family val="1"/>
      </rPr>
      <t>]=E[R</t>
    </r>
    <r>
      <rPr>
        <b/>
        <vertAlign val="subscript"/>
        <sz val="12"/>
        <color theme="1"/>
        <rFont val="Times New Roman"/>
        <family val="1"/>
      </rPr>
      <t>F</t>
    </r>
    <r>
      <rPr>
        <b/>
        <sz val="12"/>
        <color theme="1"/>
        <rFont val="Times New Roman"/>
        <family val="1"/>
      </rPr>
      <t xml:space="preserve">] + </t>
    </r>
    <r>
      <rPr>
        <b/>
        <sz val="12"/>
        <color theme="1"/>
        <rFont val="Symbol"/>
        <family val="1"/>
        <charset val="2"/>
      </rPr>
      <t>b</t>
    </r>
    <r>
      <rPr>
        <b/>
        <vertAlign val="subscript"/>
        <sz val="12"/>
        <color theme="1"/>
        <rFont val="Times New Roman"/>
        <family val="1"/>
      </rPr>
      <t>SBUX</t>
    </r>
    <r>
      <rPr>
        <b/>
        <sz val="12"/>
        <color theme="1"/>
        <rFont val="Times New Roman"/>
        <family val="1"/>
      </rPr>
      <t xml:space="preserve"> </t>
    </r>
    <r>
      <rPr>
        <b/>
        <sz val="12"/>
        <color theme="1"/>
        <rFont val="Arial"/>
        <family val="2"/>
      </rPr>
      <t>x</t>
    </r>
    <r>
      <rPr>
        <b/>
        <sz val="12"/>
        <color theme="1"/>
        <rFont val="Times New Roman"/>
        <family val="1"/>
      </rPr>
      <t xml:space="preserve"> E[R</t>
    </r>
    <r>
      <rPr>
        <b/>
        <vertAlign val="subscript"/>
        <sz val="12"/>
        <color theme="1"/>
        <rFont val="Times New Roman"/>
        <family val="1"/>
      </rPr>
      <t>M</t>
    </r>
    <r>
      <rPr>
        <b/>
        <sz val="12"/>
        <color theme="1"/>
        <rFont val="Times New Roman"/>
        <family val="1"/>
      </rPr>
      <t xml:space="preserve"> – R</t>
    </r>
    <r>
      <rPr>
        <b/>
        <vertAlign val="subscript"/>
        <sz val="12"/>
        <color theme="1"/>
        <rFont val="Times New Roman"/>
        <family val="1"/>
      </rPr>
      <t>F</t>
    </r>
    <r>
      <rPr>
        <b/>
        <sz val="12"/>
        <color theme="1"/>
        <rFont val="Times New Roman"/>
        <family val="1"/>
      </rPr>
      <t>]</t>
    </r>
  </si>
  <si>
    <t xml:space="preserve">Total Liabilities </t>
  </si>
  <si>
    <t>Annual</t>
  </si>
  <si>
    <t>Mid-Year</t>
  </si>
  <si>
    <t>SHAREHOLDERS' EQUITY</t>
  </si>
  <si>
    <t>Weight</t>
  </si>
  <si>
    <t xml:space="preserve">Common Stock + Paid-In Capital </t>
  </si>
  <si>
    <t>Common Equity  (in million)</t>
  </si>
  <si>
    <t>Debt  (in million)</t>
  </si>
  <si>
    <t>Accum. Other Comprehensive Income &lt;Loss&gt;</t>
  </si>
  <si>
    <t>Total Asset (in million)</t>
  </si>
  <si>
    <t xml:space="preserve"> Common Shareholders' Equity </t>
  </si>
  <si>
    <t xml:space="preserve">Total Liabilities and Equities </t>
  </si>
  <si>
    <r>
      <t>WACC=[w</t>
    </r>
    <r>
      <rPr>
        <b/>
        <vertAlign val="subscript"/>
        <sz val="12"/>
        <color theme="1"/>
        <rFont val="Times New Roman"/>
        <family val="1"/>
      </rPr>
      <t>D</t>
    </r>
    <r>
      <rPr>
        <b/>
        <sz val="12"/>
        <color theme="1"/>
        <rFont val="Times New Roman"/>
        <family val="1"/>
      </rPr>
      <t xml:space="preserve"> </t>
    </r>
    <r>
      <rPr>
        <b/>
        <sz val="12"/>
        <color theme="1"/>
        <rFont val="Arial"/>
        <family val="2"/>
      </rPr>
      <t>x</t>
    </r>
    <r>
      <rPr>
        <b/>
        <sz val="12"/>
        <color theme="1"/>
        <rFont val="Times New Roman"/>
        <family val="1"/>
      </rPr>
      <t xml:space="preserve"> R</t>
    </r>
    <r>
      <rPr>
        <b/>
        <vertAlign val="subscript"/>
        <sz val="12"/>
        <color theme="1"/>
        <rFont val="Times New Roman"/>
        <family val="1"/>
      </rPr>
      <t>D</t>
    </r>
    <r>
      <rPr>
        <b/>
        <sz val="12"/>
        <color theme="1"/>
        <rFont val="Times New Roman"/>
        <family val="1"/>
      </rPr>
      <t xml:space="preserve"> </t>
    </r>
    <r>
      <rPr>
        <b/>
        <sz val="12"/>
        <color theme="1"/>
        <rFont val="Arial"/>
        <family val="2"/>
      </rPr>
      <t>x</t>
    </r>
    <r>
      <rPr>
        <b/>
        <sz val="12"/>
        <color theme="1"/>
        <rFont val="Times New Roman"/>
        <family val="1"/>
      </rPr>
      <t xml:space="preserve"> (1 – tax rate)] + [w</t>
    </r>
    <r>
      <rPr>
        <b/>
        <vertAlign val="subscript"/>
        <sz val="12"/>
        <color theme="1"/>
        <rFont val="Times New Roman"/>
        <family val="1"/>
      </rPr>
      <t>P</t>
    </r>
    <r>
      <rPr>
        <b/>
        <sz val="12"/>
        <color theme="1"/>
        <rFont val="Times New Roman"/>
        <family val="1"/>
      </rPr>
      <t xml:space="preserve"> </t>
    </r>
    <r>
      <rPr>
        <b/>
        <sz val="12"/>
        <color theme="1"/>
        <rFont val="Arial"/>
        <family val="2"/>
      </rPr>
      <t>x</t>
    </r>
    <r>
      <rPr>
        <b/>
        <sz val="12"/>
        <color theme="1"/>
        <rFont val="Times New Roman"/>
        <family val="1"/>
      </rPr>
      <t xml:space="preserve"> R</t>
    </r>
    <r>
      <rPr>
        <b/>
        <vertAlign val="subscript"/>
        <sz val="12"/>
        <color theme="1"/>
        <rFont val="Times New Roman"/>
        <family val="1"/>
      </rPr>
      <t>P</t>
    </r>
    <r>
      <rPr>
        <b/>
        <sz val="12"/>
        <color theme="1"/>
        <rFont val="Times New Roman"/>
        <family val="1"/>
      </rPr>
      <t>] + [w</t>
    </r>
    <r>
      <rPr>
        <b/>
        <vertAlign val="subscript"/>
        <sz val="12"/>
        <color theme="1"/>
        <rFont val="Times New Roman"/>
        <family val="1"/>
      </rPr>
      <t>E</t>
    </r>
    <r>
      <rPr>
        <b/>
        <sz val="12"/>
        <color theme="1"/>
        <rFont val="Times New Roman"/>
        <family val="1"/>
      </rPr>
      <t xml:space="preserve"> </t>
    </r>
    <r>
      <rPr>
        <b/>
        <sz val="12"/>
        <color theme="1"/>
        <rFont val="Arial"/>
        <family val="2"/>
      </rPr>
      <t>x</t>
    </r>
    <r>
      <rPr>
        <b/>
        <sz val="12"/>
        <color theme="1"/>
        <rFont val="Times New Roman"/>
        <family val="1"/>
      </rPr>
      <t xml:space="preserve"> R</t>
    </r>
    <r>
      <rPr>
        <b/>
        <vertAlign val="subscript"/>
        <sz val="12"/>
        <color theme="1"/>
        <rFont val="Times New Roman"/>
        <family val="1"/>
      </rPr>
      <t>E</t>
    </r>
    <r>
      <rPr>
        <b/>
        <sz val="12"/>
        <color theme="1"/>
        <rFont val="Times New Roman"/>
        <family val="1"/>
      </rPr>
      <t>]</t>
    </r>
  </si>
  <si>
    <t>Actual and Forecast Statements of Net Income and Comprehensive Income for Salesforce Inc.</t>
  </si>
  <si>
    <t xml:space="preserve">Prepaid Expenses and Other Current  Assets </t>
  </si>
  <si>
    <t>Deferred Tax Assets and other assets, net</t>
  </si>
  <si>
    <t>Property, Plant &amp; Equipment, net</t>
  </si>
  <si>
    <t>Accounts Payable, Accrued Expenses and other Liabilities</t>
  </si>
  <si>
    <t>Unearned Revenue</t>
  </si>
  <si>
    <t>Non-Current Operating Lease Liabilities</t>
  </si>
  <si>
    <t>Other Non-Current Liabilities</t>
  </si>
  <si>
    <t>Non-Current Debt</t>
  </si>
  <si>
    <t xml:space="preserve">&lt;Research and development&gt; </t>
  </si>
  <si>
    <t xml:space="preserve">&lt;Marketing and sales&gt; </t>
  </si>
  <si>
    <t xml:space="preserve">&lt;Loss on settlement of Salesforce.org reseller agreement&gt; </t>
  </si>
  <si>
    <t xml:space="preserve">&lt;Interest Expense and other expenses&gt; </t>
  </si>
  <si>
    <t xml:space="preserve">Tax Rate: </t>
  </si>
  <si>
    <t>Salesforce - Salesforce Announces Strong Third Quarter Fiscal 2022 Results</t>
  </si>
  <si>
    <t>Share Value</t>
  </si>
  <si>
    <t>Jan. 31, 2017</t>
  </si>
  <si>
    <t>Jan. 31, 2018</t>
  </si>
  <si>
    <t>Average</t>
  </si>
  <si>
    <t>%rate</t>
  </si>
  <si>
    <t>Deferred commision, noncurrent</t>
  </si>
  <si>
    <t>Capitalized software, net</t>
  </si>
  <si>
    <t>Gain on Sales of land and building improvement</t>
  </si>
  <si>
    <t>Gain from acqusitions of strategic invesment</t>
  </si>
  <si>
    <t>$$ In Millions</t>
  </si>
  <si>
    <t xml:space="preserve">Retained Earnings </t>
  </si>
  <si>
    <t>BV</t>
  </si>
  <si>
    <t>Tax Rate</t>
  </si>
  <si>
    <t>NI</t>
  </si>
  <si>
    <t>outstanding shares</t>
  </si>
  <si>
    <t>Required Income</t>
  </si>
  <si>
    <t>Growth Rate</t>
  </si>
  <si>
    <t>Residual Income</t>
  </si>
  <si>
    <t>Beta</t>
  </si>
  <si>
    <t>PV of Res. Income</t>
  </si>
  <si>
    <t>Rf</t>
  </si>
  <si>
    <t>Sum of Pv of Res. Income</t>
  </si>
  <si>
    <t>MRP</t>
  </si>
  <si>
    <t>RI t+6</t>
  </si>
  <si>
    <t>RE</t>
  </si>
  <si>
    <t>Continuing Value</t>
  </si>
  <si>
    <t>PV continuing Value</t>
  </si>
  <si>
    <t>Firm Value before mid year Adjust</t>
  </si>
  <si>
    <t>Adjusting for mid year</t>
  </si>
  <si>
    <t>(in millions)</t>
  </si>
  <si>
    <t>Outstanding shares</t>
  </si>
  <si>
    <t>Profitability Ratio:</t>
  </si>
  <si>
    <t>Basic EPS</t>
  </si>
  <si>
    <t>Diluted EPS</t>
  </si>
  <si>
    <t>Return on Assets (ROA)</t>
  </si>
  <si>
    <t>Return on Common Equity (ROCE)</t>
  </si>
  <si>
    <t>Risk ratio</t>
  </si>
  <si>
    <t>Operating ROA</t>
  </si>
  <si>
    <t>Current Ratio</t>
  </si>
  <si>
    <t>Quick Ratio</t>
  </si>
  <si>
    <t>D/E ratio</t>
  </si>
  <si>
    <t>Interest Income</t>
  </si>
  <si>
    <t>use this assumption</t>
  </si>
  <si>
    <t>Assumed*</t>
  </si>
  <si>
    <t xml:space="preserve">*Assume that the company doesn't lose anything from legal settlement </t>
  </si>
  <si>
    <t xml:space="preserve">Earning per share: </t>
  </si>
  <si>
    <t>Net income (loss)</t>
  </si>
  <si>
    <t>Other comprehensive income (loss), before tax and net of reclassification adjustments:</t>
  </si>
  <si>
    <t>Foreign currency translation and other losses</t>
  </si>
  <si>
    <t>Unrealized gains (losses) on investments</t>
  </si>
  <si>
    <t>Other comprehensive loss, before tax</t>
  </si>
  <si>
    <t>Comprehensive income (loss)</t>
  </si>
  <si>
    <t>(shares in million)</t>
  </si>
  <si>
    <t>[2] Data from Yahoo Finance</t>
  </si>
  <si>
    <t>Original Balance</t>
  </si>
  <si>
    <t>Rebalance the TA = TD+TE and goes to 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</si>
</sst>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6" formatCode="&quot;$&quot;#,##0_);[Red]\(&quot;$&quot;#,##0\)"/>
    <numFmt numFmtId="8" formatCode="&quot;$&quot;#,##0.00_);[Red]\(&quot;$&quot;#,##0.00\)"/>
    <numFmt numFmtId="44" formatCode="_(&quot;$&quot;* #,##0.00_);_(&quot;$&quot;* \(#,##0.00\);_(&quot;$&quot;* &quot;-&quot;??_);_(@_)"/>
    <numFmt numFmtId="43" formatCode="_(* #,##0.00_);_(* \(#,##0.00\);_(* &quot;-&quot;??_);_(@_)"/>
    <numFmt numFmtId="164" formatCode="_(&quot;$ &quot;#,##0.0_);_(&quot;$ &quot;\(#,##0.0\)"/>
    <numFmt numFmtId="165" formatCode="_(&quot;$ &quot;#,##0_);_(&quot;$ &quot;\(#,##0\)"/>
    <numFmt numFmtId="166" formatCode="_(&quot;$ &quot;#,##0.000_);_(&quot;$ &quot;\(#,##0.000\)"/>
    <numFmt numFmtId="167" formatCode="_(&quot;$ &quot;#,##0.00_);_(&quot;$ &quot;\(#,##0.00\)"/>
    <numFmt numFmtId="168" formatCode="_(* #,##0_);_(* \(#,##0\);_(* &quot;-&quot;??_);_(@_)"/>
    <numFmt numFmtId="169" formatCode="0.0%"/>
    <numFmt numFmtId="170" formatCode="_(&quot;$&quot;* #,##0_);_(&quot;$&quot;* \(#,##0\);_(&quot;$&quot;* &quot;-&quot;??_);_(@_)"/>
    <numFmt numFmtId="171" formatCode="#,##0;\(#,##0\)"/>
  </numFmts>
  <fonts count="46">
    <font>
      <sz val="11"/>
      <color theme="1"/>
      <name val="Calibri"/>
      <family val="2"/>
      <scheme val="minor"/>
    </font>
    <font>
      <b/>
      <sz val="11"/>
      <name val="Calibri"/>
      <family val="2"/>
    </font>
    <font>
      <sz val="11"/>
      <name val="Calibri"/>
      <family val="2"/>
    </font>
    <font>
      <sz val="11"/>
      <color theme="1"/>
      <name val="Calibri"/>
      <family val="2"/>
      <scheme val="minor"/>
    </font>
    <font>
      <sz val="11"/>
      <color rgb="FFFF0000"/>
      <name val="Calibri"/>
      <family val="2"/>
      <scheme val="minor"/>
    </font>
    <font>
      <b/>
      <sz val="11"/>
      <color theme="1"/>
      <name val="Calibri"/>
      <family val="2"/>
      <scheme val="minor"/>
    </font>
    <font>
      <sz val="12"/>
      <color theme="1"/>
      <name val="Cambria"/>
      <family val="2"/>
      <scheme val="major"/>
    </font>
    <font>
      <b/>
      <sz val="10"/>
      <color theme="1"/>
      <name val="Times New Roman"/>
      <family val="1"/>
    </font>
    <font>
      <sz val="10"/>
      <color theme="1"/>
      <name val="Cambria"/>
      <family val="2"/>
      <scheme val="major"/>
    </font>
    <font>
      <b/>
      <sz val="12"/>
      <color theme="1"/>
      <name val="Cambria"/>
      <family val="2"/>
      <scheme val="major"/>
    </font>
    <font>
      <b/>
      <sz val="10"/>
      <color theme="1"/>
      <name val="Cambria"/>
      <family val="2"/>
      <scheme val="major"/>
    </font>
    <font>
      <b/>
      <sz val="12"/>
      <color theme="1"/>
      <name val="Times New Roman"/>
      <family val="1"/>
    </font>
    <font>
      <b/>
      <vertAlign val="subscript"/>
      <sz val="12"/>
      <color theme="1"/>
      <name val="Times New Roman"/>
      <family val="1"/>
    </font>
    <font>
      <b/>
      <sz val="12"/>
      <color theme="1"/>
      <name val="Symbol"/>
      <family val="1"/>
      <charset val="2"/>
    </font>
    <font>
      <b/>
      <sz val="12"/>
      <color theme="1"/>
      <name val="Arial"/>
      <family val="2"/>
    </font>
    <font>
      <b/>
      <sz val="11"/>
      <color rgb="FFFF0000"/>
      <name val="Calibri"/>
      <family val="2"/>
      <scheme val="minor"/>
    </font>
    <font>
      <b/>
      <sz val="12"/>
      <color theme="1"/>
      <name val="Cambria"/>
      <family val="1"/>
      <scheme val="major"/>
    </font>
    <font>
      <sz val="12"/>
      <color theme="1"/>
      <name val="Cambria"/>
      <family val="1"/>
      <scheme val="major"/>
    </font>
    <font>
      <u/>
      <sz val="11"/>
      <color theme="10"/>
      <name val="Calibri"/>
      <family val="2"/>
      <scheme val="minor"/>
    </font>
    <font>
      <sz val="10"/>
      <color indexed="10"/>
      <name val="Arial"/>
      <family val="2"/>
    </font>
    <font>
      <sz val="10"/>
      <name val="Arial"/>
      <family val="2"/>
    </font>
    <font>
      <sz val="12"/>
      <name val="Cambria"/>
      <family val="1"/>
      <scheme val="major"/>
    </font>
    <font>
      <b/>
      <sz val="10"/>
      <color theme="1"/>
      <name val="Cambria"/>
      <family val="1"/>
      <scheme val="major"/>
    </font>
    <font>
      <sz val="8"/>
      <name val="Calibri"/>
      <family val="2"/>
      <scheme val="minor"/>
    </font>
    <font>
      <b/>
      <sz val="11"/>
      <color rgb="FFFF0000"/>
      <name val="Calibri"/>
      <family val="2"/>
    </font>
    <font>
      <sz val="11"/>
      <color theme="1"/>
      <name val="Arial"/>
      <family val="2"/>
    </font>
    <font>
      <sz val="11"/>
      <color theme="1"/>
      <name val="Calibri"/>
      <family val="2"/>
    </font>
    <font>
      <b/>
      <sz val="11"/>
      <color rgb="FF000000"/>
      <name val="Arial"/>
      <family val="2"/>
    </font>
    <font>
      <b/>
      <sz val="11"/>
      <color rgb="FF000000"/>
      <name val="&quot;Times New Roman&quot;"/>
    </font>
    <font>
      <b/>
      <sz val="11"/>
      <color theme="1"/>
      <name val="Calibri"/>
      <family val="2"/>
    </font>
    <font>
      <sz val="11"/>
      <color theme="1"/>
      <name val="Inconsolata"/>
    </font>
    <font>
      <sz val="11"/>
      <color rgb="FF000000"/>
      <name val="Arial"/>
      <family val="2"/>
    </font>
    <font>
      <sz val="11"/>
      <color rgb="FF000000"/>
      <name val="Calibri"/>
      <family val="2"/>
    </font>
    <font>
      <sz val="11"/>
      <color rgb="FFC00000"/>
      <name val="&quot;Times New Roman&quot;"/>
    </font>
    <font>
      <sz val="11"/>
      <color rgb="FF000000"/>
      <name val="&quot;Calibri Light&quot;"/>
    </font>
    <font>
      <sz val="11"/>
      <color rgb="FFC00000"/>
      <name val="&quot;Calibri Light&quot;"/>
    </font>
    <font>
      <sz val="11"/>
      <color rgb="FF806000"/>
      <name val="&quot;Times New Roman&quot;"/>
    </font>
    <font>
      <sz val="11"/>
      <color rgb="FFFF0000"/>
      <name val="&quot;Calibri Light&quot;"/>
    </font>
    <font>
      <sz val="11"/>
      <color rgb="FF000000"/>
      <name val="&quot;Times New Roman&quot;"/>
    </font>
    <font>
      <b/>
      <sz val="11"/>
      <color rgb="FF000000"/>
      <name val="&quot;Calibri Light&quot;"/>
    </font>
    <font>
      <sz val="11"/>
      <color rgb="FFFF0000"/>
      <name val="Arial"/>
      <family val="2"/>
    </font>
    <font>
      <b/>
      <sz val="11"/>
      <color theme="1"/>
      <name val="Arial"/>
      <family val="2"/>
    </font>
    <font>
      <sz val="11"/>
      <name val="Calibri"/>
      <family val="2"/>
      <scheme val="minor"/>
    </font>
    <font>
      <b/>
      <sz val="12"/>
      <name val="Cambria"/>
      <family val="1"/>
      <scheme val="major"/>
    </font>
    <font>
      <sz val="11"/>
      <color theme="1"/>
      <name val="Calibri"/>
      <family val="2"/>
    </font>
    <font>
      <b/>
      <sz val="11"/>
      <color theme="1"/>
      <name val="Calibri"/>
      <family val="2"/>
    </font>
  </fonts>
  <fills count="17">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FFD966"/>
        <bgColor rgb="FFFFD966"/>
      </patternFill>
    </fill>
    <fill>
      <patternFill patternType="solid">
        <fgColor rgb="FF93C47D"/>
        <bgColor rgb="FF93C47D"/>
      </patternFill>
    </fill>
    <fill>
      <patternFill patternType="solid">
        <fgColor rgb="FFE69138"/>
        <bgColor rgb="FFE69138"/>
      </patternFill>
    </fill>
    <fill>
      <patternFill patternType="solid">
        <fgColor rgb="FFB4A7D6"/>
        <bgColor rgb="FFB4A7D6"/>
      </patternFill>
    </fill>
    <fill>
      <patternFill patternType="solid">
        <fgColor rgb="FFFFFF00"/>
        <bgColor rgb="FFFFFF00"/>
      </patternFill>
    </fill>
    <fill>
      <patternFill patternType="solid">
        <fgColor theme="0"/>
        <bgColor theme="0"/>
      </patternFill>
    </fill>
  </fills>
  <borders count="8">
    <border>
      <left/>
      <right/>
      <top/>
      <bottom/>
      <diagonal/>
    </border>
    <border>
      <left/>
      <right/>
      <top style="thin">
        <color auto="1"/>
      </top>
      <bottom style="thin">
        <color auto="1"/>
      </bottom>
      <diagonal/>
    </border>
    <border>
      <left/>
      <right/>
      <top style="medium">
        <color auto="1"/>
      </top>
      <bottom style="medium">
        <color auto="1"/>
      </bottom>
      <diagonal/>
    </border>
    <border>
      <left/>
      <right/>
      <top style="thin">
        <color auto="1"/>
      </top>
      <bottom style="double">
        <color auto="1"/>
      </bottom>
      <diagonal/>
    </border>
    <border>
      <left/>
      <right/>
      <top style="medium">
        <color indexed="64"/>
      </top>
      <bottom style="double">
        <color indexed="64"/>
      </bottom>
      <diagonal/>
    </border>
    <border>
      <left/>
      <right/>
      <top style="medium">
        <color auto="1"/>
      </top>
      <bottom/>
      <diagonal/>
    </border>
    <border>
      <left/>
      <right/>
      <top/>
      <bottom style="medium">
        <color auto="1"/>
      </bottom>
      <diagonal/>
    </border>
    <border>
      <left/>
      <right/>
      <top/>
      <bottom style="thick">
        <color auto="1"/>
      </bottom>
      <diagonal/>
    </border>
  </borders>
  <cellStyleXfs count="6">
    <xf numFmtId="0" fontId="0" fillId="0" borderId="0"/>
    <xf numFmtId="43" fontId="3" fillId="0" borderId="0" applyFont="0" applyFill="0" applyBorder="0" applyAlignment="0" applyProtection="0"/>
    <xf numFmtId="9" fontId="3" fillId="0" borderId="0" applyFont="0" applyFill="0" applyBorder="0" applyAlignment="0" applyProtection="0"/>
    <xf numFmtId="0" fontId="18" fillId="0" borderId="0" applyNumberFormat="0" applyFill="0" applyBorder="0" applyAlignment="0" applyProtection="0"/>
    <xf numFmtId="44" fontId="3" fillId="0" borderId="0" applyFont="0" applyFill="0" applyBorder="0" applyAlignment="0" applyProtection="0"/>
    <xf numFmtId="0" fontId="25" fillId="0" borderId="0"/>
  </cellStyleXfs>
  <cellXfs count="226">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vertical="top" wrapText="1"/>
    </xf>
    <xf numFmtId="0" fontId="2" fillId="0" borderId="0" xfId="0" applyFont="1" applyAlignment="1">
      <alignment vertical="top" wrapText="1"/>
    </xf>
    <xf numFmtId="164" fontId="2" fillId="0" borderId="0" xfId="0" applyNumberFormat="1" applyFont="1" applyAlignment="1">
      <alignment horizontal="right" vertical="top"/>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166" fontId="2" fillId="0" borderId="0" xfId="0" applyNumberFormat="1" applyFont="1" applyAlignment="1">
      <alignment horizontal="right" vertical="top"/>
    </xf>
    <xf numFmtId="167" fontId="2" fillId="0" borderId="0" xfId="0" applyNumberFormat="1" applyFont="1" applyAlignment="1">
      <alignment horizontal="right" vertical="top"/>
    </xf>
    <xf numFmtId="0" fontId="1" fillId="0" borderId="0" xfId="0" applyFont="1" applyAlignment="1">
      <alignment horizontal="center" vertical="center" wrapText="1"/>
    </xf>
    <xf numFmtId="0" fontId="0" fillId="0" borderId="0" xfId="0"/>
    <xf numFmtId="0" fontId="0" fillId="0" borderId="0" xfId="0"/>
    <xf numFmtId="165" fontId="1" fillId="0" borderId="0" xfId="0" applyNumberFormat="1" applyFont="1" applyAlignment="1">
      <alignment horizontal="right" vertical="top"/>
    </xf>
    <xf numFmtId="0" fontId="1" fillId="2" borderId="0" xfId="0" applyFont="1" applyFill="1" applyAlignment="1">
      <alignment vertical="top" wrapText="1"/>
    </xf>
    <xf numFmtId="165" fontId="1" fillId="2" borderId="0" xfId="0" applyNumberFormat="1" applyFont="1" applyFill="1" applyAlignment="1">
      <alignment horizontal="right" vertical="top"/>
    </xf>
    <xf numFmtId="0" fontId="6" fillId="0" borderId="0" xfId="0" applyFont="1"/>
    <xf numFmtId="0" fontId="0" fillId="0" borderId="0" xfId="0" applyAlignment="1">
      <alignment horizontal="center"/>
    </xf>
    <xf numFmtId="0" fontId="0" fillId="0" borderId="0" xfId="0" applyAlignment="1">
      <alignment horizontal="left"/>
    </xf>
    <xf numFmtId="0" fontId="8" fillId="3" borderId="0" xfId="0" applyFont="1" applyFill="1" applyAlignment="1">
      <alignment vertical="center"/>
    </xf>
    <xf numFmtId="0" fontId="6" fillId="3" borderId="0" xfId="0" applyFont="1" applyFill="1" applyAlignment="1">
      <alignment vertical="center"/>
    </xf>
    <xf numFmtId="0" fontId="9" fillId="3" borderId="0" xfId="0" applyFont="1" applyFill="1" applyAlignment="1">
      <alignment vertical="center"/>
    </xf>
    <xf numFmtId="37" fontId="6" fillId="4" borderId="0" xfId="0" applyNumberFormat="1" applyFont="1" applyFill="1" applyAlignment="1">
      <alignment horizontal="center" vertical="center"/>
    </xf>
    <xf numFmtId="37" fontId="6" fillId="5" borderId="0" xfId="0" applyNumberFormat="1" applyFont="1" applyFill="1" applyAlignment="1">
      <alignment horizontal="center" vertical="center"/>
    </xf>
    <xf numFmtId="37" fontId="6" fillId="4" borderId="0" xfId="0" applyNumberFormat="1" applyFont="1" applyFill="1" applyAlignment="1">
      <alignment horizontal="right" vertical="center"/>
    </xf>
    <xf numFmtId="39" fontId="6" fillId="5" borderId="0" xfId="0" applyNumberFormat="1" applyFont="1" applyFill="1" applyAlignment="1">
      <alignment horizontal="right" vertical="center"/>
    </xf>
    <xf numFmtId="0" fontId="9" fillId="3" borderId="0" xfId="0" applyFont="1" applyFill="1" applyAlignment="1">
      <alignment horizontal="left" vertical="center" indent="2"/>
    </xf>
    <xf numFmtId="39" fontId="9" fillId="5" borderId="1" xfId="0" applyNumberFormat="1" applyFont="1" applyFill="1" applyBorder="1" applyAlignment="1">
      <alignment horizontal="right" vertical="center"/>
    </xf>
    <xf numFmtId="3" fontId="9" fillId="4" borderId="2" xfId="0" applyNumberFormat="1" applyFont="1" applyFill="1" applyBorder="1" applyAlignment="1">
      <alignment horizontal="right" vertical="center"/>
    </xf>
    <xf numFmtId="39" fontId="9" fillId="5" borderId="3" xfId="0" applyNumberFormat="1" applyFont="1" applyFill="1" applyBorder="1" applyAlignment="1">
      <alignment horizontal="right" vertical="center"/>
    </xf>
    <xf numFmtId="3" fontId="9" fillId="4" borderId="4" xfId="0" applyNumberFormat="1" applyFont="1" applyFill="1" applyBorder="1" applyAlignment="1">
      <alignment horizontal="right" vertical="center"/>
    </xf>
    <xf numFmtId="0" fontId="6" fillId="4" borderId="0" xfId="0" applyFont="1" applyFill="1" applyAlignment="1">
      <alignment horizontal="right"/>
    </xf>
    <xf numFmtId="10" fontId="4" fillId="0" borderId="0" xfId="0" applyNumberFormat="1" applyFont="1" applyAlignment="1">
      <alignment horizontal="center"/>
    </xf>
    <xf numFmtId="0" fontId="4" fillId="0" borderId="0" xfId="0" applyFont="1" applyAlignment="1">
      <alignment horizontal="center"/>
    </xf>
    <xf numFmtId="8" fontId="4" fillId="0" borderId="0" xfId="0" applyNumberFormat="1" applyFont="1" applyAlignment="1">
      <alignment horizontal="center"/>
    </xf>
    <xf numFmtId="0" fontId="11" fillId="0" borderId="0" xfId="0" applyFont="1"/>
    <xf numFmtId="0" fontId="5" fillId="0" borderId="0" xfId="0" applyFont="1"/>
    <xf numFmtId="10" fontId="15" fillId="0" borderId="0" xfId="0" applyNumberFormat="1" applyFont="1" applyAlignment="1">
      <alignment horizontal="center"/>
    </xf>
    <xf numFmtId="10" fontId="15" fillId="0" borderId="0" xfId="2" applyNumberFormat="1" applyFont="1"/>
    <xf numFmtId="1" fontId="0" fillId="0" borderId="0" xfId="0" applyNumberFormat="1" applyAlignment="1">
      <alignment horizontal="left"/>
    </xf>
    <xf numFmtId="2" fontId="0" fillId="0" borderId="0" xfId="0" applyNumberFormat="1" applyAlignment="1">
      <alignment horizontal="left"/>
    </xf>
    <xf numFmtId="6" fontId="4" fillId="0" borderId="0" xfId="0" applyNumberFormat="1" applyFont="1" applyAlignment="1">
      <alignment horizontal="center"/>
    </xf>
    <xf numFmtId="8" fontId="4" fillId="0" borderId="5" xfId="0" applyNumberFormat="1" applyFont="1" applyBorder="1"/>
    <xf numFmtId="0" fontId="11" fillId="0" borderId="0" xfId="0" applyFont="1" applyAlignment="1">
      <alignment horizontal="left" vertical="center"/>
    </xf>
    <xf numFmtId="0" fontId="1" fillId="4" borderId="0" xfId="0" applyFont="1" applyFill="1" applyAlignment="1">
      <alignment horizontal="center" vertical="center" wrapText="1"/>
    </xf>
    <xf numFmtId="0" fontId="2" fillId="5" borderId="0" xfId="0" applyFont="1" applyFill="1" applyAlignment="1">
      <alignment vertical="top" wrapText="1"/>
    </xf>
    <xf numFmtId="37" fontId="2" fillId="5" borderId="0" xfId="0" applyNumberFormat="1" applyFont="1" applyFill="1" applyAlignment="1">
      <alignment horizontal="right" vertical="top"/>
    </xf>
    <xf numFmtId="0" fontId="2" fillId="6" borderId="0" xfId="0" applyFont="1" applyFill="1" applyAlignment="1">
      <alignment vertical="top" wrapText="1"/>
    </xf>
    <xf numFmtId="37" fontId="2" fillId="6" borderId="0" xfId="0" applyNumberFormat="1" applyFont="1" applyFill="1" applyAlignment="1">
      <alignment horizontal="right" vertical="top"/>
    </xf>
    <xf numFmtId="0" fontId="16" fillId="3" borderId="0" xfId="0" applyFont="1" applyFill="1" applyAlignment="1">
      <alignment vertical="center"/>
    </xf>
    <xf numFmtId="0" fontId="17" fillId="3" borderId="0" xfId="0" applyFont="1" applyFill="1" applyAlignment="1">
      <alignment vertical="center"/>
    </xf>
    <xf numFmtId="37" fontId="17" fillId="4" borderId="0" xfId="0" applyNumberFormat="1" applyFont="1" applyFill="1" applyAlignment="1">
      <alignment horizontal="right"/>
    </xf>
    <xf numFmtId="3" fontId="16" fillId="4" borderId="2" xfId="0" applyNumberFormat="1" applyFont="1" applyFill="1" applyBorder="1" applyAlignment="1">
      <alignment horizontal="right"/>
    </xf>
    <xf numFmtId="3" fontId="17" fillId="4" borderId="0" xfId="0" applyNumberFormat="1" applyFont="1" applyFill="1" applyAlignment="1">
      <alignment horizontal="right"/>
    </xf>
    <xf numFmtId="168" fontId="6" fillId="4" borderId="0" xfId="1" applyNumberFormat="1" applyFont="1" applyFill="1" applyAlignment="1">
      <alignment horizontal="right" vertical="center"/>
    </xf>
    <xf numFmtId="168" fontId="17" fillId="4" borderId="0" xfId="1" applyNumberFormat="1" applyFont="1" applyFill="1" applyAlignment="1">
      <alignment horizontal="right"/>
    </xf>
    <xf numFmtId="168" fontId="9" fillId="4" borderId="2" xfId="1" applyNumberFormat="1" applyFont="1" applyFill="1" applyBorder="1" applyAlignment="1">
      <alignment horizontal="right" vertical="center"/>
    </xf>
    <xf numFmtId="37" fontId="1" fillId="0" borderId="0" xfId="0" applyNumberFormat="1" applyFont="1" applyAlignment="1">
      <alignment horizontal="right" vertical="top"/>
    </xf>
    <xf numFmtId="0" fontId="6" fillId="7" borderId="0" xfId="0" applyFont="1" applyFill="1" applyBorder="1"/>
    <xf numFmtId="165" fontId="0" fillId="0" borderId="0" xfId="0" applyNumberFormat="1"/>
    <xf numFmtId="0" fontId="6" fillId="7" borderId="0" xfId="0" applyFont="1" applyFill="1" applyAlignment="1">
      <alignment horizontal="left" vertical="center"/>
    </xf>
    <xf numFmtId="37" fontId="0" fillId="0" borderId="0" xfId="0" applyNumberFormat="1"/>
    <xf numFmtId="0" fontId="2" fillId="0" borderId="0" xfId="0" applyFont="1" applyFill="1" applyAlignment="1">
      <alignment vertical="top" wrapText="1"/>
    </xf>
    <xf numFmtId="0" fontId="0" fillId="0" borderId="0" xfId="0" applyFont="1" applyFill="1"/>
    <xf numFmtId="37" fontId="2" fillId="0" borderId="0" xfId="0" applyNumberFormat="1" applyFont="1" applyFill="1" applyAlignment="1">
      <alignment horizontal="right" vertical="top"/>
    </xf>
    <xf numFmtId="0" fontId="2" fillId="8" borderId="0" xfId="0" applyFont="1" applyFill="1" applyAlignment="1">
      <alignment vertical="top" wrapText="1"/>
    </xf>
    <xf numFmtId="37" fontId="2" fillId="8" borderId="0" xfId="0" applyNumberFormat="1" applyFont="1" applyFill="1" applyAlignment="1">
      <alignment horizontal="right" vertical="top"/>
    </xf>
    <xf numFmtId="0" fontId="0" fillId="0" borderId="0" xfId="0" applyFill="1"/>
    <xf numFmtId="0" fontId="18" fillId="0" borderId="0" xfId="3"/>
    <xf numFmtId="169" fontId="0" fillId="0" borderId="0" xfId="0" applyNumberFormat="1"/>
    <xf numFmtId="0" fontId="0" fillId="0" borderId="0" xfId="0" applyFill="1" applyAlignment="1">
      <alignment horizontal="center"/>
    </xf>
    <xf numFmtId="38" fontId="9" fillId="0" borderId="0" xfId="0" applyNumberFormat="1" applyFont="1" applyFill="1" applyAlignment="1">
      <alignment horizontal="center" vertical="center"/>
    </xf>
    <xf numFmtId="38" fontId="10" fillId="0" borderId="0" xfId="0" applyNumberFormat="1" applyFont="1" applyFill="1" applyAlignment="1">
      <alignment horizontal="center" vertical="center"/>
    </xf>
    <xf numFmtId="37" fontId="6" fillId="0" borderId="0" xfId="0" applyNumberFormat="1" applyFont="1" applyFill="1" applyAlignment="1">
      <alignment horizontal="center" vertical="center"/>
    </xf>
    <xf numFmtId="0" fontId="6" fillId="0" borderId="0" xfId="0" applyFont="1" applyFill="1" applyAlignment="1">
      <alignment horizontal="right" vertical="center"/>
    </xf>
    <xf numFmtId="0" fontId="6" fillId="0" borderId="0" xfId="0" applyFont="1" applyFill="1" applyAlignment="1">
      <alignment vertical="center"/>
    </xf>
    <xf numFmtId="3" fontId="9" fillId="0" borderId="0" xfId="0" applyNumberFormat="1" applyFont="1" applyFill="1" applyBorder="1" applyAlignment="1">
      <alignment horizontal="right" vertical="center"/>
    </xf>
    <xf numFmtId="3" fontId="6" fillId="0" borderId="0" xfId="0" applyNumberFormat="1" applyFont="1" applyFill="1" applyAlignment="1">
      <alignment horizontal="right" vertical="center"/>
    </xf>
    <xf numFmtId="0" fontId="6" fillId="0" borderId="0" xfId="0" applyFont="1" applyFill="1" applyAlignment="1">
      <alignment horizontal="right"/>
    </xf>
    <xf numFmtId="2" fontId="9" fillId="0" borderId="0" xfId="0" applyNumberFormat="1" applyFont="1" applyFill="1" applyBorder="1" applyAlignment="1">
      <alignment horizontal="right" vertical="center"/>
    </xf>
    <xf numFmtId="2" fontId="6" fillId="0" borderId="0" xfId="0" applyNumberFormat="1" applyFont="1" applyFill="1" applyAlignment="1">
      <alignment horizontal="right" vertical="center"/>
    </xf>
    <xf numFmtId="4" fontId="6" fillId="0" borderId="0" xfId="0" applyNumberFormat="1" applyFont="1" applyFill="1" applyAlignment="1">
      <alignment horizontal="right" vertical="center"/>
    </xf>
    <xf numFmtId="0" fontId="9" fillId="0" borderId="0" xfId="0" applyFont="1" applyFill="1" applyAlignment="1">
      <alignment vertical="center"/>
    </xf>
    <xf numFmtId="1" fontId="19" fillId="0" borderId="0" xfId="0" applyNumberFormat="1" applyFont="1"/>
    <xf numFmtId="0" fontId="20" fillId="0" borderId="0" xfId="0" applyFont="1"/>
    <xf numFmtId="0" fontId="20" fillId="0" borderId="0" xfId="0" applyFont="1" applyAlignment="1">
      <alignment horizontal="center"/>
    </xf>
    <xf numFmtId="0" fontId="7" fillId="0" borderId="0" xfId="0" applyFont="1" applyFill="1" applyAlignment="1"/>
    <xf numFmtId="0" fontId="22" fillId="0" borderId="0" xfId="0" applyFont="1" applyFill="1" applyAlignment="1">
      <alignment horizontal="center"/>
    </xf>
    <xf numFmtId="39" fontId="6" fillId="0" borderId="0" xfId="0" applyNumberFormat="1" applyFont="1" applyFill="1" applyAlignment="1">
      <alignment horizontal="right" vertical="center"/>
    </xf>
    <xf numFmtId="39" fontId="9" fillId="0" borderId="0" xfId="0" applyNumberFormat="1" applyFont="1" applyFill="1" applyBorder="1" applyAlignment="1">
      <alignment horizontal="right" vertical="center"/>
    </xf>
    <xf numFmtId="39" fontId="9" fillId="0" borderId="0" xfId="0" applyNumberFormat="1" applyFont="1" applyFill="1" applyAlignment="1">
      <alignment horizontal="right" vertical="center"/>
    </xf>
    <xf numFmtId="0" fontId="1" fillId="0" borderId="0" xfId="0" applyFont="1" applyAlignment="1">
      <alignment horizontal="center" vertical="center" wrapText="1"/>
    </xf>
    <xf numFmtId="0" fontId="0" fillId="0" borderId="0" xfId="0"/>
    <xf numFmtId="0" fontId="2" fillId="0" borderId="0" xfId="0" applyFont="1" applyAlignment="1">
      <alignment vertical="top" wrapText="1"/>
    </xf>
    <xf numFmtId="0" fontId="2" fillId="0" borderId="0" xfId="0" applyFont="1" applyAlignment="1">
      <alignment horizontal="center" vertical="center" wrapText="1"/>
    </xf>
    <xf numFmtId="0" fontId="5" fillId="0" borderId="0" xfId="0" applyFont="1"/>
    <xf numFmtId="0" fontId="1" fillId="0" borderId="0" xfId="0" applyFont="1" applyAlignment="1">
      <alignment horizontal="center" vertical="center" wrapText="1"/>
    </xf>
    <xf numFmtId="0" fontId="0" fillId="0" borderId="0" xfId="0"/>
    <xf numFmtId="0" fontId="2" fillId="0" borderId="0" xfId="0" applyFont="1" applyAlignment="1">
      <alignment vertical="top" wrapText="1"/>
    </xf>
    <xf numFmtId="0" fontId="5" fillId="0" borderId="0" xfId="0" applyFont="1"/>
    <xf numFmtId="0" fontId="1" fillId="0" borderId="0" xfId="0" applyFont="1" applyAlignment="1">
      <alignment horizontal="center" vertical="center"/>
    </xf>
    <xf numFmtId="0" fontId="2" fillId="0" borderId="0" xfId="0" applyFont="1" applyAlignment="1">
      <alignment horizontal="center" vertical="center"/>
    </xf>
    <xf numFmtId="0" fontId="24" fillId="0" borderId="0" xfId="0" applyFont="1" applyAlignment="1">
      <alignment horizontal="center" vertical="center" wrapText="1"/>
    </xf>
    <xf numFmtId="0" fontId="1" fillId="0" borderId="0" xfId="0" applyFont="1" applyAlignment="1">
      <alignment vertical="top"/>
    </xf>
    <xf numFmtId="0" fontId="0" fillId="0" borderId="0" xfId="0" applyAlignment="1">
      <alignment wrapText="1"/>
    </xf>
    <xf numFmtId="0" fontId="4" fillId="0" borderId="0" xfId="0" applyFont="1"/>
    <xf numFmtId="0" fontId="2" fillId="0" borderId="0" xfId="0" applyFont="1" applyAlignment="1">
      <alignment vertical="top"/>
    </xf>
    <xf numFmtId="165" fontId="2" fillId="0" borderId="0" xfId="0" applyNumberFormat="1" applyFont="1" applyAlignment="1">
      <alignment horizontal="right" vertical="top" wrapText="1"/>
    </xf>
    <xf numFmtId="0" fontId="1" fillId="0" borderId="0" xfId="0" applyFont="1" applyAlignment="1">
      <alignment horizontal="center" vertical="top"/>
    </xf>
    <xf numFmtId="169" fontId="1" fillId="0" borderId="0" xfId="2" applyNumberFormat="1" applyFont="1" applyAlignment="1">
      <alignment horizontal="right" vertical="top" wrapText="1"/>
    </xf>
    <xf numFmtId="169" fontId="15" fillId="0" borderId="0" xfId="0" applyNumberFormat="1" applyFont="1"/>
    <xf numFmtId="37" fontId="2" fillId="0" borderId="0" xfId="0" applyNumberFormat="1" applyFont="1" applyAlignment="1">
      <alignment horizontal="right" vertical="top" wrapText="1"/>
    </xf>
    <xf numFmtId="0" fontId="2" fillId="5" borderId="0" xfId="0" applyFont="1" applyFill="1" applyAlignment="1">
      <alignment vertical="top"/>
    </xf>
    <xf numFmtId="37" fontId="2" fillId="5" borderId="0" xfId="0" applyNumberFormat="1" applyFont="1" applyFill="1" applyAlignment="1">
      <alignment horizontal="right" vertical="top" wrapText="1"/>
    </xf>
    <xf numFmtId="0" fontId="2" fillId="10" borderId="0" xfId="0" applyFont="1" applyFill="1" applyAlignment="1">
      <alignment vertical="top"/>
    </xf>
    <xf numFmtId="37" fontId="2" fillId="10" borderId="0" xfId="0" applyNumberFormat="1" applyFont="1" applyFill="1" applyAlignment="1">
      <alignment horizontal="right" vertical="top"/>
    </xf>
    <xf numFmtId="37" fontId="2" fillId="10" borderId="0" xfId="0" applyNumberFormat="1" applyFont="1" applyFill="1" applyAlignment="1">
      <alignment horizontal="right" vertical="top" wrapText="1"/>
    </xf>
    <xf numFmtId="37" fontId="2" fillId="2" borderId="0" xfId="0" applyNumberFormat="1" applyFont="1" applyFill="1" applyAlignment="1">
      <alignment horizontal="right" vertical="top"/>
    </xf>
    <xf numFmtId="0" fontId="2" fillId="0" borderId="0" xfId="0" applyFont="1" applyAlignment="1">
      <alignment vertical="center"/>
    </xf>
    <xf numFmtId="0" fontId="0" fillId="0" borderId="0" xfId="0" applyAlignment="1">
      <alignment horizontal="center" vertical="center"/>
    </xf>
    <xf numFmtId="170" fontId="2" fillId="0" borderId="0" xfId="4" applyNumberFormat="1" applyFont="1" applyAlignment="1">
      <alignment horizontal="right" vertical="top"/>
    </xf>
    <xf numFmtId="169" fontId="15" fillId="0" borderId="0" xfId="0" applyNumberFormat="1" applyFont="1" applyAlignment="1">
      <alignment horizontal="center" vertical="center"/>
    </xf>
    <xf numFmtId="0" fontId="1" fillId="5" borderId="0" xfId="0" applyFont="1" applyFill="1" applyAlignment="1">
      <alignment vertical="top"/>
    </xf>
    <xf numFmtId="37" fontId="1" fillId="5" borderId="0" xfId="0" applyNumberFormat="1" applyFont="1" applyFill="1" applyAlignment="1">
      <alignment horizontal="right" vertical="top"/>
    </xf>
    <xf numFmtId="0" fontId="2" fillId="0" borderId="6" xfId="0" applyFont="1" applyBorder="1" applyAlignment="1">
      <alignment vertical="top"/>
    </xf>
    <xf numFmtId="37" fontId="2" fillId="0" borderId="6" xfId="0" applyNumberFormat="1" applyFont="1" applyBorder="1" applyAlignment="1">
      <alignment horizontal="right" vertical="top"/>
    </xf>
    <xf numFmtId="37" fontId="2" fillId="0" borderId="5" xfId="0" applyNumberFormat="1" applyFont="1" applyBorder="1" applyAlignment="1">
      <alignment horizontal="right" vertical="top"/>
    </xf>
    <xf numFmtId="0" fontId="2" fillId="2" borderId="5" xfId="0" applyFont="1" applyFill="1" applyBorder="1" applyAlignment="1">
      <alignment vertical="top"/>
    </xf>
    <xf numFmtId="37" fontId="2" fillId="2" borderId="5" xfId="0" applyNumberFormat="1" applyFont="1" applyFill="1" applyBorder="1" applyAlignment="1">
      <alignment horizontal="right" vertical="top"/>
    </xf>
    <xf numFmtId="0" fontId="2" fillId="5" borderId="7" xfId="0" applyFont="1" applyFill="1" applyBorder="1" applyAlignment="1">
      <alignment vertical="top"/>
    </xf>
    <xf numFmtId="37" fontId="2" fillId="5" borderId="7" xfId="0" applyNumberFormat="1" applyFont="1" applyFill="1" applyBorder="1" applyAlignment="1">
      <alignment horizontal="right" vertical="top"/>
    </xf>
    <xf numFmtId="0" fontId="1" fillId="9" borderId="0" xfId="0" applyFont="1" applyFill="1" applyAlignment="1">
      <alignment vertical="top"/>
    </xf>
    <xf numFmtId="165" fontId="1" fillId="9" borderId="0" xfId="0" applyNumberFormat="1" applyFont="1" applyFill="1" applyAlignment="1">
      <alignment horizontal="right" vertical="top"/>
    </xf>
    <xf numFmtId="43" fontId="6" fillId="5" borderId="0" xfId="1" applyFont="1" applyFill="1" applyAlignment="1">
      <alignment horizontal="right" vertical="center"/>
    </xf>
    <xf numFmtId="43" fontId="6" fillId="5" borderId="0" xfId="1" applyFont="1" applyFill="1" applyAlignment="1">
      <alignment vertical="center"/>
    </xf>
    <xf numFmtId="43" fontId="9" fillId="5" borderId="2" xfId="1" applyFont="1" applyFill="1" applyBorder="1" applyAlignment="1">
      <alignment horizontal="right" vertical="center"/>
    </xf>
    <xf numFmtId="43" fontId="9" fillId="5" borderId="4" xfId="1" applyFont="1" applyFill="1" applyBorder="1" applyAlignment="1">
      <alignment horizontal="right" vertical="center"/>
    </xf>
    <xf numFmtId="43" fontId="6" fillId="5" borderId="0" xfId="1" applyFont="1" applyFill="1" applyAlignment="1">
      <alignment horizontal="right"/>
    </xf>
    <xf numFmtId="43" fontId="6" fillId="0" borderId="0" xfId="1" applyFont="1" applyFill="1" applyAlignment="1">
      <alignment horizontal="right" vertical="center"/>
    </xf>
    <xf numFmtId="0" fontId="16" fillId="3" borderId="0" xfId="0" applyFont="1" applyFill="1" applyAlignment="1">
      <alignment horizontal="center" vertical="center"/>
    </xf>
    <xf numFmtId="0" fontId="1" fillId="0" borderId="0" xfId="0" applyFont="1" applyFill="1" applyAlignment="1">
      <alignment horizontal="center" vertical="top"/>
    </xf>
    <xf numFmtId="169" fontId="1" fillId="0" borderId="0" xfId="2" applyNumberFormat="1" applyFont="1" applyFill="1" applyAlignment="1">
      <alignment horizontal="right" vertical="top" wrapText="1"/>
    </xf>
    <xf numFmtId="169" fontId="15" fillId="0" borderId="0" xfId="0" applyNumberFormat="1" applyFont="1" applyFill="1"/>
    <xf numFmtId="169" fontId="4" fillId="0" borderId="0" xfId="0" applyNumberFormat="1" applyFont="1"/>
    <xf numFmtId="43" fontId="9" fillId="0" borderId="4" xfId="1" applyFont="1" applyFill="1" applyBorder="1" applyAlignment="1">
      <alignment horizontal="right" vertical="center"/>
    </xf>
    <xf numFmtId="0" fontId="0" fillId="0" borderId="0" xfId="0" applyFill="1" applyAlignment="1">
      <alignment horizontal="left"/>
    </xf>
    <xf numFmtId="0" fontId="1" fillId="5" borderId="0" xfId="0" applyFont="1" applyFill="1" applyAlignment="1">
      <alignment horizontal="center" vertical="center" wrapText="1"/>
    </xf>
    <xf numFmtId="168" fontId="6" fillId="4" borderId="0" xfId="1" applyNumberFormat="1" applyFont="1" applyFill="1" applyAlignment="1">
      <alignment horizontal="center" vertical="center"/>
    </xf>
    <xf numFmtId="37" fontId="16" fillId="4" borderId="1" xfId="0" applyNumberFormat="1" applyFont="1" applyFill="1" applyBorder="1" applyAlignment="1">
      <alignment horizontal="center" vertical="center"/>
    </xf>
    <xf numFmtId="37" fontId="9" fillId="4" borderId="1" xfId="0" applyNumberFormat="1" applyFont="1" applyFill="1" applyBorder="1" applyAlignment="1">
      <alignment horizontal="center" vertical="center"/>
    </xf>
    <xf numFmtId="37" fontId="6" fillId="4" borderId="1" xfId="0" applyNumberFormat="1" applyFont="1" applyFill="1" applyBorder="1" applyAlignment="1">
      <alignment horizontal="center" vertical="center"/>
    </xf>
    <xf numFmtId="37" fontId="16" fillId="4" borderId="3" xfId="0" applyNumberFormat="1" applyFont="1" applyFill="1" applyBorder="1" applyAlignment="1">
      <alignment horizontal="center" vertical="center"/>
    </xf>
    <xf numFmtId="37" fontId="9" fillId="4" borderId="3" xfId="0" applyNumberFormat="1" applyFont="1" applyFill="1" applyBorder="1" applyAlignment="1">
      <alignment horizontal="center" vertical="center"/>
    </xf>
    <xf numFmtId="37" fontId="6" fillId="5" borderId="0" xfId="0" applyNumberFormat="1" applyFont="1" applyFill="1" applyAlignment="1">
      <alignment horizontal="right" vertical="center"/>
    </xf>
    <xf numFmtId="0" fontId="26" fillId="0" borderId="0" xfId="5" applyFont="1"/>
    <xf numFmtId="0" fontId="25" fillId="0" borderId="0" xfId="5"/>
    <xf numFmtId="171" fontId="26" fillId="11" borderId="0" xfId="5" applyNumberFormat="1" applyFont="1" applyFill="1"/>
    <xf numFmtId="9" fontId="26" fillId="0" borderId="0" xfId="5" applyNumberFormat="1" applyFont="1"/>
    <xf numFmtId="171" fontId="26" fillId="12" borderId="0" xfId="5" applyNumberFormat="1" applyFont="1" applyFill="1"/>
    <xf numFmtId="10" fontId="26" fillId="0" borderId="0" xfId="5" applyNumberFormat="1" applyFont="1"/>
    <xf numFmtId="171" fontId="26" fillId="13" borderId="0" xfId="5" applyNumberFormat="1" applyFont="1" applyFill="1"/>
    <xf numFmtId="171" fontId="26" fillId="0" borderId="0" xfId="5" applyNumberFormat="1" applyFont="1"/>
    <xf numFmtId="0" fontId="27" fillId="14" borderId="0" xfId="5" applyFont="1" applyFill="1"/>
    <xf numFmtId="10" fontId="26" fillId="14" borderId="0" xfId="5" applyNumberFormat="1" applyFont="1" applyFill="1"/>
    <xf numFmtId="0" fontId="27" fillId="16" borderId="0" xfId="5" applyFont="1" applyFill="1" applyAlignment="1">
      <alignment horizontal="left"/>
    </xf>
    <xf numFmtId="3" fontId="28" fillId="16" borderId="0" xfId="5" applyNumberFormat="1" applyFont="1" applyFill="1"/>
    <xf numFmtId="3" fontId="29" fillId="0" borderId="0" xfId="5" applyNumberFormat="1" applyFont="1"/>
    <xf numFmtId="3" fontId="30" fillId="16" borderId="0" xfId="5" applyNumberFormat="1" applyFont="1" applyFill="1"/>
    <xf numFmtId="0" fontId="26" fillId="16" borderId="0" xfId="5" applyFont="1" applyFill="1"/>
    <xf numFmtId="4" fontId="28" fillId="16" borderId="0" xfId="5" applyNumberFormat="1" applyFont="1" applyFill="1"/>
    <xf numFmtId="0" fontId="31" fillId="16" borderId="0" xfId="5" applyFont="1" applyFill="1" applyAlignment="1">
      <alignment horizontal="center"/>
    </xf>
    <xf numFmtId="4" fontId="26" fillId="0" borderId="0" xfId="5" applyNumberFormat="1" applyFont="1"/>
    <xf numFmtId="0" fontId="32" fillId="16" borderId="0" xfId="5" applyFont="1" applyFill="1"/>
    <xf numFmtId="0" fontId="33" fillId="16" borderId="0" xfId="5" applyFont="1" applyFill="1"/>
    <xf numFmtId="4" fontId="34" fillId="16" borderId="0" xfId="5" applyNumberFormat="1" applyFont="1" applyFill="1" applyAlignment="1">
      <alignment horizontal="center"/>
    </xf>
    <xf numFmtId="0" fontId="34" fillId="16" borderId="0" xfId="5" applyFont="1" applyFill="1" applyAlignment="1">
      <alignment horizontal="left"/>
    </xf>
    <xf numFmtId="0" fontId="35" fillId="16" borderId="0" xfId="5" applyFont="1" applyFill="1" applyAlignment="1">
      <alignment horizontal="left"/>
    </xf>
    <xf numFmtId="0" fontId="36" fillId="16" borderId="0" xfId="5" applyFont="1" applyFill="1"/>
    <xf numFmtId="0" fontId="37" fillId="16" borderId="0" xfId="5" applyFont="1" applyFill="1" applyAlignment="1">
      <alignment horizontal="center"/>
    </xf>
    <xf numFmtId="0" fontId="25" fillId="16" borderId="0" xfId="5" applyFill="1"/>
    <xf numFmtId="3" fontId="31" fillId="16" borderId="0" xfId="5" applyNumberFormat="1" applyFont="1" applyFill="1" applyAlignment="1">
      <alignment horizontal="center"/>
    </xf>
    <xf numFmtId="0" fontId="38" fillId="16" borderId="0" xfId="5" applyFont="1" applyFill="1"/>
    <xf numFmtId="3" fontId="39" fillId="16" borderId="0" xfId="5" applyNumberFormat="1" applyFont="1" applyFill="1" applyAlignment="1">
      <alignment horizontal="center"/>
    </xf>
    <xf numFmtId="0" fontId="25" fillId="16" borderId="0" xfId="5" applyFill="1" applyAlignment="1">
      <alignment horizontal="right"/>
    </xf>
    <xf numFmtId="4" fontId="40" fillId="16" borderId="0" xfId="5" applyNumberFormat="1" applyFont="1" applyFill="1" applyAlignment="1">
      <alignment horizontal="right"/>
    </xf>
    <xf numFmtId="0" fontId="40" fillId="16" borderId="0" xfId="5" applyFont="1" applyFill="1"/>
    <xf numFmtId="0" fontId="40" fillId="16" borderId="0" xfId="5" applyFont="1" applyFill="1" applyAlignment="1">
      <alignment horizontal="right"/>
    </xf>
    <xf numFmtId="0" fontId="25" fillId="16" borderId="0" xfId="5" applyFill="1" applyAlignment="1">
      <alignment horizontal="center"/>
    </xf>
    <xf numFmtId="0" fontId="41" fillId="16" borderId="0" xfId="5" applyFont="1" applyFill="1" applyAlignment="1">
      <alignment horizontal="center"/>
    </xf>
    <xf numFmtId="3" fontId="41" fillId="16" borderId="0" xfId="5" applyNumberFormat="1" applyFont="1" applyFill="1" applyAlignment="1">
      <alignment horizontal="right"/>
    </xf>
    <xf numFmtId="3" fontId="25" fillId="16" borderId="0" xfId="5" applyNumberFormat="1" applyFill="1"/>
    <xf numFmtId="3" fontId="25" fillId="16" borderId="0" xfId="5" applyNumberFormat="1" applyFill="1" applyAlignment="1">
      <alignment horizontal="right"/>
    </xf>
    <xf numFmtId="3" fontId="40" fillId="16" borderId="0" xfId="5" applyNumberFormat="1" applyFont="1" applyFill="1" applyAlignment="1">
      <alignment horizontal="right"/>
    </xf>
    <xf numFmtId="37" fontId="15" fillId="0" borderId="0" xfId="0" applyNumberFormat="1" applyFont="1" applyAlignment="1">
      <alignment horizontal="center" vertical="center"/>
    </xf>
    <xf numFmtId="10" fontId="42" fillId="0" borderId="0" xfId="2" applyNumberFormat="1" applyFont="1" applyAlignment="1">
      <alignment horizontal="center" vertical="center"/>
    </xf>
    <xf numFmtId="169" fontId="42" fillId="0" borderId="0" xfId="0" applyNumberFormat="1" applyFont="1" applyAlignment="1">
      <alignment horizontal="center" vertical="center"/>
    </xf>
    <xf numFmtId="37" fontId="4" fillId="0" borderId="0" xfId="0" applyNumberFormat="1" applyFont="1"/>
    <xf numFmtId="0" fontId="0" fillId="5" borderId="0" xfId="0" applyFill="1"/>
    <xf numFmtId="37" fontId="16" fillId="4" borderId="0" xfId="0" applyNumberFormat="1" applyFont="1" applyFill="1" applyBorder="1" applyAlignment="1">
      <alignment horizontal="center" vertical="center"/>
    </xf>
    <xf numFmtId="39" fontId="9" fillId="5" borderId="0" xfId="0" applyNumberFormat="1" applyFont="1" applyFill="1" applyBorder="1" applyAlignment="1">
      <alignment horizontal="right" vertical="center"/>
    </xf>
    <xf numFmtId="0" fontId="43" fillId="0" borderId="0" xfId="0" applyFont="1" applyAlignment="1">
      <alignment vertical="top" wrapText="1"/>
    </xf>
    <xf numFmtId="0" fontId="21" fillId="0" borderId="0" xfId="0" applyFont="1" applyAlignment="1">
      <alignment vertical="top" wrapText="1"/>
    </xf>
    <xf numFmtId="0" fontId="42" fillId="4" borderId="0" xfId="0" applyFont="1" applyFill="1" applyAlignment="1"/>
    <xf numFmtId="37" fontId="26" fillId="0" borderId="0" xfId="5" applyNumberFormat="1" applyFont="1"/>
    <xf numFmtId="0" fontId="44" fillId="0" borderId="0" xfId="5" applyFont="1"/>
    <xf numFmtId="168" fontId="26" fillId="12" borderId="0" xfId="1" applyNumberFormat="1" applyFont="1" applyFill="1"/>
    <xf numFmtId="0" fontId="26" fillId="2" borderId="0" xfId="5" applyFont="1" applyFill="1"/>
    <xf numFmtId="2" fontId="24" fillId="15" borderId="0" xfId="5" applyNumberFormat="1" applyFont="1" applyFill="1"/>
    <xf numFmtId="0" fontId="45" fillId="5" borderId="0" xfId="5" applyFont="1" applyFill="1" applyAlignment="1">
      <alignment horizontal="center" vertical="center"/>
    </xf>
    <xf numFmtId="2" fontId="33" fillId="16" borderId="0" xfId="5" applyNumberFormat="1" applyFont="1" applyFill="1"/>
    <xf numFmtId="0" fontId="45" fillId="5" borderId="0" xfId="5" applyFont="1" applyFill="1" applyAlignment="1">
      <alignment horizontal="center"/>
    </xf>
    <xf numFmtId="0" fontId="28" fillId="16" borderId="0" xfId="5" applyNumberFormat="1" applyFont="1" applyFill="1"/>
    <xf numFmtId="0" fontId="16" fillId="0" borderId="0" xfId="0" applyFont="1"/>
    <xf numFmtId="43" fontId="15" fillId="0" borderId="0" xfId="0" applyNumberFormat="1" applyFont="1" applyAlignment="1">
      <alignment horizontal="center"/>
    </xf>
    <xf numFmtId="0" fontId="1" fillId="0" borderId="0" xfId="0" applyFont="1" applyAlignment="1">
      <alignment horizontal="center" vertical="center" wrapText="1"/>
    </xf>
    <xf numFmtId="0" fontId="0" fillId="0" borderId="0" xfId="0"/>
    <xf numFmtId="0" fontId="2" fillId="0" borderId="0" xfId="0" applyFont="1" applyAlignment="1">
      <alignment vertical="top" wrapText="1"/>
    </xf>
    <xf numFmtId="0" fontId="2" fillId="0" borderId="0" xfId="0" applyFont="1" applyAlignment="1">
      <alignment horizontal="center" vertical="center" wrapText="1"/>
    </xf>
    <xf numFmtId="0" fontId="9" fillId="4" borderId="0" xfId="0" applyFont="1" applyFill="1" applyAlignment="1">
      <alignment horizontal="center" vertical="center"/>
    </xf>
    <xf numFmtId="38" fontId="9" fillId="5" borderId="0" xfId="0" applyNumberFormat="1" applyFont="1" applyFill="1" applyAlignment="1">
      <alignment horizontal="center" vertical="center"/>
    </xf>
    <xf numFmtId="0" fontId="16" fillId="0" borderId="0" xfId="0" applyFont="1" applyAlignment="1">
      <alignment horizontal="center"/>
    </xf>
    <xf numFmtId="0" fontId="1" fillId="0" borderId="0" xfId="0" applyFont="1" applyAlignment="1">
      <alignment horizontal="center" vertical="center"/>
    </xf>
    <xf numFmtId="0" fontId="40" fillId="16" borderId="0" xfId="5" applyFont="1" applyFill="1"/>
    <xf numFmtId="0" fontId="25" fillId="0" borderId="0" xfId="5"/>
    <xf numFmtId="0" fontId="5" fillId="0" borderId="0" xfId="0" applyFont="1"/>
    <xf numFmtId="10" fontId="15" fillId="0" borderId="0" xfId="0" applyNumberFormat="1" applyFont="1" applyAlignment="1">
      <alignment horizontal="center" vertical="center"/>
    </xf>
  </cellXfs>
  <cellStyles count="6">
    <cellStyle name="Comma" xfId="1" builtinId="3"/>
    <cellStyle name="Currency" xfId="4" builtinId="4"/>
    <cellStyle name="Hyperlink" xfId="3" builtinId="8"/>
    <cellStyle name="Normal" xfId="0" builtinId="0"/>
    <cellStyle name="Normal 2" xfId="5" xr:uid="{F983FEE8-69A1-49A6-BCDF-EF546B06C12D}"/>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alesforce%20Inc.%20Financial%20Statement%202018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alesforce%20Inc.%20Financial%20Statement%202018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Oracle%20Corpor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and Entity Information"/>
      <sheetName val="Condensed Consolidated Balance "/>
      <sheetName val="Condensed Consolidated Balanc_2"/>
      <sheetName val="Condensed Consolidated Statemen"/>
      <sheetName val="Condensed Consolidated Statem_2"/>
      <sheetName val="Condensed Consolidated Statem_3"/>
      <sheetName val="Condensed Consolidated Statem_4"/>
      <sheetName val="Condensed Consolidated Statem_5"/>
      <sheetName val="Summary of Business and Signifi"/>
      <sheetName val="Revenues"/>
      <sheetName val="Investments"/>
      <sheetName val="Derivatives"/>
      <sheetName val="Fair Value Measurement"/>
      <sheetName val="Property and Equipment"/>
      <sheetName val="Business Combinations"/>
      <sheetName val="Intangible Assets Acquired Thro"/>
      <sheetName val="Debt"/>
      <sheetName val="Income Taxes"/>
      <sheetName val="Earnings Per Share"/>
      <sheetName val="Stockholders' Equity"/>
      <sheetName val="Commitments"/>
      <sheetName val="Employee Benefit Plan"/>
      <sheetName val="Legal Proceedings and Claims"/>
      <sheetName val="Related-Party Transactions"/>
      <sheetName val="Selected Quarterly Financial Da"/>
      <sheetName val="Schedule II Valuation and Quali"/>
      <sheetName val="Summary of Business and Signi_2"/>
      <sheetName val="Summary of Business and Signi_3"/>
      <sheetName val="Revenues (Tables)"/>
      <sheetName val="Investments (Tables)"/>
      <sheetName val="Derivatives (Tables)"/>
      <sheetName val="Fair Value Measurement (Tables)"/>
      <sheetName val="Property and Equipment (Tables)"/>
      <sheetName val="Business Combinations (Tables)"/>
      <sheetName val="Intangible Assets Acquired Th_2"/>
      <sheetName val="Debt (Tables)"/>
      <sheetName val="Income Taxes (Tables)"/>
      <sheetName val="Earnings Per Share (Tables)"/>
      <sheetName val="Stockholders' Equity (Tables)"/>
      <sheetName val="Commitments (Tables)"/>
      <sheetName val="Selected Quarterly Financial _2"/>
      <sheetName val="Summary of Business and Signi_4"/>
      <sheetName val="Summary of Business and Signi_5"/>
      <sheetName val="Summary of Business and Signi_6"/>
      <sheetName val="Revenues - Disaggregation of Re"/>
      <sheetName val="Revenues - Contract Balances, U"/>
      <sheetName val="Investments - Schedule of Marke"/>
      <sheetName val="Investments - Schedule of Short"/>
      <sheetName val="Investments - Schedule of Mar_2"/>
      <sheetName val="Investments - Schedule of Compo"/>
      <sheetName val="Investments - Schedule of Strat"/>
      <sheetName val="Derivatives - Schedule of Outst"/>
      <sheetName val="Derivatives - Fair Value of Out"/>
      <sheetName val="Derivatives - Effect of Derivat"/>
      <sheetName val="Fair Value Measurement (Detail)"/>
      <sheetName val="Property and Equipment (Detail)"/>
      <sheetName val="Business Combinations (Narrativ"/>
      <sheetName val="Business Combinations (Consider"/>
      <sheetName val="Business Combinations (Estimate"/>
      <sheetName val="Business Combinations (Intangib"/>
      <sheetName val="Business Combinations (Pro Form"/>
      <sheetName val="Business Combinations (CloudCra"/>
      <sheetName val="Assets Acquired Through Busines"/>
      <sheetName val="Intangible Assets Acquired Th_3"/>
      <sheetName val="Intangible Assets Acquired Th_4"/>
      <sheetName val="Debt - Carrying Value of Borrow"/>
      <sheetName val="Debt - Future Principal Payment"/>
      <sheetName val="Debt - Term Loans (Detail)"/>
      <sheetName val="Debt - Senior Notes (Details)"/>
      <sheetName val="Debt - Loan Assumed on 50 Fremo"/>
      <sheetName val="Debt - Convertible Senior Notes"/>
      <sheetName val="Debt - Warrants (Detail)"/>
      <sheetName val="Debt - Revolving Credit Facilit"/>
      <sheetName val="Debt - Schedule of Interest Exp"/>
      <sheetName val="Income Taxes - Domestic And For"/>
      <sheetName val="Income Taxes - Schedule of Inco"/>
      <sheetName val="Income Taxes - Additional Infor"/>
      <sheetName val="Income Taxes - Reconciliation o"/>
      <sheetName val="Income Taxes - Significant Comp"/>
      <sheetName val="Income Taxes - Schedule of Unre"/>
      <sheetName val="Earnings Per Share - Reconcilia"/>
      <sheetName val="Stockholders' Equity - Addition"/>
      <sheetName val="Earnings Per Share - Shares Exc"/>
      <sheetName val="Stockholders' Equity - Fair Val"/>
      <sheetName val="Stockholders' Equity - Stock Ac"/>
      <sheetName val="Stockholders' Equity - Stock Op"/>
      <sheetName val="Stockholders' Equity - Schedule"/>
      <sheetName val="Stockholders' Equity - Shares o"/>
      <sheetName val="Commitments - Additional Inform"/>
      <sheetName val="Commitments - Schedule of Futur"/>
      <sheetName val="Employee Benefit Plans (Details"/>
      <sheetName val="Legal Proceedings and Claims (D"/>
      <sheetName val="Related-Party Transactions (Det"/>
      <sheetName val="Selected Quarterly Financial _3"/>
      <sheetName val="Schedule II Valuation and Qua_2"/>
    </sheetNames>
    <sheetDataSet>
      <sheetData sheetId="0"/>
      <sheetData sheetId="1">
        <row r="18">
          <cell r="B18">
            <v>165</v>
          </cell>
          <cell r="C18">
            <v>76</v>
          </cell>
        </row>
        <row r="19">
          <cell r="B19">
            <v>1167</v>
          </cell>
          <cell r="C19">
            <v>1001</v>
          </cell>
        </row>
        <row r="20">
          <cell r="B20">
            <v>1356</v>
          </cell>
          <cell r="C20">
            <v>970</v>
          </cell>
        </row>
        <row r="22">
          <cell r="B22">
            <v>3</v>
          </cell>
          <cell r="C22">
            <v>1025</v>
          </cell>
        </row>
        <row r="24">
          <cell r="B24">
            <v>3173</v>
          </cell>
        </row>
        <row r="25">
          <cell r="B25">
            <v>704</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ocument and Entity Information"/>
      <sheetName val="Consolidated Balance Sheets"/>
      <sheetName val="Consolidated Balance Sheets (Pa"/>
      <sheetName val="Consolidated Statements of Oper"/>
      <sheetName val="Condensed Consolidated Statemen"/>
      <sheetName val="Consolidated Statements of Comp"/>
      <sheetName val="Consolidated Statements of Stoc"/>
      <sheetName val="Consolidated Statements of Sto8"/>
      <sheetName val="Consolidated Statements of Cash"/>
      <sheetName val="Consolidated Statements of Ca10"/>
      <sheetName val="Summary of Business and Signifi"/>
      <sheetName val="Investments"/>
      <sheetName val="Derivatives"/>
      <sheetName val="Fair Value Measurement"/>
      <sheetName val="Property and Equipment"/>
      <sheetName val="Business Combinations"/>
      <sheetName val="Intangible Assets Acquired Thro"/>
      <sheetName val="Debt"/>
      <sheetName val="Other Balance Sheet Accounts"/>
      <sheetName val="Stockholders' Equity"/>
      <sheetName val="Income Taxes"/>
      <sheetName val="Earnings_Loss Per Share"/>
      <sheetName val="Commitments"/>
      <sheetName val="Employee Benefit Plan"/>
      <sheetName val="Legal Proceedings and Claims"/>
      <sheetName val="Related-Party Transactions"/>
      <sheetName val="Subsequent Events"/>
      <sheetName val="Selected Quarterly Financial Da"/>
      <sheetName val="Schedule II Valuation and Quali"/>
      <sheetName val="Summary of Business and Signi30"/>
      <sheetName val="Summary of Business and Signi31"/>
      <sheetName val="Investments (Tables)"/>
      <sheetName val="Derivatives (Tables)"/>
      <sheetName val="Fair Value Measurement (Tables)"/>
      <sheetName val="Property and Equipment (Tables)"/>
      <sheetName val="Business Combinations (Tables)"/>
      <sheetName val="Intangible Assets Acquired Th37"/>
      <sheetName val="Debt (Tables)"/>
      <sheetName val="Other Balance Sheet Accounts (T"/>
      <sheetName val="Stockholders' Equity (Tables)"/>
      <sheetName val="Income Taxes (Tables)"/>
      <sheetName val="Earnings_Loss Per Share (Tables"/>
      <sheetName val="Commitments (Tables)"/>
      <sheetName val="Selected Quarterly Financial 44"/>
      <sheetName val="Summary of Business and Signi45"/>
      <sheetName val="Summary of Business and Signi46"/>
      <sheetName val="Summary of Business and Signi47"/>
      <sheetName val="Investments - Schedule of Marke"/>
      <sheetName val="Investments - Contractual Matur"/>
      <sheetName val="Investments - Schedule of Mar50"/>
      <sheetName val="Investments - Strategic Investm"/>
      <sheetName val="Investments - Schedule of Compo"/>
      <sheetName val="Derivatives - Schedule of Outst"/>
      <sheetName val="Derivatives - Fair Value of Out"/>
      <sheetName val="Derivatives - Effect of Derivat"/>
      <sheetName val="Fair Value Measurement - Schedu"/>
      <sheetName val="Property and Equipment (Detail)"/>
      <sheetName val="Property and Equipment - Additi"/>
      <sheetName val="Business Combinations (Narrativ"/>
      <sheetName val="Business Combinations (Consider"/>
      <sheetName val="Business Combinations (Estimate"/>
      <sheetName val="Business Combinations (Intangib"/>
      <sheetName val="Business Combinations (Pro Form"/>
      <sheetName val="Intangible Assets Acquired Th64"/>
      <sheetName val="Intangible Assets Acquired Th65"/>
      <sheetName val="Intangible Assets Acquired Th66"/>
      <sheetName val="Intangible Assets Acquired Th67"/>
      <sheetName val="Debt - Summary of Convertible S"/>
      <sheetName val="Debt - Additional Information ("/>
      <sheetName val="Debt - Schedule of Conversion o"/>
      <sheetName val="Debt - Schedule of Convertible "/>
      <sheetName val="Debt - Summary of Hedge Notes ("/>
      <sheetName val="Debt - Components of Warrants ("/>
      <sheetName val="Debt - Schedule of Interest Exp"/>
      <sheetName val="Other Balance Sheet Accounts - "/>
      <sheetName val="Other Balance Sheet Accounts 76"/>
      <sheetName val="Other Balance Sheet Accounts 77"/>
      <sheetName val="Other Balance Sheet Accounts 78"/>
      <sheetName val="Other Balance Sheet Accounts 79"/>
      <sheetName val="Stockholders' Equity - Addition"/>
      <sheetName val="Stockholders' Equity - Schedule"/>
      <sheetName val="Stockholders' Equity - Stock Ac"/>
      <sheetName val="Stockholders' Equity - Stock Op"/>
      <sheetName val="Stockholders' Equity - Schedu84"/>
      <sheetName val="Stockholders' Equity - Shares o"/>
      <sheetName val="Income Taxes - Domestic And For"/>
      <sheetName val="Income Taxes - Schedule of Inco"/>
      <sheetName val="Income Taxes - Additional Infor"/>
      <sheetName val="Income Taxes - Reconciliation o"/>
      <sheetName val="Income Taxes - Significant Comp"/>
      <sheetName val="Income Taxes - Schedule of Unre"/>
      <sheetName val="Earnings_Loss Per Share - Recon"/>
      <sheetName val="Earnings_Loss Per Share - Share"/>
      <sheetName val="Commitments - Additional Inform"/>
      <sheetName val="Commitments - Schedule of Futur"/>
      <sheetName val="Employee Benefit Plan (Details)"/>
      <sheetName val="Related-Party Transactions (Det"/>
      <sheetName val="Subsequent Events (Details)"/>
      <sheetName val="Selected Quarterly Financial 99"/>
      <sheetName val="Schedule II Valuation and Qu100"/>
    </sheetNames>
    <sheetDataSet>
      <sheetData sheetId="0" refreshError="1"/>
      <sheetData sheetId="1">
        <row r="22">
          <cell r="B22">
            <v>1116</v>
          </cell>
        </row>
        <row r="23">
          <cell r="B23">
            <v>497</v>
          </cell>
        </row>
        <row r="24">
          <cell r="B24">
            <v>198</v>
          </cell>
        </row>
        <row r="25">
          <cell r="B25">
            <v>197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ome Statement"/>
      <sheetName val="Balence Sheet"/>
      <sheetName val="Cash Flow Statement"/>
      <sheetName val="Valuation"/>
      <sheetName val="Statement of Shareholders Equit"/>
    </sheetNames>
    <sheetDataSet>
      <sheetData sheetId="0"/>
      <sheetData sheetId="1">
        <row r="10">
          <cell r="F10">
            <v>55567</v>
          </cell>
        </row>
        <row r="26">
          <cell r="F26">
            <v>24164</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nvestor.salesforce.com/press-releases/press-release-details/2021/Salesforce-Announces-Strong-Third-Quarter-Fiscal-2022-Results/default.aspx"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opLeftCell="A7" workbookViewId="0">
      <selection sqref="A1:A2"/>
    </sheetView>
  </sheetViews>
  <sheetFormatPr defaultRowHeight="14.4"/>
  <cols>
    <col min="1" max="1" width="76" customWidth="1"/>
    <col min="2" max="2" width="80" customWidth="1"/>
    <col min="3" max="4" width="14" customWidth="1"/>
  </cols>
  <sheetData>
    <row r="1" spans="1:4">
      <c r="A1" s="214" t="s">
        <v>0</v>
      </c>
      <c r="B1" s="2" t="s">
        <v>1</v>
      </c>
    </row>
    <row r="2" spans="1:4">
      <c r="A2" s="215"/>
      <c r="B2" s="2" t="s">
        <v>2</v>
      </c>
      <c r="C2" s="2" t="s">
        <v>3</v>
      </c>
      <c r="D2" s="2" t="s">
        <v>4</v>
      </c>
    </row>
    <row r="3" spans="1:4">
      <c r="A3" s="3" t="s">
        <v>5</v>
      </c>
    </row>
    <row r="4" spans="1:4">
      <c r="A4" s="4" t="s">
        <v>6</v>
      </c>
      <c r="B4" s="4" t="s">
        <v>7</v>
      </c>
    </row>
    <row r="5" spans="1:4">
      <c r="A5" s="4" t="s">
        <v>8</v>
      </c>
      <c r="B5" s="4" t="s">
        <v>9</v>
      </c>
    </row>
    <row r="6" spans="1:4" ht="28.8">
      <c r="A6" s="4" t="s">
        <v>10</v>
      </c>
      <c r="B6" s="4" t="s">
        <v>11</v>
      </c>
    </row>
    <row r="7" spans="1:4">
      <c r="A7" s="4" t="s">
        <v>12</v>
      </c>
      <c r="B7" s="4" t="s">
        <v>13</v>
      </c>
    </row>
    <row r="8" spans="1:4">
      <c r="A8" s="4" t="s">
        <v>14</v>
      </c>
      <c r="B8" s="4" t="s">
        <v>15</v>
      </c>
    </row>
    <row r="9" spans="1:4">
      <c r="A9" s="4" t="s">
        <v>16</v>
      </c>
      <c r="B9" s="4" t="s">
        <v>17</v>
      </c>
    </row>
    <row r="10" spans="1:4">
      <c r="A10" s="4" t="s">
        <v>18</v>
      </c>
      <c r="B10" s="4" t="s">
        <v>19</v>
      </c>
    </row>
    <row r="11" spans="1:4">
      <c r="A11" s="4" t="s">
        <v>20</v>
      </c>
      <c r="B11" s="4" t="s">
        <v>21</v>
      </c>
    </row>
    <row r="12" spans="1:4">
      <c r="A12" s="4" t="s">
        <v>22</v>
      </c>
      <c r="B12" s="4" t="s">
        <v>23</v>
      </c>
    </row>
    <row r="13" spans="1:4">
      <c r="A13" s="4" t="s">
        <v>24</v>
      </c>
      <c r="B13" s="4" t="s">
        <v>25</v>
      </c>
    </row>
    <row r="14" spans="1:4">
      <c r="A14" s="4" t="s">
        <v>26</v>
      </c>
      <c r="B14" s="4" t="s">
        <v>27</v>
      </c>
    </row>
    <row r="15" spans="1:4">
      <c r="A15" s="4" t="s">
        <v>28</v>
      </c>
      <c r="B15" s="4" t="s">
        <v>29</v>
      </c>
    </row>
    <row r="16" spans="1:4">
      <c r="A16" s="4" t="s">
        <v>30</v>
      </c>
      <c r="B16" s="4" t="s">
        <v>31</v>
      </c>
    </row>
    <row r="17" spans="1:4">
      <c r="A17" s="4" t="s">
        <v>32</v>
      </c>
      <c r="B17" s="4" t="s">
        <v>33</v>
      </c>
    </row>
    <row r="18" spans="1:4">
      <c r="A18" s="4" t="s">
        <v>34</v>
      </c>
      <c r="B18" s="4" t="s">
        <v>35</v>
      </c>
    </row>
    <row r="19" spans="1:4">
      <c r="A19" s="4" t="s">
        <v>36</v>
      </c>
      <c r="B19" s="4" t="s">
        <v>37</v>
      </c>
    </row>
    <row r="20" spans="1:4">
      <c r="A20" s="4" t="s">
        <v>38</v>
      </c>
      <c r="B20" s="4" t="s">
        <v>39</v>
      </c>
    </row>
    <row r="21" spans="1:4">
      <c r="A21" s="4" t="s">
        <v>40</v>
      </c>
      <c r="B21" s="4" t="s">
        <v>41</v>
      </c>
    </row>
    <row r="22" spans="1:4">
      <c r="A22" s="4" t="s">
        <v>42</v>
      </c>
      <c r="B22" s="4" t="s">
        <v>43</v>
      </c>
    </row>
    <row r="23" spans="1:4">
      <c r="A23" s="4" t="s">
        <v>44</v>
      </c>
      <c r="B23" s="4" t="s">
        <v>45</v>
      </c>
    </row>
    <row r="24" spans="1:4">
      <c r="A24" s="4" t="s">
        <v>46</v>
      </c>
      <c r="B24" s="4" t="s">
        <v>47</v>
      </c>
    </row>
    <row r="25" spans="1:4">
      <c r="A25" s="4" t="s">
        <v>48</v>
      </c>
      <c r="B25" s="4" t="s">
        <v>45</v>
      </c>
    </row>
    <row r="26" spans="1:4">
      <c r="A26" s="4" t="s">
        <v>49</v>
      </c>
      <c r="B26" s="4" t="s">
        <v>45</v>
      </c>
    </row>
    <row r="27" spans="1:4">
      <c r="A27" s="4" t="s">
        <v>50</v>
      </c>
      <c r="B27" s="4" t="s">
        <v>51</v>
      </c>
    </row>
    <row r="28" spans="1:4">
      <c r="A28" s="4" t="s">
        <v>52</v>
      </c>
      <c r="B28" s="4" t="s">
        <v>15</v>
      </c>
    </row>
    <row r="29" spans="1:4">
      <c r="A29" s="4" t="s">
        <v>53</v>
      </c>
      <c r="B29" s="4" t="s">
        <v>15</v>
      </c>
    </row>
    <row r="30" spans="1:4">
      <c r="A30" s="4" t="s">
        <v>54</v>
      </c>
      <c r="B30" s="4" t="s">
        <v>9</v>
      </c>
    </row>
    <row r="31" spans="1:4">
      <c r="A31" s="4" t="s">
        <v>55</v>
      </c>
      <c r="B31" s="4" t="s">
        <v>15</v>
      </c>
    </row>
    <row r="32" spans="1:4">
      <c r="A32" s="4" t="s">
        <v>56</v>
      </c>
      <c r="D32" s="5">
        <v>139.6</v>
      </c>
    </row>
    <row r="33" spans="1:3">
      <c r="A33" s="4" t="s">
        <v>57</v>
      </c>
      <c r="C33" s="6">
        <v>921</v>
      </c>
    </row>
    <row r="34" spans="1:3" ht="72">
      <c r="A34" s="4" t="s">
        <v>58</v>
      </c>
      <c r="B34" s="4" t="s">
        <v>59</v>
      </c>
    </row>
    <row r="35" spans="1:3">
      <c r="A35" s="4" t="s">
        <v>60</v>
      </c>
      <c r="B35" s="4" t="s">
        <v>15</v>
      </c>
    </row>
    <row r="36" spans="1:3">
      <c r="A36" s="4" t="s">
        <v>61</v>
      </c>
      <c r="B36" s="4" t="s">
        <v>62</v>
      </c>
    </row>
    <row r="37" spans="1:3">
      <c r="A37" s="4" t="s">
        <v>63</v>
      </c>
      <c r="B37" s="4" t="s">
        <v>64</v>
      </c>
    </row>
    <row r="38" spans="1:3">
      <c r="A38" s="4" t="s">
        <v>65</v>
      </c>
      <c r="B38" s="4" t="s">
        <v>66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G33" sqref="G33"/>
    </sheetView>
  </sheetViews>
  <sheetFormatPr defaultRowHeight="14.4"/>
  <cols>
    <col min="1" max="1" width="57" customWidth="1"/>
    <col min="2" max="3" width="14" customWidth="1"/>
  </cols>
  <sheetData>
    <row r="1" spans="1:3">
      <c r="A1" s="1" t="s">
        <v>103</v>
      </c>
      <c r="B1" s="2" t="s">
        <v>2</v>
      </c>
      <c r="C1" s="2" t="s">
        <v>68</v>
      </c>
    </row>
    <row r="2" spans="1:3">
      <c r="A2" s="3" t="s">
        <v>104</v>
      </c>
    </row>
    <row r="3" spans="1:3">
      <c r="A3" s="4" t="s">
        <v>105</v>
      </c>
      <c r="B3" s="8">
        <v>1E-3</v>
      </c>
      <c r="C3" s="8">
        <v>1E-3</v>
      </c>
    </row>
    <row r="4" spans="1:3">
      <c r="A4" s="4" t="s">
        <v>106</v>
      </c>
      <c r="B4" s="6">
        <v>5000000</v>
      </c>
      <c r="C4" s="6">
        <v>5000000</v>
      </c>
    </row>
    <row r="5" spans="1:3">
      <c r="A5" s="4" t="s">
        <v>107</v>
      </c>
      <c r="B5" s="6">
        <v>0</v>
      </c>
      <c r="C5" s="6">
        <v>0</v>
      </c>
    </row>
    <row r="6" spans="1:3">
      <c r="A6" s="4" t="s">
        <v>108</v>
      </c>
      <c r="B6" s="6">
        <v>0</v>
      </c>
      <c r="C6" s="6">
        <v>0</v>
      </c>
    </row>
    <row r="7" spans="1:3">
      <c r="A7" s="4" t="s">
        <v>109</v>
      </c>
      <c r="B7" s="8">
        <v>1E-3</v>
      </c>
      <c r="C7" s="8">
        <v>1E-3</v>
      </c>
    </row>
    <row r="8" spans="1:3">
      <c r="A8" s="4" t="s">
        <v>110</v>
      </c>
      <c r="B8" s="6">
        <v>1600000000</v>
      </c>
      <c r="C8" s="6">
        <v>1600000000</v>
      </c>
    </row>
    <row r="9" spans="1:3">
      <c r="A9" s="4" t="s">
        <v>111</v>
      </c>
      <c r="B9" s="6">
        <v>919000000</v>
      </c>
      <c r="C9" s="6">
        <v>893000000</v>
      </c>
    </row>
    <row r="10" spans="1:3">
      <c r="A10" s="4" t="s">
        <v>112</v>
      </c>
      <c r="B10" s="6">
        <v>919000000</v>
      </c>
      <c r="C10" s="6">
        <v>893000000</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
  <sheetViews>
    <sheetView zoomScaleNormal="100" workbookViewId="0">
      <selection activeCell="K34" sqref="K34"/>
    </sheetView>
  </sheetViews>
  <sheetFormatPr defaultRowHeight="14.4"/>
  <cols>
    <col min="1" max="1" width="78" customWidth="1"/>
    <col min="2" max="2" width="16" customWidth="1"/>
    <col min="3" max="4" width="14" customWidth="1"/>
  </cols>
  <sheetData>
    <row r="1" spans="1:4">
      <c r="A1" s="214" t="s">
        <v>147</v>
      </c>
      <c r="B1" s="217" t="s">
        <v>1</v>
      </c>
      <c r="C1" s="215"/>
      <c r="D1" s="215"/>
    </row>
    <row r="2" spans="1:4">
      <c r="A2" s="215"/>
      <c r="B2" s="2" t="s">
        <v>2</v>
      </c>
      <c r="C2" s="2" t="s">
        <v>68</v>
      </c>
      <c r="D2" s="2" t="s">
        <v>114</v>
      </c>
    </row>
    <row r="3" spans="1:4">
      <c r="A3" s="4" t="s">
        <v>148</v>
      </c>
      <c r="B3" s="7">
        <v>2190</v>
      </c>
      <c r="C3" s="7">
        <v>1785</v>
      </c>
      <c r="D3" s="7">
        <v>1283</v>
      </c>
    </row>
    <row r="4" spans="1:4">
      <c r="A4" s="4" t="s">
        <v>149</v>
      </c>
      <c r="B4" s="6">
        <v>1800</v>
      </c>
      <c r="C4" s="6">
        <v>300</v>
      </c>
    </row>
    <row r="5" spans="1:4">
      <c r="A5" s="4" t="s">
        <v>150</v>
      </c>
      <c r="B5" s="6">
        <v>2000</v>
      </c>
    </row>
    <row r="6" spans="1:4">
      <c r="A6" s="4" t="s">
        <v>151</v>
      </c>
      <c r="D6" s="6">
        <v>612</v>
      </c>
    </row>
    <row r="7" spans="1:4">
      <c r="A7" s="4" t="s">
        <v>152</v>
      </c>
    </row>
    <row r="8" spans="1:4">
      <c r="A8" s="4" t="s">
        <v>149</v>
      </c>
      <c r="B8" s="6">
        <v>1743</v>
      </c>
      <c r="C8" s="6">
        <v>138</v>
      </c>
      <c r="D8" s="6">
        <v>345</v>
      </c>
    </row>
    <row r="9" spans="1:4">
      <c r="A9" s="4" t="s">
        <v>153</v>
      </c>
    </row>
    <row r="10" spans="1:4">
      <c r="A10" s="4" t="s">
        <v>154</v>
      </c>
      <c r="B10" s="6">
        <v>662</v>
      </c>
      <c r="C10" s="6">
        <v>440</v>
      </c>
      <c r="D10" s="6">
        <v>215</v>
      </c>
    </row>
    <row r="11" spans="1:4">
      <c r="A11" s="4" t="s">
        <v>148</v>
      </c>
      <c r="B11" s="6">
        <v>241</v>
      </c>
      <c r="C11" s="6">
        <v>204</v>
      </c>
      <c r="D11" s="6">
        <v>161</v>
      </c>
    </row>
    <row r="12" spans="1:4">
      <c r="A12" s="4" t="s">
        <v>122</v>
      </c>
    </row>
    <row r="13" spans="1:4">
      <c r="A13" s="4" t="s">
        <v>148</v>
      </c>
      <c r="B13" s="6">
        <v>703</v>
      </c>
      <c r="C13" s="6">
        <v>510</v>
      </c>
      <c r="D13" s="6">
        <v>307</v>
      </c>
    </row>
    <row r="14" spans="1:4">
      <c r="A14" s="4" t="s">
        <v>123</v>
      </c>
    </row>
    <row r="15" spans="1:4">
      <c r="A15" s="4" t="s">
        <v>154</v>
      </c>
      <c r="B15" s="6">
        <v>459</v>
      </c>
      <c r="C15" s="6">
        <v>352</v>
      </c>
      <c r="D15" s="6">
        <v>232</v>
      </c>
    </row>
    <row r="16" spans="1:4">
      <c r="A16" s="4" t="s">
        <v>148</v>
      </c>
      <c r="B16" s="6">
        <v>941</v>
      </c>
      <c r="C16" s="6">
        <v>852</v>
      </c>
      <c r="D16" s="6">
        <v>643</v>
      </c>
    </row>
    <row r="17" spans="1:4">
      <c r="A17" s="4" t="s">
        <v>124</v>
      </c>
    </row>
    <row r="18" spans="1:4">
      <c r="A18" s="4" t="s">
        <v>148</v>
      </c>
      <c r="B18" s="7">
        <v>305</v>
      </c>
      <c r="C18" s="7">
        <v>219</v>
      </c>
      <c r="D18" s="7">
        <v>172</v>
      </c>
    </row>
  </sheetData>
  <mergeCells count="2">
    <mergeCell ref="A1:A2"/>
    <mergeCell ref="B1:D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3"/>
  <sheetViews>
    <sheetView workbookViewId="0">
      <selection activeCell="D15" sqref="D15"/>
    </sheetView>
  </sheetViews>
  <sheetFormatPr defaultRowHeight="14.4"/>
  <cols>
    <col min="1" max="1" width="80" customWidth="1"/>
    <col min="2" max="2" width="13" customWidth="1"/>
    <col min="3" max="3" width="50" customWidth="1"/>
    <col min="4" max="4" width="13" customWidth="1"/>
    <col min="5" max="5" width="27" customWidth="1"/>
    <col min="6" max="6" width="37" customWidth="1"/>
    <col min="7" max="7" width="80" customWidth="1"/>
    <col min="8" max="8" width="18" customWidth="1"/>
    <col min="9" max="9" width="67" customWidth="1"/>
  </cols>
  <sheetData>
    <row r="1" spans="1:9" ht="28.8">
      <c r="A1" s="1" t="s">
        <v>164</v>
      </c>
      <c r="B1" s="2" t="s">
        <v>165</v>
      </c>
      <c r="C1" s="2" t="s">
        <v>166</v>
      </c>
      <c r="D1" s="2" t="s">
        <v>167</v>
      </c>
      <c r="E1" s="2" t="s">
        <v>168</v>
      </c>
      <c r="F1" s="2" t="s">
        <v>169</v>
      </c>
      <c r="G1" s="2" t="s">
        <v>170</v>
      </c>
      <c r="H1" s="2" t="s">
        <v>171</v>
      </c>
      <c r="I1" s="2" t="s">
        <v>172</v>
      </c>
    </row>
    <row r="2" spans="1:9">
      <c r="A2" s="4" t="s">
        <v>173</v>
      </c>
      <c r="D2" s="6">
        <v>730</v>
      </c>
    </row>
    <row r="3" spans="1:9">
      <c r="A3" s="4" t="s">
        <v>174</v>
      </c>
      <c r="B3" s="7">
        <v>10376</v>
      </c>
      <c r="C3" s="7">
        <v>-17</v>
      </c>
      <c r="D3" s="7">
        <v>1</v>
      </c>
      <c r="E3" s="7">
        <v>9752</v>
      </c>
      <c r="F3" s="7">
        <v>-12</v>
      </c>
      <c r="G3" s="7">
        <v>-7</v>
      </c>
      <c r="H3" s="7">
        <v>635</v>
      </c>
      <c r="I3" s="7">
        <v>-10</v>
      </c>
    </row>
    <row r="4" spans="1:9">
      <c r="A4" s="3" t="s">
        <v>175</v>
      </c>
    </row>
    <row r="5" spans="1:9">
      <c r="A5" s="4" t="s">
        <v>176</v>
      </c>
      <c r="D5" s="6">
        <v>21</v>
      </c>
    </row>
    <row r="6" spans="1:9">
      <c r="A6" s="4" t="s">
        <v>177</v>
      </c>
      <c r="B6" s="6">
        <v>695</v>
      </c>
      <c r="E6" s="6">
        <v>695</v>
      </c>
    </row>
    <row r="7" spans="1:9">
      <c r="A7" s="4" t="s">
        <v>178</v>
      </c>
      <c r="D7" s="6">
        <v>13</v>
      </c>
    </row>
    <row r="8" spans="1:9">
      <c r="A8" s="4" t="s">
        <v>179</v>
      </c>
      <c r="B8" s="6">
        <v>2195</v>
      </c>
      <c r="E8" s="6">
        <v>2195</v>
      </c>
    </row>
    <row r="9" spans="1:9">
      <c r="A9" s="4" t="s">
        <v>180</v>
      </c>
      <c r="D9" s="6">
        <v>6</v>
      </c>
    </row>
    <row r="10" spans="1:9">
      <c r="A10" s="4" t="s">
        <v>181</v>
      </c>
      <c r="B10" s="6">
        <v>4</v>
      </c>
      <c r="E10" s="6">
        <v>4</v>
      </c>
    </row>
    <row r="11" spans="1:9">
      <c r="A11" s="4" t="s">
        <v>182</v>
      </c>
      <c r="B11" s="6">
        <v>1281</v>
      </c>
      <c r="E11" s="6">
        <v>1281</v>
      </c>
    </row>
    <row r="12" spans="1:9">
      <c r="A12" s="4" t="s">
        <v>183</v>
      </c>
      <c r="B12" s="6">
        <v>-39</v>
      </c>
      <c r="F12" s="6">
        <v>-39</v>
      </c>
    </row>
    <row r="13" spans="1:9">
      <c r="A13" s="4" t="s">
        <v>134</v>
      </c>
      <c r="B13" s="6">
        <v>1110</v>
      </c>
      <c r="H13" s="6">
        <v>1110</v>
      </c>
    </row>
    <row r="14" spans="1:9">
      <c r="A14" s="4" t="s">
        <v>184</v>
      </c>
      <c r="D14" s="6">
        <v>770</v>
      </c>
    </row>
    <row r="15" spans="1:9">
      <c r="A15" s="4" t="s">
        <v>185</v>
      </c>
      <c r="B15" s="6">
        <v>15605</v>
      </c>
      <c r="D15" s="7">
        <v>1</v>
      </c>
      <c r="E15" s="6">
        <v>13927</v>
      </c>
      <c r="F15" s="6">
        <v>-58</v>
      </c>
      <c r="H15" s="6">
        <v>1735</v>
      </c>
    </row>
    <row r="16" spans="1:9">
      <c r="A16" s="3" t="s">
        <v>175</v>
      </c>
    </row>
    <row r="17" spans="1:8">
      <c r="A17" s="4" t="s">
        <v>176</v>
      </c>
      <c r="D17" s="6">
        <v>21</v>
      </c>
    </row>
    <row r="18" spans="1:8">
      <c r="A18" s="4" t="s">
        <v>177</v>
      </c>
      <c r="B18" s="6">
        <v>816</v>
      </c>
      <c r="E18" s="6">
        <v>816</v>
      </c>
    </row>
    <row r="19" spans="1:8">
      <c r="A19" s="4" t="s">
        <v>178</v>
      </c>
      <c r="D19" s="6">
        <v>102</v>
      </c>
    </row>
    <row r="20" spans="1:8">
      <c r="A20" s="4" t="s">
        <v>179</v>
      </c>
      <c r="B20" s="6">
        <v>15588</v>
      </c>
      <c r="E20" s="6">
        <v>15588</v>
      </c>
    </row>
    <row r="21" spans="1:8">
      <c r="A21" s="4" t="s">
        <v>182</v>
      </c>
      <c r="B21" s="6">
        <v>1785</v>
      </c>
      <c r="E21" s="6">
        <v>1785</v>
      </c>
    </row>
    <row r="22" spans="1:8">
      <c r="A22" s="4" t="s">
        <v>183</v>
      </c>
      <c r="B22" s="6">
        <v>-35</v>
      </c>
      <c r="F22" s="6">
        <v>-35</v>
      </c>
    </row>
    <row r="23" spans="1:8">
      <c r="A23" s="4" t="s">
        <v>134</v>
      </c>
      <c r="B23" s="6">
        <v>126</v>
      </c>
      <c r="H23" s="6">
        <v>126</v>
      </c>
    </row>
    <row r="24" spans="1:8">
      <c r="A24" s="4" t="s">
        <v>186</v>
      </c>
      <c r="D24" s="6">
        <v>893</v>
      </c>
    </row>
    <row r="25" spans="1:8">
      <c r="A25" s="4" t="s">
        <v>187</v>
      </c>
      <c r="B25" s="6">
        <v>33885</v>
      </c>
      <c r="D25" s="7">
        <v>1</v>
      </c>
      <c r="E25" s="6">
        <v>32116</v>
      </c>
      <c r="F25" s="6">
        <v>-93</v>
      </c>
      <c r="H25" s="6">
        <v>1861</v>
      </c>
    </row>
    <row r="26" spans="1:8">
      <c r="A26" s="3" t="s">
        <v>175</v>
      </c>
    </row>
    <row r="27" spans="1:8">
      <c r="A27" s="4" t="s">
        <v>176</v>
      </c>
      <c r="D27" s="6">
        <v>26</v>
      </c>
    </row>
    <row r="28" spans="1:8">
      <c r="A28" s="4" t="s">
        <v>177</v>
      </c>
      <c r="B28" s="6">
        <v>1295</v>
      </c>
      <c r="E28" s="6">
        <v>1295</v>
      </c>
    </row>
    <row r="29" spans="1:8">
      <c r="A29" s="4" t="s">
        <v>182</v>
      </c>
      <c r="B29" s="6">
        <v>2190</v>
      </c>
      <c r="E29" s="6">
        <v>2190</v>
      </c>
    </row>
    <row r="30" spans="1:8">
      <c r="A30" s="4" t="s">
        <v>183</v>
      </c>
      <c r="B30" s="6">
        <v>51</v>
      </c>
      <c r="F30" s="6">
        <v>51</v>
      </c>
    </row>
    <row r="31" spans="1:8">
      <c r="A31" s="4" t="s">
        <v>134</v>
      </c>
      <c r="B31" s="6">
        <v>4072</v>
      </c>
      <c r="H31" s="6">
        <v>4072</v>
      </c>
    </row>
    <row r="32" spans="1:8">
      <c r="A32" s="4" t="s">
        <v>188</v>
      </c>
      <c r="D32" s="6">
        <v>919</v>
      </c>
    </row>
    <row r="33" spans="1:8">
      <c r="A33" s="4" t="s">
        <v>189</v>
      </c>
      <c r="B33" s="7">
        <v>41493</v>
      </c>
      <c r="D33" s="7">
        <v>1</v>
      </c>
      <c r="E33" s="7">
        <v>35601</v>
      </c>
      <c r="F33" s="7">
        <v>-42</v>
      </c>
      <c r="H33" s="7">
        <v>5933</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3"/>
  <sheetViews>
    <sheetView workbookViewId="0">
      <selection activeCell="H26" sqref="H26"/>
    </sheetView>
  </sheetViews>
  <sheetFormatPr defaultRowHeight="14.4"/>
  <cols>
    <col min="1" max="1" width="80" customWidth="1"/>
    <col min="2" max="2" width="16" customWidth="1"/>
    <col min="3" max="3" width="14" customWidth="1"/>
    <col min="4" max="4" width="14" hidden="1" customWidth="1"/>
  </cols>
  <sheetData>
    <row r="1" spans="1:4">
      <c r="A1" s="214" t="s">
        <v>155</v>
      </c>
      <c r="B1" s="214" t="s">
        <v>1</v>
      </c>
      <c r="C1" s="224"/>
      <c r="D1" s="224"/>
    </row>
    <row r="2" spans="1:4">
      <c r="A2" s="215"/>
      <c r="B2" s="10" t="s">
        <v>2</v>
      </c>
      <c r="C2" s="10" t="s">
        <v>68</v>
      </c>
      <c r="D2" s="10" t="s">
        <v>114</v>
      </c>
    </row>
    <row r="3" spans="1:4">
      <c r="A3" s="3" t="s">
        <v>156</v>
      </c>
    </row>
    <row r="4" spans="1:4">
      <c r="A4" s="4" t="s">
        <v>134</v>
      </c>
      <c r="B4" s="7">
        <v>4072</v>
      </c>
      <c r="C4" s="7">
        <v>126</v>
      </c>
      <c r="D4" s="7">
        <v>1110</v>
      </c>
    </row>
    <row r="5" spans="1:4">
      <c r="A5" s="3" t="s">
        <v>157</v>
      </c>
    </row>
    <row r="6" spans="1:4">
      <c r="A6" s="4" t="s">
        <v>158</v>
      </c>
      <c r="B6" s="6">
        <v>40</v>
      </c>
      <c r="C6" s="6">
        <v>-59</v>
      </c>
      <c r="D6" s="6">
        <v>-26</v>
      </c>
    </row>
    <row r="7" spans="1:4">
      <c r="A7" s="4" t="s">
        <v>159</v>
      </c>
      <c r="B7" s="6">
        <v>15</v>
      </c>
      <c r="C7" s="6">
        <v>26</v>
      </c>
      <c r="D7" s="6">
        <v>-12</v>
      </c>
    </row>
    <row r="8" spans="1:4">
      <c r="A8" s="4" t="s">
        <v>160</v>
      </c>
      <c r="B8" s="6">
        <v>55</v>
      </c>
      <c r="C8" s="6">
        <v>-33</v>
      </c>
      <c r="D8" s="6">
        <v>-38</v>
      </c>
    </row>
    <row r="9" spans="1:4">
      <c r="A9" s="4" t="s">
        <v>161</v>
      </c>
      <c r="B9" s="6">
        <v>-4</v>
      </c>
      <c r="C9" s="6">
        <v>-2</v>
      </c>
      <c r="D9" s="6">
        <v>-1</v>
      </c>
    </row>
    <row r="10" spans="1:4">
      <c r="A10" s="65" t="s">
        <v>162</v>
      </c>
      <c r="B10" s="66">
        <v>51</v>
      </c>
      <c r="C10" s="66">
        <v>-35</v>
      </c>
      <c r="D10" s="6">
        <v>-39</v>
      </c>
    </row>
    <row r="11" spans="1:4">
      <c r="A11" s="14" t="s">
        <v>163</v>
      </c>
      <c r="B11" s="15">
        <v>4123</v>
      </c>
      <c r="C11" s="15">
        <v>91</v>
      </c>
      <c r="D11" s="15">
        <v>1071</v>
      </c>
    </row>
    <row r="13" spans="1:4">
      <c r="B13" s="59"/>
    </row>
  </sheetData>
  <mergeCells count="2">
    <mergeCell ref="A1:A2"/>
    <mergeCell ref="B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opLeftCell="A4" workbookViewId="0">
      <selection activeCell="L29" sqref="L29"/>
    </sheetView>
  </sheetViews>
  <sheetFormatPr defaultRowHeight="14.4"/>
  <cols>
    <col min="1" max="1" width="80" customWidth="1"/>
    <col min="2" max="3" width="14" customWidth="1"/>
  </cols>
  <sheetData>
    <row r="1" spans="1:3">
      <c r="A1" s="1" t="s">
        <v>67</v>
      </c>
      <c r="B1" s="2" t="s">
        <v>2</v>
      </c>
      <c r="C1" s="2" t="s">
        <v>68</v>
      </c>
    </row>
    <row r="2" spans="1:3">
      <c r="A2" s="3" t="s">
        <v>69</v>
      </c>
    </row>
    <row r="3" spans="1:3">
      <c r="A3" s="4" t="s">
        <v>70</v>
      </c>
      <c r="B3" s="7">
        <v>6195</v>
      </c>
      <c r="C3" s="7">
        <v>4145</v>
      </c>
    </row>
    <row r="4" spans="1:3">
      <c r="A4" s="4" t="s">
        <v>71</v>
      </c>
      <c r="B4" s="6">
        <v>5771</v>
      </c>
      <c r="C4" s="6">
        <v>3802</v>
      </c>
    </row>
    <row r="5" spans="1:3">
      <c r="A5" s="4" t="s">
        <v>72</v>
      </c>
      <c r="B5" s="6">
        <v>7786</v>
      </c>
      <c r="C5" s="6">
        <v>6174</v>
      </c>
    </row>
    <row r="6" spans="1:3">
      <c r="A6" s="4" t="s">
        <v>73</v>
      </c>
      <c r="B6" s="6">
        <v>1146</v>
      </c>
      <c r="C6" s="6">
        <v>926</v>
      </c>
    </row>
    <row r="7" spans="1:3">
      <c r="A7" s="4" t="s">
        <v>74</v>
      </c>
      <c r="B7" s="6">
        <v>991</v>
      </c>
      <c r="C7" s="6">
        <v>916</v>
      </c>
    </row>
    <row r="8" spans="1:3">
      <c r="A8" s="45" t="s">
        <v>75</v>
      </c>
      <c r="B8" s="46">
        <v>21889</v>
      </c>
      <c r="C8" s="46">
        <v>15963</v>
      </c>
    </row>
    <row r="9" spans="1:3">
      <c r="A9" s="4" t="s">
        <v>76</v>
      </c>
      <c r="B9" s="6">
        <v>2459</v>
      </c>
      <c r="C9" s="6">
        <v>2375</v>
      </c>
    </row>
    <row r="10" spans="1:3">
      <c r="A10" s="4" t="s">
        <v>77</v>
      </c>
      <c r="B10" s="6">
        <v>3204</v>
      </c>
      <c r="C10" s="6">
        <v>3040</v>
      </c>
    </row>
    <row r="11" spans="1:3">
      <c r="A11" s="4" t="s">
        <v>78</v>
      </c>
      <c r="B11" s="6">
        <v>1715</v>
      </c>
      <c r="C11" s="6">
        <v>1348</v>
      </c>
    </row>
    <row r="12" spans="1:3">
      <c r="A12" s="4" t="s">
        <v>79</v>
      </c>
      <c r="B12" s="6">
        <v>3909</v>
      </c>
      <c r="C12" s="6">
        <v>1963</v>
      </c>
    </row>
    <row r="13" spans="1:3">
      <c r="A13" s="4" t="s">
        <v>80</v>
      </c>
      <c r="B13" s="6">
        <v>26318</v>
      </c>
      <c r="C13" s="6">
        <v>25134</v>
      </c>
    </row>
    <row r="14" spans="1:3">
      <c r="A14" s="4" t="s">
        <v>81</v>
      </c>
      <c r="B14" s="6">
        <v>4114</v>
      </c>
      <c r="C14" s="6">
        <v>4724</v>
      </c>
    </row>
    <row r="15" spans="1:3">
      <c r="A15" s="4" t="s">
        <v>82</v>
      </c>
      <c r="B15" s="6">
        <v>2693</v>
      </c>
      <c r="C15" s="6">
        <v>579</v>
      </c>
    </row>
    <row r="16" spans="1:3">
      <c r="A16" s="47" t="s">
        <v>83</v>
      </c>
      <c r="B16" s="48">
        <v>66301</v>
      </c>
      <c r="C16" s="48">
        <v>55126</v>
      </c>
    </row>
    <row r="17" spans="1:3">
      <c r="A17" s="3" t="s">
        <v>84</v>
      </c>
    </row>
    <row r="18" spans="1:3">
      <c r="A18" s="4" t="s">
        <v>85</v>
      </c>
      <c r="B18" s="6">
        <v>4355</v>
      </c>
      <c r="C18" s="6">
        <v>3433</v>
      </c>
    </row>
    <row r="19" spans="1:3">
      <c r="A19" s="4" t="s">
        <v>86</v>
      </c>
      <c r="B19" s="6">
        <v>766</v>
      </c>
      <c r="C19" s="6">
        <v>750</v>
      </c>
    </row>
    <row r="20" spans="1:3">
      <c r="A20" s="4" t="s">
        <v>87</v>
      </c>
      <c r="B20" s="6">
        <v>12607</v>
      </c>
      <c r="C20" s="6">
        <v>10662</v>
      </c>
    </row>
    <row r="21" spans="1:3">
      <c r="A21" s="45" t="s">
        <v>88</v>
      </c>
      <c r="B21" s="46">
        <v>17728</v>
      </c>
      <c r="C21" s="46">
        <v>14845</v>
      </c>
    </row>
    <row r="22" spans="1:3">
      <c r="A22" s="4" t="s">
        <v>89</v>
      </c>
      <c r="B22" s="6">
        <v>2673</v>
      </c>
      <c r="C22" s="6">
        <v>2673</v>
      </c>
    </row>
    <row r="23" spans="1:3">
      <c r="A23" s="4" t="s">
        <v>90</v>
      </c>
      <c r="B23" s="6">
        <v>2842</v>
      </c>
      <c r="C23" s="6">
        <v>2445</v>
      </c>
    </row>
    <row r="24" spans="1:3">
      <c r="A24" s="4" t="s">
        <v>91</v>
      </c>
      <c r="B24" s="6">
        <v>1565</v>
      </c>
      <c r="C24" s="6">
        <v>1278</v>
      </c>
    </row>
    <row r="25" spans="1:3">
      <c r="A25" s="47" t="s">
        <v>92</v>
      </c>
      <c r="B25" s="48">
        <v>24808</v>
      </c>
      <c r="C25" s="48">
        <v>21241</v>
      </c>
    </row>
    <row r="26" spans="1:3">
      <c r="A26" s="4" t="s">
        <v>93</v>
      </c>
      <c r="B26" s="4" t="s">
        <v>94</v>
      </c>
      <c r="C26" s="4" t="s">
        <v>94</v>
      </c>
    </row>
    <row r="27" spans="1:3">
      <c r="A27" s="3" t="s">
        <v>95</v>
      </c>
    </row>
    <row r="28" spans="1:3">
      <c r="A28" s="4" t="s">
        <v>96</v>
      </c>
      <c r="B28" s="6">
        <v>0</v>
      </c>
      <c r="C28" s="6">
        <v>0</v>
      </c>
    </row>
    <row r="29" spans="1:3" ht="28.8">
      <c r="A29" s="4" t="s">
        <v>97</v>
      </c>
      <c r="B29" s="6">
        <v>1</v>
      </c>
      <c r="C29" s="6">
        <v>1</v>
      </c>
    </row>
    <row r="30" spans="1:3">
      <c r="A30" s="4" t="s">
        <v>98</v>
      </c>
      <c r="B30" s="6">
        <v>35601</v>
      </c>
      <c r="C30" s="6">
        <v>32116</v>
      </c>
    </row>
    <row r="31" spans="1:3">
      <c r="A31" s="4" t="s">
        <v>99</v>
      </c>
      <c r="B31" s="6">
        <v>-42</v>
      </c>
      <c r="C31" s="6">
        <v>-93</v>
      </c>
    </row>
    <row r="32" spans="1:3">
      <c r="A32" s="4" t="s">
        <v>100</v>
      </c>
      <c r="B32" s="6">
        <v>5933</v>
      </c>
      <c r="C32" s="6">
        <v>1861</v>
      </c>
    </row>
    <row r="33" spans="1:3">
      <c r="A33" s="4" t="s">
        <v>101</v>
      </c>
      <c r="B33" s="6">
        <v>41493</v>
      </c>
      <c r="C33" s="6">
        <v>33885</v>
      </c>
    </row>
    <row r="34" spans="1:3">
      <c r="A34" s="4" t="s">
        <v>102</v>
      </c>
      <c r="B34" s="7">
        <v>66301</v>
      </c>
      <c r="C34" s="7">
        <v>55126</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8"/>
  <sheetViews>
    <sheetView workbookViewId="0">
      <selection activeCell="I32" sqref="I32"/>
    </sheetView>
  </sheetViews>
  <sheetFormatPr defaultRowHeight="14.4"/>
  <cols>
    <col min="1" max="1" width="80" customWidth="1"/>
    <col min="2" max="2" width="80" hidden="1" customWidth="1"/>
    <col min="3" max="3" width="16" customWidth="1"/>
    <col min="4" max="5" width="14" customWidth="1"/>
  </cols>
  <sheetData>
    <row r="1" spans="1:9">
      <c r="A1" s="214" t="s">
        <v>113</v>
      </c>
      <c r="B1" s="215"/>
      <c r="C1" s="217" t="s">
        <v>1</v>
      </c>
      <c r="D1" s="215"/>
      <c r="E1" s="215"/>
    </row>
    <row r="2" spans="1:9">
      <c r="A2" s="215"/>
      <c r="B2" s="215"/>
      <c r="C2" s="1" t="s">
        <v>2</v>
      </c>
      <c r="D2" s="1" t="s">
        <v>68</v>
      </c>
      <c r="E2" s="1" t="s">
        <v>114</v>
      </c>
    </row>
    <row r="3" spans="1:9">
      <c r="A3" s="3" t="s">
        <v>115</v>
      </c>
    </row>
    <row r="4" spans="1:9">
      <c r="A4" s="4" t="s">
        <v>116</v>
      </c>
      <c r="C4" s="7">
        <v>21252</v>
      </c>
      <c r="D4" s="7">
        <v>17098</v>
      </c>
      <c r="E4" s="7">
        <v>13282</v>
      </c>
    </row>
    <row r="5" spans="1:9">
      <c r="A5" s="3" t="s">
        <v>117</v>
      </c>
      <c r="I5" s="59"/>
    </row>
    <row r="6" spans="1:9">
      <c r="A6" s="4" t="s">
        <v>118</v>
      </c>
      <c r="B6" s="4" t="s">
        <v>119</v>
      </c>
      <c r="C6" s="6">
        <v>5438</v>
      </c>
      <c r="D6" s="6">
        <v>4235</v>
      </c>
      <c r="E6" s="6">
        <v>3451</v>
      </c>
    </row>
    <row r="7" spans="1:9">
      <c r="A7" s="4" t="s">
        <v>120</v>
      </c>
      <c r="C7" s="6">
        <v>15814</v>
      </c>
      <c r="D7" s="6">
        <v>12863</v>
      </c>
      <c r="E7" s="6">
        <v>9831</v>
      </c>
    </row>
    <row r="8" spans="1:9">
      <c r="A8" s="3" t="s">
        <v>121</v>
      </c>
      <c r="G8" s="61">
        <f>C7-C13</f>
        <v>455</v>
      </c>
    </row>
    <row r="9" spans="1:9">
      <c r="A9" s="4" t="s">
        <v>122</v>
      </c>
      <c r="B9" s="4" t="s">
        <v>119</v>
      </c>
      <c r="C9" s="6">
        <v>3598</v>
      </c>
      <c r="D9" s="6">
        <v>2766</v>
      </c>
      <c r="E9" s="6">
        <v>1886</v>
      </c>
    </row>
    <row r="10" spans="1:9">
      <c r="A10" s="4" t="s">
        <v>123</v>
      </c>
      <c r="B10" s="4" t="s">
        <v>119</v>
      </c>
      <c r="C10" s="6">
        <v>9674</v>
      </c>
      <c r="D10" s="6">
        <v>7930</v>
      </c>
      <c r="E10" s="6">
        <v>6064</v>
      </c>
    </row>
    <row r="11" spans="1:9">
      <c r="A11" s="4" t="s">
        <v>124</v>
      </c>
      <c r="B11" s="4" t="s">
        <v>119</v>
      </c>
      <c r="C11" s="6">
        <v>2087</v>
      </c>
      <c r="D11" s="6">
        <v>1704</v>
      </c>
      <c r="E11" s="6">
        <v>1346</v>
      </c>
    </row>
    <row r="12" spans="1:9">
      <c r="A12" s="4" t="s">
        <v>125</v>
      </c>
      <c r="B12" s="4" t="s">
        <v>119</v>
      </c>
      <c r="C12" s="6">
        <v>0</v>
      </c>
      <c r="D12" s="6">
        <v>166</v>
      </c>
      <c r="E12" s="6">
        <v>0</v>
      </c>
    </row>
    <row r="13" spans="1:9">
      <c r="A13" s="3" t="s">
        <v>126</v>
      </c>
      <c r="B13" s="3" t="s">
        <v>119</v>
      </c>
      <c r="C13" s="57">
        <v>15359</v>
      </c>
      <c r="D13" s="57">
        <v>12566</v>
      </c>
      <c r="E13" s="57">
        <v>9296</v>
      </c>
    </row>
    <row r="14" spans="1:9">
      <c r="A14" s="4" t="s">
        <v>127</v>
      </c>
      <c r="C14" s="6">
        <v>455</v>
      </c>
      <c r="D14" s="6">
        <v>297</v>
      </c>
      <c r="E14" s="6">
        <v>535</v>
      </c>
    </row>
    <row r="15" spans="1:9">
      <c r="A15" s="4" t="s">
        <v>128</v>
      </c>
      <c r="B15" s="4" t="s">
        <v>129</v>
      </c>
      <c r="C15" s="6">
        <v>2170</v>
      </c>
      <c r="D15" s="6">
        <v>427</v>
      </c>
      <c r="E15" s="6">
        <v>542</v>
      </c>
    </row>
    <row r="16" spans="1:9">
      <c r="A16" s="4" t="s">
        <v>130</v>
      </c>
      <c r="C16" s="6">
        <v>-64</v>
      </c>
      <c r="D16" s="6">
        <v>-18</v>
      </c>
      <c r="E16" s="6">
        <v>-94</v>
      </c>
      <c r="F16" s="61"/>
    </row>
    <row r="17" spans="1:5">
      <c r="A17" s="45" t="s">
        <v>131</v>
      </c>
      <c r="B17" s="197"/>
      <c r="C17" s="46">
        <v>2561</v>
      </c>
      <c r="D17" s="46">
        <v>706</v>
      </c>
      <c r="E17" s="46">
        <v>983</v>
      </c>
    </row>
    <row r="18" spans="1:5">
      <c r="A18" s="4" t="s">
        <v>132</v>
      </c>
      <c r="B18" s="4" t="s">
        <v>133</v>
      </c>
      <c r="C18" s="6">
        <v>1511</v>
      </c>
      <c r="D18" s="6">
        <v>-580</v>
      </c>
      <c r="E18" s="6">
        <v>127</v>
      </c>
    </row>
    <row r="19" spans="1:5">
      <c r="A19" s="3" t="s">
        <v>134</v>
      </c>
      <c r="B19" s="36"/>
      <c r="C19" s="13">
        <v>4072</v>
      </c>
      <c r="D19" s="13">
        <v>126</v>
      </c>
      <c r="E19" s="13">
        <v>1110</v>
      </c>
    </row>
    <row r="20" spans="1:5">
      <c r="A20" s="4" t="s">
        <v>135</v>
      </c>
      <c r="C20" s="9">
        <v>4.4800000000000004</v>
      </c>
      <c r="D20" s="9">
        <v>0.15</v>
      </c>
      <c r="E20" s="9">
        <v>1.48</v>
      </c>
    </row>
    <row r="21" spans="1:5">
      <c r="A21" s="4" t="s">
        <v>136</v>
      </c>
      <c r="C21" s="9">
        <v>4.38</v>
      </c>
      <c r="D21" s="9">
        <v>0.15</v>
      </c>
      <c r="E21" s="9">
        <v>1.43</v>
      </c>
    </row>
    <row r="22" spans="1:5">
      <c r="A22" s="4" t="s">
        <v>137</v>
      </c>
      <c r="C22" s="6">
        <v>908</v>
      </c>
      <c r="D22" s="6">
        <v>829</v>
      </c>
      <c r="E22" s="6">
        <v>751</v>
      </c>
    </row>
    <row r="23" spans="1:5">
      <c r="A23" s="4" t="s">
        <v>138</v>
      </c>
      <c r="C23" s="6">
        <v>930</v>
      </c>
      <c r="D23" s="6">
        <v>850</v>
      </c>
      <c r="E23" s="6">
        <v>775</v>
      </c>
    </row>
    <row r="24" spans="1:5">
      <c r="A24" s="4" t="s">
        <v>139</v>
      </c>
    </row>
    <row r="25" spans="1:5">
      <c r="A25" s="3" t="s">
        <v>115</v>
      </c>
    </row>
    <row r="26" spans="1:5">
      <c r="A26" s="4" t="s">
        <v>116</v>
      </c>
      <c r="C26" s="7">
        <v>19976</v>
      </c>
      <c r="D26" s="7">
        <v>16043</v>
      </c>
      <c r="E26" s="7">
        <v>12413</v>
      </c>
    </row>
    <row r="27" spans="1:5">
      <c r="A27" s="3" t="s">
        <v>117</v>
      </c>
    </row>
    <row r="28" spans="1:5">
      <c r="A28" s="4" t="s">
        <v>118</v>
      </c>
      <c r="B28" s="4" t="s">
        <v>119</v>
      </c>
      <c r="C28" s="6">
        <v>4154</v>
      </c>
      <c r="D28" s="6">
        <v>3198</v>
      </c>
      <c r="E28" s="6">
        <v>2604</v>
      </c>
    </row>
    <row r="29" spans="1:5">
      <c r="A29" s="4" t="s">
        <v>140</v>
      </c>
    </row>
    <row r="30" spans="1:5">
      <c r="A30" s="3" t="s">
        <v>115</v>
      </c>
    </row>
    <row r="31" spans="1:5">
      <c r="A31" s="4" t="s">
        <v>116</v>
      </c>
      <c r="C31" s="6">
        <v>1276</v>
      </c>
      <c r="D31" s="6">
        <v>1055</v>
      </c>
      <c r="E31" s="6">
        <v>869</v>
      </c>
    </row>
    <row r="32" spans="1:5">
      <c r="A32" s="3" t="s">
        <v>117</v>
      </c>
    </row>
    <row r="33" spans="1:5">
      <c r="A33" s="4" t="s">
        <v>118</v>
      </c>
      <c r="B33" s="4" t="s">
        <v>119</v>
      </c>
      <c r="C33" s="7">
        <v>1284</v>
      </c>
      <c r="D33" s="7">
        <v>1037</v>
      </c>
      <c r="E33" s="7">
        <v>847</v>
      </c>
    </row>
    <row r="34" spans="1:5">
      <c r="A34" s="215"/>
      <c r="B34" s="215"/>
      <c r="C34" s="215"/>
      <c r="D34" s="215"/>
    </row>
    <row r="35" spans="1:5">
      <c r="A35" s="4" t="s">
        <v>141</v>
      </c>
      <c r="B35" s="216" t="s">
        <v>142</v>
      </c>
      <c r="C35" s="215"/>
      <c r="D35" s="215"/>
    </row>
    <row r="36" spans="1:5">
      <c r="A36" s="4" t="s">
        <v>143</v>
      </c>
      <c r="B36" s="216" t="s">
        <v>144</v>
      </c>
      <c r="C36" s="215"/>
      <c r="D36" s="215"/>
    </row>
    <row r="37" spans="1:5">
      <c r="A37" s="4" t="s">
        <v>129</v>
      </c>
      <c r="B37" s="216" t="s">
        <v>145</v>
      </c>
      <c r="C37" s="215"/>
      <c r="D37" s="215"/>
    </row>
    <row r="38" spans="1:5">
      <c r="A38" s="4" t="s">
        <v>133</v>
      </c>
      <c r="B38" s="216" t="s">
        <v>146</v>
      </c>
      <c r="C38" s="215"/>
      <c r="D38" s="215"/>
    </row>
  </sheetData>
  <mergeCells count="7">
    <mergeCell ref="B37:D37"/>
    <mergeCell ref="B38:D38"/>
    <mergeCell ref="A1:B2"/>
    <mergeCell ref="C1:E1"/>
    <mergeCell ref="A34:D34"/>
    <mergeCell ref="B35:D35"/>
    <mergeCell ref="B36:D3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B8F9-0A8D-4DB1-8414-04373C9BC5CE}">
  <dimension ref="A1:AC68"/>
  <sheetViews>
    <sheetView zoomScale="85" zoomScaleNormal="85" workbookViewId="0">
      <selection activeCell="D36" sqref="D36"/>
    </sheetView>
  </sheetViews>
  <sheetFormatPr defaultRowHeight="15" customHeight="1"/>
  <cols>
    <col min="1" max="1" width="8.88671875" style="11"/>
    <col min="2" max="2" width="59.33203125" style="16" customWidth="1"/>
    <col min="3" max="3" width="22.5546875" style="17" customWidth="1"/>
    <col min="4" max="4" width="21.21875" style="17" customWidth="1"/>
    <col min="5" max="5" width="17.6640625" style="17" customWidth="1"/>
    <col min="6" max="6" width="21.88671875" style="17" customWidth="1"/>
    <col min="7" max="8" width="16" style="70" customWidth="1"/>
    <col min="9" max="9" width="19.44140625" style="70" customWidth="1"/>
    <col min="10" max="12" width="10.33203125" style="70" customWidth="1"/>
    <col min="13" max="13" width="10.33203125" style="17" customWidth="1"/>
    <col min="14" max="14" width="63.77734375" style="17" customWidth="1"/>
    <col min="15" max="15" width="10.33203125" style="17" customWidth="1"/>
    <col min="16" max="16" width="8.88671875" style="18" customWidth="1"/>
    <col min="17" max="17" width="9.88671875" style="11" customWidth="1"/>
    <col min="18" max="18" width="12.5546875" style="11" customWidth="1"/>
    <col min="19" max="19" width="11.77734375" style="11" customWidth="1"/>
    <col min="20" max="20" width="13" style="11" customWidth="1"/>
    <col min="21" max="21" width="12" style="11" customWidth="1"/>
    <col min="22" max="22" width="15.109375" style="11" customWidth="1"/>
    <col min="23" max="24" width="15.109375" style="67" customWidth="1"/>
    <col min="25" max="25" width="13" style="11" customWidth="1"/>
    <col min="26" max="26" width="13.33203125" style="11" customWidth="1"/>
    <col min="27" max="28" width="8.88671875" style="11" customWidth="1"/>
    <col min="29" max="29" width="66.77734375" style="11" customWidth="1"/>
    <col min="30" max="30" width="14.5546875" style="11" customWidth="1"/>
    <col min="31" max="31" width="10.44140625" style="11" customWidth="1"/>
    <col min="32" max="32" width="10.77734375" style="11" customWidth="1"/>
    <col min="33" max="16384" width="8.88671875" style="11"/>
  </cols>
  <sheetData>
    <row r="1" spans="2:26" ht="15" customHeight="1">
      <c r="Y1"/>
      <c r="Z1"/>
    </row>
    <row r="2" spans="2:26" ht="15" customHeight="1">
      <c r="W2" s="86"/>
      <c r="X2" s="86"/>
      <c r="Y2"/>
      <c r="Z2"/>
    </row>
    <row r="3" spans="2:26" ht="15" customHeight="1">
      <c r="B3" s="19"/>
      <c r="C3" s="218" t="s">
        <v>227</v>
      </c>
      <c r="D3" s="218"/>
      <c r="E3" s="219" t="s">
        <v>228</v>
      </c>
      <c r="F3" s="219"/>
      <c r="G3" s="219"/>
      <c r="H3" s="219"/>
      <c r="I3" s="219"/>
      <c r="J3" s="71"/>
      <c r="K3" s="71"/>
      <c r="L3" s="71"/>
      <c r="M3" s="18"/>
      <c r="W3" s="71"/>
      <c r="X3" s="71"/>
      <c r="Y3"/>
      <c r="Z3"/>
    </row>
    <row r="4" spans="2:26" ht="15" customHeight="1">
      <c r="B4" s="139" t="s">
        <v>297</v>
      </c>
      <c r="C4" s="44">
        <v>2020</v>
      </c>
      <c r="D4" s="44">
        <v>2021</v>
      </c>
      <c r="E4" s="146">
        <v>2022</v>
      </c>
      <c r="F4" s="146">
        <v>2023</v>
      </c>
      <c r="G4" s="146">
        <v>2024</v>
      </c>
      <c r="H4" s="146">
        <v>2025</v>
      </c>
      <c r="I4" s="146">
        <v>2026</v>
      </c>
      <c r="J4" s="72"/>
      <c r="K4" s="72"/>
      <c r="L4" s="72"/>
      <c r="M4" s="18"/>
      <c r="W4" s="87"/>
      <c r="X4" s="87"/>
      <c r="Y4"/>
      <c r="Z4"/>
    </row>
    <row r="5" spans="2:26" ht="15" customHeight="1">
      <c r="B5" s="21" t="s">
        <v>230</v>
      </c>
      <c r="C5" s="22"/>
      <c r="D5" s="22"/>
      <c r="E5" s="23"/>
      <c r="F5" s="23"/>
      <c r="G5" s="23"/>
      <c r="H5" s="23"/>
      <c r="I5" s="23"/>
      <c r="J5" s="73"/>
      <c r="K5" s="73"/>
      <c r="L5" s="73"/>
      <c r="M5" s="18"/>
      <c r="W5" s="87"/>
      <c r="X5" s="87"/>
      <c r="Y5"/>
      <c r="Z5"/>
    </row>
    <row r="6" spans="2:26" ht="15" customHeight="1">
      <c r="B6" s="20" t="s">
        <v>232</v>
      </c>
      <c r="C6" s="54">
        <f>'Consolidated Balance Sheets'!C3</f>
        <v>4145</v>
      </c>
      <c r="D6" s="54">
        <f>'Consolidated Balance Sheets'!B3</f>
        <v>6195</v>
      </c>
      <c r="E6" s="133">
        <f>(D6*'BalanceStat Rate Projection'!$G$5)+'Forecast Balance Sheet'!D6</f>
        <v>8796.2610412407703</v>
      </c>
      <c r="F6" s="133">
        <f>(E6*'BalanceStat Rate Projection'!$G$5)+'Forecast Balance Sheet'!E6</f>
        <v>12489.78342302666</v>
      </c>
      <c r="G6" s="133">
        <f>(F6*'BalanceStat Rate Projection'!$G$5)+'Forecast Balance Sheet'!F6</f>
        <v>17734.20425141311</v>
      </c>
      <c r="H6" s="133">
        <f>(G6*'BalanceStat Rate Projection'!$G$5)+'Forecast Balance Sheet'!G6</f>
        <v>25180.740912689522</v>
      </c>
      <c r="I6" s="133">
        <f>(H6*'BalanceStat Rate Projection'!$G$5)+'Forecast Balance Sheet'!H6</f>
        <v>35754.054928146637</v>
      </c>
      <c r="J6" s="74"/>
      <c r="K6" s="74"/>
      <c r="L6" s="74"/>
      <c r="M6" s="18"/>
      <c r="W6" s="88"/>
      <c r="X6" s="88"/>
      <c r="Y6"/>
      <c r="Z6"/>
    </row>
    <row r="7" spans="2:26" ht="15" customHeight="1">
      <c r="B7" s="20" t="s">
        <v>234</v>
      </c>
      <c r="C7" s="55">
        <f>'Consolidated Balance Sheets'!C4</f>
        <v>3802</v>
      </c>
      <c r="D7" s="54">
        <f>'Consolidated Balance Sheets'!B4</f>
        <v>5771</v>
      </c>
      <c r="E7" s="133">
        <f>('BalanceStat Rate Projection'!$G$7*'Forecast Balance Sheet'!D7)+'Forecast Balance Sheet'!D7</f>
        <v>11429.418909737364</v>
      </c>
      <c r="F7" s="133">
        <f>('BalanceStat Rate Projection'!$G$7*'Forecast Balance Sheet'!E7)+'Forecast Balance Sheet'!E7</f>
        <v>22635.87187909583</v>
      </c>
      <c r="G7" s="133">
        <f>('BalanceStat Rate Projection'!$G$7*'Forecast Balance Sheet'!F7)+'Forecast Balance Sheet'!F7</f>
        <v>44830.161513313134</v>
      </c>
      <c r="H7" s="133">
        <f>('BalanceStat Rate Projection'!$G$7*'Forecast Balance Sheet'!G7)+'Forecast Balance Sheet'!G7</f>
        <v>88785.772955612774</v>
      </c>
      <c r="I7" s="133">
        <f>('BalanceStat Rate Projection'!$G$7*'Forecast Balance Sheet'!H7)+'Forecast Balance Sheet'!H7</f>
        <v>175839.50655597448</v>
      </c>
      <c r="J7" s="74"/>
      <c r="K7" s="74"/>
      <c r="L7" s="74"/>
      <c r="M7" s="18"/>
      <c r="W7" s="87"/>
      <c r="X7" s="87"/>
      <c r="Y7"/>
      <c r="Z7"/>
    </row>
    <row r="8" spans="2:26" ht="15" customHeight="1">
      <c r="B8" s="20" t="s">
        <v>236</v>
      </c>
      <c r="C8" s="55">
        <f>'Consolidated Balance Sheets'!C5</f>
        <v>6174</v>
      </c>
      <c r="D8" s="54">
        <f>'Consolidated Balance Sheets'!B5</f>
        <v>7786</v>
      </c>
      <c r="E8" s="133">
        <f>(D8*'BalanceStat Rate Projection'!$G$9)+D8</f>
        <v>9727.0847696050823</v>
      </c>
      <c r="F8" s="133">
        <f>(E8*'BalanceStat Rate Projection'!$G$9)+E8</f>
        <v>12152.090690352321</v>
      </c>
      <c r="G8" s="133">
        <f>(F8*'BalanceStat Rate Projection'!$G$9)+F8</f>
        <v>15181.661478677855</v>
      </c>
      <c r="H8" s="133">
        <f>(G8*'BalanceStat Rate Projection'!$G$9)+G8</f>
        <v>18966.5178713778</v>
      </c>
      <c r="I8" s="133">
        <f>(H8*'BalanceStat Rate Projection'!$G$9)+H8</f>
        <v>23694.955961870233</v>
      </c>
      <c r="J8" s="74"/>
      <c r="K8"/>
      <c r="L8"/>
      <c r="M8"/>
      <c r="N8"/>
      <c r="O8"/>
      <c r="W8" s="87"/>
      <c r="X8" s="87"/>
      <c r="Y8"/>
      <c r="Z8"/>
    </row>
    <row r="9" spans="2:26" ht="15" customHeight="1">
      <c r="B9" s="20" t="s">
        <v>73</v>
      </c>
      <c r="C9" s="55">
        <f>'Consolidated Balance Sheets'!C6</f>
        <v>926</v>
      </c>
      <c r="D9" s="54">
        <f>'Consolidated Balance Sheets'!B6</f>
        <v>1146</v>
      </c>
      <c r="E9" s="133">
        <f>(D9*'BalanceStat Rate Projection'!$G$11)+D9</f>
        <v>1645.8367196617967</v>
      </c>
      <c r="F9" s="133">
        <f>(E9*'BalanceStat Rate Projection'!$G$11)+E9</f>
        <v>2363.6810713674549</v>
      </c>
      <c r="G9" s="133">
        <f>(F9*'BalanceStat Rate Projection'!$G$11)+F9</f>
        <v>3394.6187616283532</v>
      </c>
      <c r="H9" s="133">
        <f>(G9*'BalanceStat Rate Projection'!$G$11)+G9</f>
        <v>4875.2078596342053</v>
      </c>
      <c r="I9" s="133">
        <f>(H9*'BalanceStat Rate Projection'!$G$11)+H9</f>
        <v>7001.5672874081756</v>
      </c>
      <c r="J9" s="74"/>
      <c r="K9"/>
      <c r="L9"/>
      <c r="M9"/>
      <c r="N9"/>
      <c r="O9"/>
      <c r="W9" s="87"/>
      <c r="X9" s="87"/>
      <c r="Y9"/>
      <c r="Z9"/>
    </row>
    <row r="10" spans="2:26" ht="15" customHeight="1" thickBot="1">
      <c r="B10" s="20" t="s">
        <v>274</v>
      </c>
      <c r="C10" s="55">
        <f>'Consolidated Balance Sheets'!C7</f>
        <v>916</v>
      </c>
      <c r="D10" s="54">
        <f>'Consolidated Balance Sheets'!B7</f>
        <v>991</v>
      </c>
      <c r="E10" s="134">
        <f>(D10*'BalanceStat Rate Projection'!$G$13)+D10</f>
        <v>1376.4387648411252</v>
      </c>
      <c r="F10" s="134">
        <f>(E10*'BalanceStat Rate Projection'!$G$13)+E10</f>
        <v>1911.7897813898712</v>
      </c>
      <c r="G10" s="134">
        <f>(F10*'BalanceStat Rate Projection'!$G$13)+F10</f>
        <v>2655.3598035642372</v>
      </c>
      <c r="H10" s="134">
        <f>(G10*'BalanceStat Rate Projection'!$G$13)+G10</f>
        <v>3688.1333685436239</v>
      </c>
      <c r="I10" s="134">
        <f>(H10*'BalanceStat Rate Projection'!$G$13)+H10</f>
        <v>5122.5930760519914</v>
      </c>
      <c r="J10" s="75"/>
      <c r="K10"/>
      <c r="L10"/>
      <c r="M10"/>
      <c r="N10"/>
      <c r="O10"/>
      <c r="W10" s="87"/>
      <c r="X10" s="87"/>
      <c r="Y10"/>
      <c r="Z10"/>
    </row>
    <row r="11" spans="2:26" ht="15" customHeight="1" thickBot="1">
      <c r="B11" s="21" t="s">
        <v>238</v>
      </c>
      <c r="C11" s="52">
        <f>SUM(C6:C10)</f>
        <v>15963</v>
      </c>
      <c r="D11" s="28">
        <f>SUM(D6:D10)</f>
        <v>21889</v>
      </c>
      <c r="E11" s="135">
        <f t="shared" ref="E11:H11" si="0">SUM(E6:E10)</f>
        <v>32975.040205086145</v>
      </c>
      <c r="F11" s="135">
        <f t="shared" si="0"/>
        <v>51553.216845232142</v>
      </c>
      <c r="G11" s="135">
        <f t="shared" si="0"/>
        <v>83796.005808596688</v>
      </c>
      <c r="H11" s="135">
        <f t="shared" si="0"/>
        <v>141496.37296785793</v>
      </c>
      <c r="I11" s="135">
        <f>SUM(I6:I10)</f>
        <v>247412.67780945153</v>
      </c>
      <c r="J11" s="76"/>
      <c r="K11"/>
      <c r="L11"/>
      <c r="M11"/>
      <c r="N11"/>
      <c r="O11"/>
      <c r="W11" s="87"/>
      <c r="X11" s="87"/>
      <c r="Y11"/>
      <c r="Z11"/>
    </row>
    <row r="12" spans="2:26" ht="15" customHeight="1">
      <c r="B12" s="20" t="s">
        <v>276</v>
      </c>
      <c r="C12" s="53">
        <f>'Consolidated Balance Sheets'!C9</f>
        <v>2375</v>
      </c>
      <c r="D12" s="53">
        <f>'Consolidated Balance Sheets'!B9</f>
        <v>2459</v>
      </c>
      <c r="E12" s="133">
        <f>(D12*'BalanceStat Rate Projection'!$G$17)+D12</f>
        <v>2679.1678791270288</v>
      </c>
      <c r="F12" s="133">
        <f>(E12*'BalanceStat Rate Projection'!$G$17)+E12</f>
        <v>2919.0486069727617</v>
      </c>
      <c r="G12" s="133">
        <f>(F12*'BalanceStat Rate Projection'!$G$17)+F12</f>
        <v>3180.4071839820745</v>
      </c>
      <c r="H12" s="133">
        <f>(G12*'BalanceStat Rate Projection'!$G$17)+G12</f>
        <v>3465.1666408579176</v>
      </c>
      <c r="I12" s="133">
        <f>(H12*'BalanceStat Rate Projection'!$G$17)+H12</f>
        <v>3775.4221878849276</v>
      </c>
      <c r="J12" s="77"/>
      <c r="K12"/>
      <c r="L12"/>
      <c r="M12"/>
      <c r="N12"/>
      <c r="O12"/>
      <c r="W12" s="87"/>
      <c r="X12" s="87"/>
      <c r="Y12"/>
      <c r="Z12"/>
    </row>
    <row r="13" spans="2:26" ht="15" customHeight="1">
      <c r="B13" s="16" t="s">
        <v>77</v>
      </c>
      <c r="C13" s="53">
        <f>'Consolidated Balance Sheets'!C10</f>
        <v>3040</v>
      </c>
      <c r="D13" s="53">
        <f>'Consolidated Balance Sheets'!B10</f>
        <v>3204</v>
      </c>
      <c r="E13" s="133">
        <f>(D13*'BalanceStat Rate Projection'!$G$21)+D13</f>
        <v>3376.8473684210526</v>
      </c>
      <c r="F13" s="133">
        <f>(E13*'BalanceStat Rate Projection'!$G$21)+E13</f>
        <v>3559.0193975069251</v>
      </c>
      <c r="G13" s="133">
        <f>(F13*'BalanceStat Rate Projection'!$G$21)+F13</f>
        <v>3751.0191281619041</v>
      </c>
      <c r="H13" s="133">
        <f>(G13*'BalanceStat Rate Projection'!$G$21)+G13</f>
        <v>3953.3767390232701</v>
      </c>
      <c r="I13" s="133">
        <f>(H13*'BalanceStat Rate Projection'!$G$21)+H13</f>
        <v>4166.6510104705785</v>
      </c>
      <c r="J13" s="74"/>
      <c r="K13"/>
      <c r="L13"/>
      <c r="M13"/>
      <c r="N13"/>
      <c r="O13"/>
      <c r="W13" s="87"/>
      <c r="X13" s="87"/>
      <c r="Y13"/>
      <c r="Z13"/>
    </row>
    <row r="14" spans="2:26" ht="15" customHeight="1">
      <c r="B14" s="58" t="s">
        <v>78</v>
      </c>
      <c r="C14" s="53">
        <f>'Consolidated Balance Sheets'!C11</f>
        <v>1348</v>
      </c>
      <c r="D14" s="53">
        <f>'Consolidated Balance Sheets'!B11</f>
        <v>1715</v>
      </c>
      <c r="E14" s="133">
        <f>(D14*'BalanceStat Rate Projection'!$G$23)+D14</f>
        <v>1990.1678419328969</v>
      </c>
      <c r="F14" s="133">
        <f>(E14*'BalanceStat Rate Projection'!$G$23)+E14</f>
        <v>2309.4857370634659</v>
      </c>
      <c r="G14" s="133">
        <f>(F14*'BalanceStat Rate Projection'!$G$23)+F14</f>
        <v>2680.0374608200605</v>
      </c>
      <c r="H14" s="133">
        <f>(G14*'BalanceStat Rate Projection'!$G$23)+G14</f>
        <v>3110.0433642563153</v>
      </c>
      <c r="I14" s="133">
        <f>(H14*'BalanceStat Rate Projection'!$G$23)+H14</f>
        <v>3609.0427350202435</v>
      </c>
      <c r="J14" s="74"/>
      <c r="K14"/>
      <c r="L14"/>
      <c r="M14"/>
      <c r="N14"/>
      <c r="O14"/>
      <c r="W14" s="88"/>
      <c r="X14" s="88"/>
      <c r="Y14"/>
      <c r="Z14"/>
    </row>
    <row r="15" spans="2:26" ht="15" customHeight="1">
      <c r="B15" s="20" t="s">
        <v>241</v>
      </c>
      <c r="C15" s="53">
        <f>'Consolidated Balance Sheets'!C14</f>
        <v>4724</v>
      </c>
      <c r="D15" s="51">
        <f>'Consolidated Balance Sheets'!B14</f>
        <v>4114</v>
      </c>
      <c r="E15" s="133">
        <f>(D15*'BalanceStat Rate Projection'!$G$31)+D15</f>
        <v>6578.0384508224524</v>
      </c>
      <c r="F15" s="133">
        <f>(E15*'BalanceStat Rate Projection'!$G$31)+E15</f>
        <v>10517.887666625826</v>
      </c>
      <c r="G15" s="133">
        <f>(F15*'BalanceStat Rate Projection'!$G$31)+F15</f>
        <v>16817.4694925853</v>
      </c>
      <c r="H15" s="133">
        <f>(G15*'BalanceStat Rate Projection'!$G$31)+G15</f>
        <v>26890.121771453494</v>
      </c>
      <c r="I15" s="133">
        <f>(H15*'BalanceStat Rate Projection'!$G$31)+H15</f>
        <v>42995.686669887953</v>
      </c>
      <c r="J15" s="138"/>
      <c r="K15"/>
      <c r="L15"/>
      <c r="M15"/>
      <c r="N15"/>
      <c r="O15"/>
      <c r="W15" s="87"/>
      <c r="X15" s="87"/>
      <c r="Y15"/>
      <c r="Z15"/>
    </row>
    <row r="16" spans="2:26" ht="15" customHeight="1">
      <c r="B16" s="20" t="s">
        <v>242</v>
      </c>
      <c r="C16" s="53">
        <f>'Consolidated Balance Sheets'!C13</f>
        <v>25134</v>
      </c>
      <c r="D16" s="51">
        <f>'Consolidated Balance Sheets'!B13</f>
        <v>26318</v>
      </c>
      <c r="E16" s="133">
        <f>(D16*'BalanceStat Rate Projection'!$G$29)+D16</f>
        <v>37942.878771873766</v>
      </c>
      <c r="F16" s="133">
        <f>(E16*'BalanceStat Rate Projection'!$G$29)+E16</f>
        <v>54702.56286560942</v>
      </c>
      <c r="G16" s="133">
        <f>(F16*'BalanceStat Rate Projection'!$G$29)+F16</f>
        <v>78865.138358561497</v>
      </c>
      <c r="H16" s="133">
        <f>(G16*'BalanceStat Rate Projection'!$G$29)+G16</f>
        <v>113700.52375051107</v>
      </c>
      <c r="I16" s="133">
        <f>(H16*'BalanceStat Rate Projection'!$G$29)+H16</f>
        <v>163922.98764967686</v>
      </c>
      <c r="J16" s="74"/>
      <c r="K16"/>
      <c r="L16"/>
      <c r="M16"/>
      <c r="N16"/>
      <c r="O16"/>
      <c r="W16" s="87"/>
      <c r="X16" s="87"/>
      <c r="Y16"/>
      <c r="Z16"/>
    </row>
    <row r="17" spans="2:29" ht="15" customHeight="1">
      <c r="B17" s="20" t="s">
        <v>243</v>
      </c>
      <c r="C17" s="53">
        <f>'Consolidated Balance Sheets'!C12</f>
        <v>1963</v>
      </c>
      <c r="D17" s="51">
        <f>'Consolidated Balance Sheets'!B12</f>
        <v>3909</v>
      </c>
      <c r="E17" s="133">
        <f>(D17*'BalanceStat Rate Projection'!$G$27)+D17</f>
        <v>6465.6954749632059</v>
      </c>
      <c r="F17" s="133">
        <f>(E17*'BalanceStat Rate Projection'!$G$27)+E17</f>
        <v>10694.606798403602</v>
      </c>
      <c r="G17" s="133">
        <f>(F17*'BalanceStat Rate Projection'!$G$27)+F17</f>
        <v>17689.452745701947</v>
      </c>
      <c r="H17" s="133">
        <f>(G17*'BalanceStat Rate Projection'!$G$27)+G17</f>
        <v>29259.302781391798</v>
      </c>
      <c r="I17" s="133">
        <f>(H17*'BalanceStat Rate Projection'!$G$27)+H17</f>
        <v>48396.454743981405</v>
      </c>
      <c r="J17" s="74"/>
      <c r="K17"/>
      <c r="L17"/>
      <c r="M17"/>
      <c r="N17"/>
      <c r="O17"/>
      <c r="W17" s="89"/>
      <c r="X17" s="89"/>
      <c r="Y17"/>
      <c r="Z17"/>
    </row>
    <row r="18" spans="2:29" ht="15" customHeight="1" thickBot="1">
      <c r="B18" s="50" t="s">
        <v>275</v>
      </c>
      <c r="C18" s="53">
        <f>'Consolidated Balance Sheets'!C15</f>
        <v>579</v>
      </c>
      <c r="D18" s="24">
        <f>'Consolidated Balance Sheets'!B15</f>
        <v>2693</v>
      </c>
      <c r="E18" s="133">
        <f>(D18*'BalanceStat Rate Projection'!$G$33)+D18</f>
        <v>5332.1295608893852</v>
      </c>
      <c r="F18" s="133">
        <f>(E18*'BalanceStat Rate Projection'!$G$33)+E18</f>
        <v>10557.595861162432</v>
      </c>
      <c r="G18" s="133">
        <f>(F18*'BalanceStat Rate Projection'!$G$33)+F18</f>
        <v>20903.998879772607</v>
      </c>
      <c r="H18" s="133">
        <f>(G18*'BalanceStat Rate Projection'!$G$33)+G18</f>
        <v>41389.836749956972</v>
      </c>
      <c r="I18" s="133">
        <f>(H18*'BalanceStat Rate Projection'!$G$33)+H18</f>
        <v>81951.716321883185</v>
      </c>
      <c r="J18" s="74"/>
      <c r="K18"/>
      <c r="L18"/>
      <c r="M18"/>
      <c r="N18"/>
      <c r="O18"/>
      <c r="W18" s="90"/>
      <c r="X18" s="90"/>
      <c r="Y18"/>
      <c r="Z18"/>
    </row>
    <row r="19" spans="2:29" ht="15" customHeight="1" thickBot="1">
      <c r="B19" s="21" t="s">
        <v>246</v>
      </c>
      <c r="C19" s="52">
        <f>C11+C12+C13+C14+C15+C16+C17+C18</f>
        <v>55126</v>
      </c>
      <c r="D19" s="52">
        <f>D11+D12+D13+D14+D15+D16+D17+D18</f>
        <v>66301</v>
      </c>
      <c r="E19" s="136">
        <f>SUM(E11:E18)</f>
        <v>97339.965553115937</v>
      </c>
      <c r="F19" s="136">
        <f t="shared" ref="F19:I19" si="1">SUM(F11:F18)</f>
        <v>146813.42377857657</v>
      </c>
      <c r="G19" s="136">
        <f t="shared" si="1"/>
        <v>227683.52905818209</v>
      </c>
      <c r="H19" s="136">
        <f t="shared" si="1"/>
        <v>363264.7447653088</v>
      </c>
      <c r="I19" s="136">
        <f t="shared" si="1"/>
        <v>596230.63912825671</v>
      </c>
      <c r="J19" s="76"/>
      <c r="K19" s="76"/>
      <c r="L19" s="76"/>
      <c r="M19" s="18"/>
      <c r="W19" s="89"/>
      <c r="X19" s="89"/>
      <c r="Y19"/>
      <c r="Z19"/>
    </row>
    <row r="20" spans="2:29" ht="15" customHeight="1">
      <c r="B20" s="21" t="s">
        <v>248</v>
      </c>
      <c r="C20" s="31"/>
      <c r="D20" s="31"/>
      <c r="E20" s="137"/>
      <c r="F20" s="137"/>
      <c r="G20" s="137"/>
      <c r="H20" s="137"/>
      <c r="I20" s="137"/>
      <c r="J20" s="78"/>
      <c r="K20" s="78"/>
      <c r="L20" s="78"/>
      <c r="M20" s="18"/>
      <c r="Y20"/>
      <c r="Z20"/>
    </row>
    <row r="21" spans="2:29" ht="15" customHeight="1">
      <c r="B21" s="20" t="s">
        <v>277</v>
      </c>
      <c r="C21" s="24">
        <f>'Consolidated Balance Sheets'!C18</f>
        <v>3433</v>
      </c>
      <c r="D21" s="24">
        <f>'Consolidated Balance Sheets'!B18</f>
        <v>4355</v>
      </c>
      <c r="E21" s="133">
        <f>(D21*'BalanceStat Rate Projection'!$G$37)+D21</f>
        <v>5631.7822091910539</v>
      </c>
      <c r="F21" s="133">
        <f>(E21*'BalanceStat Rate Projection'!$G$37)+E21</f>
        <v>7282.8865331253428</v>
      </c>
      <c r="G21" s="133">
        <f>(F21*'BalanceStat Rate Projection'!$G$37)+F21</f>
        <v>9418.0552947904525</v>
      </c>
      <c r="H21" s="133">
        <f>(G21*'BalanceStat Rate Projection'!$G$37)+G21</f>
        <v>12179.204650833175</v>
      </c>
      <c r="I21" s="133">
        <f>(H21*'BalanceStat Rate Projection'!$G$37)+H21</f>
        <v>15749.857192803494</v>
      </c>
      <c r="J21" s="74"/>
      <c r="K21" s="74"/>
      <c r="L21" s="74"/>
      <c r="M21" s="18"/>
      <c r="N21" s="11"/>
      <c r="O21" s="11"/>
      <c r="P21" s="11"/>
      <c r="Y21"/>
      <c r="Z21"/>
    </row>
    <row r="22" spans="2:29" ht="15" customHeight="1">
      <c r="B22" s="20" t="s">
        <v>86</v>
      </c>
      <c r="C22" s="24">
        <f>'Consolidated Balance Sheets'!C19</f>
        <v>750</v>
      </c>
      <c r="D22" s="24">
        <f>'Consolidated Balance Sheets'!B19</f>
        <v>766</v>
      </c>
      <c r="E22" s="133">
        <f>(D22*'BalanceStat Rate Projection'!$G$39)+D22</f>
        <v>782.3413333333333</v>
      </c>
      <c r="F22" s="133">
        <f>(E22*'BalanceStat Rate Projection'!$G$39)+E22</f>
        <v>799.03128177777774</v>
      </c>
      <c r="G22" s="133">
        <f>(F22*'BalanceStat Rate Projection'!$G$39)+F22</f>
        <v>816.07728245570365</v>
      </c>
      <c r="H22" s="133">
        <f>(G22*'BalanceStat Rate Projection'!$G$39)+G22</f>
        <v>833.48693114809203</v>
      </c>
      <c r="I22" s="133">
        <f>(H22*'BalanceStat Rate Projection'!$G$39)+H22</f>
        <v>851.2679856792513</v>
      </c>
      <c r="J22" s="74"/>
      <c r="K22" s="74"/>
      <c r="L22" s="74"/>
      <c r="M22" s="18"/>
      <c r="N22" s="11"/>
      <c r="O22" s="11"/>
      <c r="P22" s="11"/>
      <c r="Z22" s="67"/>
      <c r="AA22" s="67"/>
      <c r="AB22" s="67"/>
      <c r="AC22" s="67"/>
    </row>
    <row r="23" spans="2:29" ht="15" customHeight="1" thickBot="1">
      <c r="B23" s="20" t="s">
        <v>278</v>
      </c>
      <c r="C23" s="24">
        <f>'Consolidated Balance Sheets'!C20</f>
        <v>10662</v>
      </c>
      <c r="D23" s="24">
        <f>'Consolidated Balance Sheets'!B20</f>
        <v>12607</v>
      </c>
      <c r="E23" s="133">
        <f>(D23*'BalanceStat Rate Projection'!$G$41)+D23</f>
        <v>15513.348036301239</v>
      </c>
      <c r="F23" s="133">
        <f>(E23*'BalanceStat Rate Projection'!$G$41)+E23</f>
        <v>19089.709470564885</v>
      </c>
      <c r="G23" s="133">
        <f>(F23*'BalanceStat Rate Projection'!$G$41)+F23</f>
        <v>23490.545484948751</v>
      </c>
      <c r="H23" s="133">
        <f>(G23*'BalanceStat Rate Projection'!$G$41)+G23</f>
        <v>28905.925888044309</v>
      </c>
      <c r="I23" s="133">
        <f>(H23*'BalanceStat Rate Projection'!$G$41)+H23</f>
        <v>35569.738130622776</v>
      </c>
      <c r="J23" s="74"/>
      <c r="K23" s="74"/>
      <c r="L23" s="74"/>
      <c r="M23" s="18"/>
      <c r="N23" s="11"/>
      <c r="O23" s="11"/>
      <c r="P23" s="11"/>
    </row>
    <row r="24" spans="2:29" ht="15" customHeight="1" thickBot="1">
      <c r="B24" s="21" t="s">
        <v>256</v>
      </c>
      <c r="C24" s="56">
        <f>SUM(C21:C23)</f>
        <v>14845</v>
      </c>
      <c r="D24" s="56">
        <f>SUM(D21:D23)</f>
        <v>17728</v>
      </c>
      <c r="E24" s="135">
        <f t="shared" ref="E24:I24" si="2">SUM(E21:E23)</f>
        <v>21927.471578825625</v>
      </c>
      <c r="F24" s="135">
        <f t="shared" si="2"/>
        <v>27171.627285468006</v>
      </c>
      <c r="G24" s="135">
        <f t="shared" si="2"/>
        <v>33724.678062194907</v>
      </c>
      <c r="H24" s="135">
        <f t="shared" si="2"/>
        <v>41918.61747002558</v>
      </c>
      <c r="I24" s="135">
        <f t="shared" si="2"/>
        <v>52170.863309105524</v>
      </c>
      <c r="J24" s="79"/>
      <c r="K24" s="79"/>
      <c r="L24" s="79"/>
      <c r="M24" s="18"/>
      <c r="N24" s="11"/>
      <c r="O24" s="11"/>
      <c r="P24" s="11"/>
      <c r="Y24" s="11" t="s">
        <v>141</v>
      </c>
      <c r="Z24" s="11" t="s">
        <v>286</v>
      </c>
      <c r="AA24" s="69">
        <v>0.215</v>
      </c>
    </row>
    <row r="25" spans="2:29" ht="15" customHeight="1">
      <c r="B25" s="20" t="s">
        <v>281</v>
      </c>
      <c r="C25" s="24">
        <f>'Consolidated Balance Sheets'!C22</f>
        <v>2673</v>
      </c>
      <c r="D25" s="24">
        <f>'Consolidated Balance Sheets'!B22</f>
        <v>2673</v>
      </c>
      <c r="E25" s="133">
        <f>(D25*'BalanceStat Rate Projection'!$G$44)+D25</f>
        <v>3534.7614259893053</v>
      </c>
      <c r="F25" s="133">
        <f>(E25*'BalanceStat Rate Projection'!$G$44)+E25</f>
        <v>4674.3502950474922</v>
      </c>
      <c r="G25" s="133">
        <f>(F25*'BalanceStat Rate Projection'!$G$44)+F25</f>
        <v>6181.3367431708202</v>
      </c>
      <c r="H25" s="133">
        <f>(G25*'BalanceStat Rate Projection'!$G$44)+G25</f>
        <v>8174.1678566444352</v>
      </c>
      <c r="I25" s="133">
        <f>(H25*'BalanceStat Rate Projection'!$G$44)+H25</f>
        <v>10809.477452012132</v>
      </c>
      <c r="J25" s="80"/>
      <c r="K25" s="80"/>
      <c r="L25" s="80"/>
      <c r="M25" s="18"/>
      <c r="N25" s="11"/>
      <c r="O25" s="11"/>
      <c r="P25" s="11"/>
    </row>
    <row r="26" spans="2:29" ht="15" customHeight="1">
      <c r="B26" s="20" t="s">
        <v>279</v>
      </c>
      <c r="C26" s="24">
        <f>'Consolidated Balance Sheets'!C23</f>
        <v>2445</v>
      </c>
      <c r="D26" s="24">
        <f>'Consolidated Balance Sheets'!B23</f>
        <v>2842</v>
      </c>
      <c r="E26" s="133">
        <f>(D26*'BalanceStat Rate Projection'!$G$46)+D26</f>
        <v>3303.4617586912063</v>
      </c>
      <c r="F26" s="133">
        <f>(E26*'BalanceStat Rate Projection'!$G$46)+E26</f>
        <v>3839.8520728836024</v>
      </c>
      <c r="G26" s="133">
        <f>(F26*'BalanceStat Rate Projection'!$G$46)+F26</f>
        <v>4463.3372560880152</v>
      </c>
      <c r="H26" s="133">
        <f>(G26*'BalanceStat Rate Projection'!$G$46)+G26</f>
        <v>5188.0590927616113</v>
      </c>
      <c r="I26" s="133">
        <f>(H26*'BalanceStat Rate Projection'!$G$46)+H26</f>
        <v>6030.4555998480573</v>
      </c>
      <c r="J26" s="80"/>
      <c r="K26" s="80"/>
      <c r="L26" s="80"/>
      <c r="M26" s="18"/>
      <c r="N26" s="11"/>
      <c r="O26" s="11"/>
      <c r="P26" s="11"/>
      <c r="Y26" s="11" t="s">
        <v>141</v>
      </c>
      <c r="Z26" s="68" t="s">
        <v>287</v>
      </c>
    </row>
    <row r="27" spans="2:29" ht="15" customHeight="1" thickBot="1">
      <c r="B27" s="20" t="s">
        <v>280</v>
      </c>
      <c r="C27" s="24">
        <f>'Consolidated Balance Sheets'!C24</f>
        <v>1278</v>
      </c>
      <c r="D27" s="24">
        <f>'Consolidated Balance Sheets'!B24</f>
        <v>1565</v>
      </c>
      <c r="E27" s="133">
        <f>(D27*'BalanceStat Rate Projection'!$G$48)+D27</f>
        <v>1938.7566185481955</v>
      </c>
      <c r="F27" s="133">
        <f>(E27*'BalanceStat Rate Projection'!$G$48)+E27</f>
        <v>2401.774585280788</v>
      </c>
      <c r="G27" s="133">
        <f>(F27*'BalanceStat Rate Projection'!$G$48)+F27</f>
        <v>2975.3714846479074</v>
      </c>
      <c r="H27" s="133">
        <f>(G27*'BalanceStat Rate Projection'!$G$48)+G27</f>
        <v>3685.956011821534</v>
      </c>
      <c r="I27" s="133">
        <f>(H27*'BalanceStat Rate Projection'!$G$48)+H27</f>
        <v>4566.2438425536802</v>
      </c>
      <c r="J27" s="80"/>
      <c r="K27" s="80"/>
      <c r="L27" s="80"/>
      <c r="M27" s="18"/>
      <c r="N27" s="11"/>
      <c r="O27" s="11"/>
      <c r="P27" s="11"/>
    </row>
    <row r="28" spans="2:29" ht="15" customHeight="1" thickBot="1">
      <c r="B28" s="21" t="s">
        <v>260</v>
      </c>
      <c r="C28" s="28">
        <f>C24+C25+C26+C27</f>
        <v>21241</v>
      </c>
      <c r="D28" s="28">
        <f>D24+D25+D26+D27</f>
        <v>24808</v>
      </c>
      <c r="E28" s="135">
        <f>SUM(E24:E27)</f>
        <v>30704.451382054332</v>
      </c>
      <c r="F28" s="135">
        <f t="shared" ref="F28:I28" si="3">SUM(F24:F27)</f>
        <v>38087.604238679887</v>
      </c>
      <c r="G28" s="135">
        <f t="shared" si="3"/>
        <v>47344.723546101646</v>
      </c>
      <c r="H28" s="135">
        <f t="shared" si="3"/>
        <v>58966.800431253156</v>
      </c>
      <c r="I28" s="135">
        <f t="shared" si="3"/>
        <v>73577.040203519384</v>
      </c>
      <c r="J28" s="79"/>
      <c r="K28" s="79"/>
      <c r="L28" s="79"/>
      <c r="M28" s="18"/>
      <c r="N28" s="11"/>
      <c r="O28" s="11"/>
      <c r="P28" s="11"/>
    </row>
    <row r="29" spans="2:29" ht="15" customHeight="1">
      <c r="B29" s="49" t="s">
        <v>263</v>
      </c>
      <c r="C29" s="31"/>
      <c r="D29" s="31"/>
      <c r="E29" s="137"/>
      <c r="F29" s="137"/>
      <c r="G29" s="137"/>
      <c r="H29" s="137"/>
      <c r="I29" s="137"/>
      <c r="J29" s="78"/>
      <c r="K29" s="78"/>
      <c r="L29" s="78"/>
      <c r="M29" s="60"/>
      <c r="N29" s="11"/>
      <c r="O29" s="11"/>
      <c r="P29" s="11"/>
    </row>
    <row r="30" spans="2:29" ht="15" customHeight="1">
      <c r="B30" s="20" t="s">
        <v>265</v>
      </c>
      <c r="C30" s="54">
        <f>'Consolidated Balance Sheets'!C29+'Consolidated Balance Sheets'!C30</f>
        <v>32117</v>
      </c>
      <c r="D30" s="54">
        <f>'Consolidated Balance Sheets'!B29+'Consolidated Balance Sheets'!B30</f>
        <v>35602</v>
      </c>
      <c r="E30" s="133">
        <f>(D30*'BalanceStat Rate Projection'!$G$55)+D30</f>
        <v>53897.776951071726</v>
      </c>
      <c r="F30" s="133">
        <f>(E30*'BalanceStat Rate Projection'!$G$55)+E30</f>
        <v>81595.706990266801</v>
      </c>
      <c r="G30" s="133">
        <f>(F30*'BalanceStat Rate Projection'!$G$55)+F30</f>
        <v>123527.53259722498</v>
      </c>
      <c r="H30" s="133">
        <f>(G30*'BalanceStat Rate Projection'!$G$55)+G30</f>
        <v>187008.01638226712</v>
      </c>
      <c r="I30" s="133">
        <f>(H30*'BalanceStat Rate Projection'!$G$55)+H30</f>
        <v>283110.95879539917</v>
      </c>
      <c r="J30" s="80"/>
      <c r="K30" s="80"/>
      <c r="L30" s="80"/>
      <c r="M30" s="18"/>
      <c r="N30" s="11"/>
      <c r="O30" s="11"/>
      <c r="P30" s="11"/>
    </row>
    <row r="31" spans="2:29" ht="15" customHeight="1">
      <c r="B31" s="20" t="s">
        <v>298</v>
      </c>
      <c r="C31" s="54">
        <f>'Consolidated Balance Sheets'!C32</f>
        <v>1861</v>
      </c>
      <c r="D31" s="54">
        <f>'Consolidated Balance Sheets'!B32</f>
        <v>5933</v>
      </c>
      <c r="E31" s="133">
        <f>E37:I37</f>
        <v>12796.824767474347</v>
      </c>
      <c r="F31" s="133">
        <f t="shared" ref="F31:I31" si="4">F37:J37</f>
        <v>27213.239651242504</v>
      </c>
      <c r="G31" s="133">
        <f t="shared" si="4"/>
        <v>56928.219975897868</v>
      </c>
      <c r="H31" s="133">
        <f t="shared" si="4"/>
        <v>117454.45449994359</v>
      </c>
      <c r="I31" s="133">
        <f t="shared" si="4"/>
        <v>239774.1037061612</v>
      </c>
      <c r="J31" s="81"/>
      <c r="K31" s="81"/>
      <c r="L31" s="81"/>
      <c r="M31" s="39"/>
      <c r="N31" s="11"/>
      <c r="O31" s="11"/>
      <c r="P31" s="11"/>
    </row>
    <row r="32" spans="2:29" ht="15" customHeight="1" thickBot="1">
      <c r="B32" s="20" t="s">
        <v>268</v>
      </c>
      <c r="C32" s="54">
        <f>'Consolidated Balance Sheets'!C31</f>
        <v>-93</v>
      </c>
      <c r="D32" s="54">
        <f>'Consolidated Balance Sheets'!B31</f>
        <v>-42</v>
      </c>
      <c r="E32" s="133">
        <f>(D32*'BalanceStat Rate Projection'!$G$59)+D32</f>
        <v>-59.087547484469397</v>
      </c>
      <c r="F32" s="133">
        <f>(E32*'BalanceStat Rate Projection'!$G$59)+E32</f>
        <v>-83.127101612605372</v>
      </c>
      <c r="G32" s="133">
        <f>(F32*'BalanceStat Rate Projection'!$G$59)+F32</f>
        <v>-116.94706104240792</v>
      </c>
      <c r="H32" s="133">
        <f>(G32*'BalanceStat Rate Projection'!$G$59)+G32</f>
        <v>-164.52654815505761</v>
      </c>
      <c r="I32" s="133">
        <f>(H32*'BalanceStat Rate Projection'!$G$59)+H32</f>
        <v>-231.46357682304304</v>
      </c>
      <c r="J32" s="74"/>
      <c r="K32" s="74"/>
      <c r="L32" s="74"/>
      <c r="M32" s="18"/>
      <c r="N32" s="11"/>
      <c r="O32" s="11"/>
      <c r="P32" s="11"/>
    </row>
    <row r="33" spans="1:17" ht="15" customHeight="1" thickBot="1">
      <c r="B33" s="21" t="s">
        <v>270</v>
      </c>
      <c r="C33" s="28">
        <f>C30+C31+C32</f>
        <v>33885</v>
      </c>
      <c r="D33" s="28">
        <f>D30+D31+D32</f>
        <v>41493</v>
      </c>
      <c r="E33" s="135">
        <f>SUM(E30:E32)</f>
        <v>66635.514171061601</v>
      </c>
      <c r="F33" s="135">
        <f>SUM(F30:F32)</f>
        <v>108725.81953989669</v>
      </c>
      <c r="G33" s="135">
        <f t="shared" ref="G33:I33" si="5">SUM(G30:G32)</f>
        <v>180338.80551208043</v>
      </c>
      <c r="H33" s="135">
        <f t="shared" si="5"/>
        <v>304297.94433405565</v>
      </c>
      <c r="I33" s="135">
        <f t="shared" si="5"/>
        <v>522653.59892473731</v>
      </c>
      <c r="J33" s="76"/>
      <c r="K33" s="76"/>
      <c r="L33" s="76"/>
      <c r="M33" s="40"/>
      <c r="N33" s="11"/>
      <c r="O33" s="11"/>
      <c r="P33" s="11"/>
    </row>
    <row r="34" spans="1:17" ht="15" customHeight="1" thickBot="1">
      <c r="B34" s="21" t="s">
        <v>271</v>
      </c>
      <c r="C34" s="30">
        <f>C28+C33</f>
        <v>55126</v>
      </c>
      <c r="D34" s="30">
        <f>D28+D33</f>
        <v>66301</v>
      </c>
      <c r="E34" s="136">
        <f>E33+E28</f>
        <v>97339.965553115937</v>
      </c>
      <c r="F34" s="136">
        <f t="shared" ref="F34:I34" si="6">F33+F28</f>
        <v>146813.42377857657</v>
      </c>
      <c r="G34" s="136">
        <f t="shared" si="6"/>
        <v>227683.52905818209</v>
      </c>
      <c r="H34" s="136">
        <f t="shared" si="6"/>
        <v>363264.7447653088</v>
      </c>
      <c r="I34" s="136">
        <f t="shared" si="6"/>
        <v>596230.63912825671</v>
      </c>
      <c r="J34" s="76"/>
      <c r="K34" s="76"/>
      <c r="L34" s="76"/>
      <c r="M34" s="18"/>
      <c r="N34" s="11"/>
      <c r="O34" s="11"/>
      <c r="P34" s="11"/>
    </row>
    <row r="35" spans="1:17" s="67" customFormat="1" ht="15" customHeight="1" thickTop="1" thickBot="1">
      <c r="B35" s="82"/>
      <c r="C35" s="76"/>
      <c r="D35" s="76"/>
      <c r="E35" s="144"/>
      <c r="F35" s="144"/>
      <c r="G35" s="144"/>
      <c r="H35" s="144"/>
      <c r="I35" s="144"/>
      <c r="J35" s="76"/>
      <c r="K35" s="76"/>
      <c r="L35" s="76"/>
      <c r="M35" s="145"/>
    </row>
    <row r="36" spans="1:17" ht="15" customHeight="1" thickTop="1" thickBot="1">
      <c r="A36"/>
      <c r="B36" s="16" t="s">
        <v>342</v>
      </c>
      <c r="E36" s="136">
        <v>84543.14078564159</v>
      </c>
      <c r="F36" s="136">
        <v>119600.18412733407</v>
      </c>
      <c r="G36" s="136">
        <v>170755.30908228422</v>
      </c>
      <c r="H36" s="136">
        <v>245810.29026536521</v>
      </c>
      <c r="I36" s="136">
        <v>356456.53542209551</v>
      </c>
      <c r="L36" s="67"/>
      <c r="M36"/>
      <c r="N36"/>
      <c r="O36"/>
      <c r="P36" s="11"/>
    </row>
    <row r="37" spans="1:17" ht="15" customHeight="1" thickTop="1">
      <c r="A37"/>
      <c r="B37" s="212" t="s">
        <v>343</v>
      </c>
      <c r="E37" s="213">
        <f>E19-E36</f>
        <v>12796.824767474347</v>
      </c>
      <c r="F37" s="213">
        <f t="shared" ref="F37:I37" si="7">F19-F36</f>
        <v>27213.239651242504</v>
      </c>
      <c r="G37" s="213">
        <f t="shared" si="7"/>
        <v>56928.219975897868</v>
      </c>
      <c r="H37" s="213">
        <f t="shared" si="7"/>
        <v>117454.45449994359</v>
      </c>
      <c r="I37" s="213">
        <f t="shared" si="7"/>
        <v>239774.1037061612</v>
      </c>
      <c r="L37" s="12"/>
      <c r="M37"/>
      <c r="N37"/>
      <c r="O37"/>
      <c r="P37" s="11"/>
    </row>
    <row r="38" spans="1:17" ht="15" customHeight="1">
      <c r="A38"/>
      <c r="L38" s="12"/>
      <c r="M38" s="11"/>
      <c r="N38" s="11"/>
      <c r="O38" s="11"/>
      <c r="P38" s="11"/>
    </row>
    <row r="39" spans="1:17" ht="15" customHeight="1">
      <c r="A39"/>
      <c r="L39" s="12"/>
      <c r="M39" s="11"/>
      <c r="N39" s="11"/>
      <c r="O39" s="11"/>
      <c r="P39" s="11"/>
    </row>
    <row r="40" spans="1:17" ht="15" customHeight="1">
      <c r="A40"/>
      <c r="L40" s="12"/>
      <c r="M40" s="11"/>
      <c r="N40" s="11"/>
      <c r="O40" s="11"/>
      <c r="P40" s="11"/>
    </row>
    <row r="41" spans="1:17" ht="15" customHeight="1">
      <c r="A41"/>
      <c r="L41" s="12"/>
      <c r="M41" s="11"/>
      <c r="N41" s="11"/>
      <c r="O41" s="11"/>
      <c r="P41" s="11"/>
    </row>
    <row r="42" spans="1:17" ht="15" customHeight="1">
      <c r="A42"/>
      <c r="L42" s="12"/>
      <c r="M42" s="83"/>
      <c r="N42" s="83"/>
      <c r="O42" s="83"/>
      <c r="P42"/>
      <c r="Q42"/>
    </row>
    <row r="43" spans="1:17" ht="15" customHeight="1">
      <c r="A43"/>
      <c r="L43" s="85"/>
      <c r="M43" s="85"/>
      <c r="N43" s="85"/>
      <c r="O43" s="85"/>
      <c r="P43"/>
      <c r="Q43"/>
    </row>
    <row r="44" spans="1:17" ht="15" customHeight="1">
      <c r="A44"/>
      <c r="L44" s="12"/>
      <c r="M44"/>
      <c r="N44" s="11"/>
      <c r="O44" s="11"/>
      <c r="P44" s="11"/>
    </row>
    <row r="45" spans="1:17" ht="15" customHeight="1">
      <c r="A45"/>
      <c r="L45" s="12"/>
      <c r="M45" s="11"/>
      <c r="N45" s="11"/>
      <c r="O45" s="11"/>
      <c r="P45" s="11"/>
    </row>
    <row r="46" spans="1:17" ht="15" customHeight="1">
      <c r="A46"/>
      <c r="L46" s="12"/>
      <c r="M46" s="11"/>
      <c r="N46" s="11"/>
      <c r="O46" s="11"/>
      <c r="P46" s="11"/>
    </row>
    <row r="47" spans="1:17" ht="15" customHeight="1">
      <c r="L47" s="12"/>
      <c r="M47" s="11"/>
      <c r="N47" s="11"/>
      <c r="O47" s="11"/>
      <c r="P47" s="11"/>
    </row>
    <row r="48" spans="1:17" ht="15" customHeight="1">
      <c r="L48" s="18"/>
      <c r="M48" s="11"/>
      <c r="N48" s="11"/>
      <c r="O48" s="11"/>
      <c r="P48" s="11"/>
    </row>
    <row r="49" spans="12:22" ht="15" customHeight="1">
      <c r="L49" s="18"/>
      <c r="M49" s="11"/>
      <c r="N49" s="11"/>
      <c r="O49" s="11"/>
      <c r="P49" s="11"/>
    </row>
    <row r="50" spans="12:22" ht="15" customHeight="1">
      <c r="L50" s="18"/>
      <c r="M50" s="11"/>
      <c r="N50" s="11"/>
      <c r="O50" s="11"/>
      <c r="P50" s="11"/>
    </row>
    <row r="51" spans="12:22" ht="15" customHeight="1">
      <c r="L51" s="18"/>
      <c r="M51" s="11"/>
      <c r="N51" s="11"/>
      <c r="O51" s="11"/>
      <c r="P51" s="11"/>
    </row>
    <row r="52" spans="12:22" ht="15" customHeight="1">
      <c r="L52" s="18"/>
      <c r="M52" s="11"/>
      <c r="N52" s="11"/>
      <c r="O52" s="11"/>
      <c r="P52" s="11"/>
    </row>
    <row r="53" spans="12:22" ht="15" customHeight="1">
      <c r="L53" s="84"/>
      <c r="M53" s="18"/>
      <c r="N53" s="11" t="s">
        <v>249</v>
      </c>
      <c r="O53" s="11"/>
      <c r="P53" s="32"/>
      <c r="Q53" s="11" t="s">
        <v>250</v>
      </c>
    </row>
    <row r="54" spans="12:22" ht="15" customHeight="1">
      <c r="L54" s="17"/>
      <c r="N54" s="18"/>
      <c r="O54" s="11" t="s">
        <v>251</v>
      </c>
      <c r="P54" s="11"/>
      <c r="R54" s="32"/>
      <c r="S54" s="11" t="s">
        <v>250</v>
      </c>
    </row>
    <row r="55" spans="12:22" ht="15" customHeight="1">
      <c r="Q55" s="11" t="s">
        <v>252</v>
      </c>
      <c r="T55" s="33"/>
      <c r="U55" s="11" t="s">
        <v>253</v>
      </c>
      <c r="V55" s="11" t="s">
        <v>250</v>
      </c>
    </row>
    <row r="56" spans="12:22" ht="15" customHeight="1">
      <c r="Q56" s="11" t="s">
        <v>254</v>
      </c>
      <c r="T56" s="33"/>
      <c r="U56" s="11" t="s">
        <v>250</v>
      </c>
    </row>
    <row r="57" spans="12:22" ht="15" customHeight="1">
      <c r="T57" s="33"/>
    </row>
    <row r="58" spans="12:22" ht="15" customHeight="1">
      <c r="Q58" s="11" t="s">
        <v>255</v>
      </c>
      <c r="T58" s="32"/>
      <c r="U58" s="11" t="s">
        <v>250</v>
      </c>
    </row>
    <row r="59" spans="12:22" ht="15" customHeight="1">
      <c r="Q59" s="11" t="s">
        <v>257</v>
      </c>
      <c r="T59" s="32"/>
      <c r="U59" s="11" t="s">
        <v>250</v>
      </c>
    </row>
    <row r="60" spans="12:22" ht="15" customHeight="1">
      <c r="Q60" s="11" t="s">
        <v>258</v>
      </c>
      <c r="T60" s="34"/>
      <c r="U60" s="11" t="s">
        <v>250</v>
      </c>
    </row>
    <row r="61" spans="12:22" ht="15" customHeight="1">
      <c r="Q61" s="35" t="s">
        <v>259</v>
      </c>
      <c r="R61" s="35"/>
      <c r="S61" s="36"/>
      <c r="T61" s="37"/>
      <c r="U61" s="38">
        <f>T61/2</f>
        <v>0</v>
      </c>
    </row>
    <row r="62" spans="12:22" ht="15" customHeight="1">
      <c r="T62" s="11" t="s">
        <v>261</v>
      </c>
      <c r="U62" s="11" t="s">
        <v>262</v>
      </c>
    </row>
    <row r="63" spans="12:22" ht="15" customHeight="1">
      <c r="S63" s="11" t="s">
        <v>264</v>
      </c>
    </row>
    <row r="64" spans="12:22" ht="15" customHeight="1">
      <c r="Q64" s="11" t="s">
        <v>266</v>
      </c>
      <c r="R64" s="34">
        <f>T60*T55</f>
        <v>0</v>
      </c>
      <c r="S64" s="32">
        <f>R64/R66*S66</f>
        <v>0</v>
      </c>
    </row>
    <row r="65" spans="17:20" ht="15" customHeight="1" thickBot="1">
      <c r="Q65" s="11" t="s">
        <v>267</v>
      </c>
      <c r="R65" s="41">
        <v>1263</v>
      </c>
      <c r="S65" s="32">
        <f>R65/R66*S66</f>
        <v>1</v>
      </c>
    </row>
    <row r="66" spans="17:20" ht="15" customHeight="1">
      <c r="Q66" s="11" t="s">
        <v>269</v>
      </c>
      <c r="R66" s="42">
        <f>R64+R65</f>
        <v>1263</v>
      </c>
      <c r="S66" s="32">
        <v>1</v>
      </c>
    </row>
    <row r="68" spans="17:20" ht="15" customHeight="1">
      <c r="Q68" s="43" t="s">
        <v>272</v>
      </c>
      <c r="R68" s="36"/>
      <c r="S68" s="36"/>
      <c r="T68" s="37">
        <f>(S65*P53*(1-R54))+(S64*T61)</f>
        <v>0</v>
      </c>
    </row>
  </sheetData>
  <mergeCells count="2">
    <mergeCell ref="C3:D3"/>
    <mergeCell ref="E3:I3"/>
  </mergeCells>
  <phoneticPr fontId="23" type="noConversion"/>
  <hyperlinks>
    <hyperlink ref="Z26" r:id="rId1" display="https://investor.salesforce.com/press-releases/press-release-details/2021/Salesforce-Announces-Strong-Third-Quarter-Fiscal-2022-Results/default.aspx" xr:uid="{6C3E7393-EA94-4EDB-B0DB-2BED48374F22}"/>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388B-904C-4F9B-AC67-A074C3C21530}">
  <dimension ref="B2:L31"/>
  <sheetViews>
    <sheetView workbookViewId="0">
      <selection activeCell="B7" sqref="B7"/>
    </sheetView>
  </sheetViews>
  <sheetFormatPr defaultRowHeight="14.4"/>
  <cols>
    <col min="2" max="2" width="62.88671875" customWidth="1"/>
    <col min="3" max="3" width="18" customWidth="1"/>
    <col min="4" max="4" width="12.44140625" customWidth="1"/>
    <col min="5" max="5" width="14.5546875" customWidth="1"/>
    <col min="6" max="6" width="12.33203125" bestFit="1" customWidth="1"/>
    <col min="7" max="7" width="13.109375" customWidth="1"/>
    <col min="8" max="8" width="17.77734375" customWidth="1"/>
    <col min="9" max="9" width="16.21875" customWidth="1"/>
    <col min="10" max="10" width="12.44140625" customWidth="1"/>
    <col min="11" max="11" width="17.21875" customWidth="1"/>
    <col min="12" max="12" width="17.21875" style="97" customWidth="1"/>
    <col min="13" max="13" width="15.88671875" customWidth="1"/>
    <col min="14" max="14" width="19.44140625" customWidth="1"/>
    <col min="15" max="15" width="14.5546875" customWidth="1"/>
    <col min="16" max="16" width="13.109375" customWidth="1"/>
  </cols>
  <sheetData>
    <row r="2" spans="2:12">
      <c r="B2" s="17"/>
      <c r="C2" s="17"/>
      <c r="D2" s="18"/>
      <c r="E2" s="11"/>
      <c r="F2" s="11"/>
      <c r="G2" s="11"/>
      <c r="H2" s="11"/>
      <c r="I2" s="11"/>
      <c r="J2" s="11"/>
    </row>
    <row r="3" spans="2:12" ht="15.6">
      <c r="B3" s="220" t="s">
        <v>273</v>
      </c>
      <c r="C3" s="220"/>
      <c r="D3" s="220"/>
      <c r="E3" s="220"/>
      <c r="F3" s="220"/>
      <c r="G3" s="220"/>
      <c r="H3" s="220"/>
      <c r="I3" s="220"/>
      <c r="J3" s="220"/>
    </row>
    <row r="4" spans="2:12" ht="15">
      <c r="B4" s="20"/>
      <c r="C4" s="218" t="s">
        <v>227</v>
      </c>
      <c r="D4" s="218"/>
      <c r="E4" s="218"/>
      <c r="F4" s="219" t="s">
        <v>228</v>
      </c>
      <c r="G4" s="219"/>
      <c r="H4" s="219"/>
      <c r="I4" s="219"/>
      <c r="J4" s="219"/>
    </row>
    <row r="5" spans="2:12" ht="15">
      <c r="B5" s="20" t="s">
        <v>229</v>
      </c>
      <c r="C5" s="44">
        <v>2019</v>
      </c>
      <c r="D5" s="44">
        <v>2020</v>
      </c>
      <c r="E5" s="44">
        <v>2021</v>
      </c>
      <c r="F5" s="146">
        <v>2022</v>
      </c>
      <c r="G5" s="146">
        <v>2023</v>
      </c>
      <c r="H5" s="146">
        <v>2024</v>
      </c>
      <c r="I5" s="146">
        <v>2025</v>
      </c>
      <c r="J5" s="146">
        <v>2026</v>
      </c>
    </row>
    <row r="6" spans="2:12" ht="15">
      <c r="B6" s="20" t="s">
        <v>231</v>
      </c>
      <c r="C6" s="147">
        <f>'Consolidated Statements of Oper'!E4</f>
        <v>13282</v>
      </c>
      <c r="D6" s="22">
        <f>'Consolidated Statements of Oper'!D4</f>
        <v>17098</v>
      </c>
      <c r="E6" s="22">
        <f>'Consolidated Statements of Oper'!C4</f>
        <v>21252</v>
      </c>
      <c r="F6" s="25">
        <f>(E6*'OperationStat Rate Projection'!$G$6)+E6</f>
        <v>26811.700238953577</v>
      </c>
      <c r="G6" s="25">
        <f>(F6*'OperationStat Rate Projection'!$G$6)+F6</f>
        <v>33825.864375282479</v>
      </c>
      <c r="H6" s="25">
        <f>(G6*'OperationStat Rate Projection'!$G$6)+G6</f>
        <v>42674.992280894621</v>
      </c>
      <c r="I6" s="25">
        <f>(H6*'OperationStat Rate Projection'!$G$6)+H6</f>
        <v>53839.125763928307</v>
      </c>
      <c r="J6" s="25">
        <f>(I6*'OperationStat Rate Projection'!$G$6)+I6</f>
        <v>67923.889568500294</v>
      </c>
    </row>
    <row r="7" spans="2:12" ht="15">
      <c r="B7" s="20" t="s">
        <v>233</v>
      </c>
      <c r="C7" s="22">
        <f>-'Consolidated Statements of Oper'!E6</f>
        <v>-3451</v>
      </c>
      <c r="D7" s="22">
        <f>-'Consolidated Statements of Oper'!D6</f>
        <v>-4235</v>
      </c>
      <c r="E7" s="22">
        <f>-'Consolidated Statements of Oper'!C6</f>
        <v>-5438</v>
      </c>
      <c r="F7" s="25">
        <f>(E7*'OperationStat Rate Projection'!$G$9)+E7</f>
        <v>-6793.4387942235626</v>
      </c>
      <c r="G7" s="25">
        <f>(F7*'OperationStat Rate Projection'!$G$9)+F7</f>
        <v>-8486.7250185475714</v>
      </c>
      <c r="H7" s="25">
        <f>(G7*'OperationStat Rate Projection'!$G$9)+G7</f>
        <v>-10602.068219365348</v>
      </c>
      <c r="I7" s="25">
        <f>(H7*'OperationStat Rate Projection'!$G$9)+H7</f>
        <v>-13244.667440316531</v>
      </c>
      <c r="J7" s="25">
        <f>(I7*'OperationStat Rate Projection'!$G$9)+I7</f>
        <v>-16545.942921227659</v>
      </c>
    </row>
    <row r="8" spans="2:12" ht="15">
      <c r="B8" s="26" t="s">
        <v>235</v>
      </c>
      <c r="C8" s="148">
        <f>C6+C7</f>
        <v>9831</v>
      </c>
      <c r="D8" s="148">
        <f>D6+D7</f>
        <v>12863</v>
      </c>
      <c r="E8" s="148">
        <f>E6+E7</f>
        <v>15814</v>
      </c>
      <c r="F8" s="27">
        <f>F6+F7</f>
        <v>20018.261444730015</v>
      </c>
      <c r="G8" s="27">
        <f t="shared" ref="G8:J8" si="0">G6+G7</f>
        <v>25339.139356734908</v>
      </c>
      <c r="H8" s="27">
        <f t="shared" si="0"/>
        <v>32072.924061529273</v>
      </c>
      <c r="I8" s="27">
        <f t="shared" si="0"/>
        <v>40594.458323611776</v>
      </c>
      <c r="J8" s="27">
        <f t="shared" si="0"/>
        <v>51377.946647272634</v>
      </c>
    </row>
    <row r="9" spans="2:12" ht="15">
      <c r="B9" s="20" t="s">
        <v>282</v>
      </c>
      <c r="C9" s="22">
        <f>-'Consolidated Statements of Oper'!E9</f>
        <v>-1886</v>
      </c>
      <c r="D9" s="22">
        <f>-'Consolidated Statements of Oper'!D9</f>
        <v>-2766</v>
      </c>
      <c r="E9" s="22">
        <f>-'Consolidated Statements of Oper'!C9</f>
        <v>-3598</v>
      </c>
      <c r="F9" s="25">
        <f>('OperationStat Rate Projection'!$G$13*E9)+E9</f>
        <v>-4738.036253191116</v>
      </c>
      <c r="G9" s="25">
        <f>('OperationStat Rate Projection'!$G$13*F9)+F9</f>
        <v>-6239.2961469019756</v>
      </c>
      <c r="H9" s="25">
        <f>('OperationStat Rate Projection'!$G$13*G9)+G9</f>
        <v>-8216.234390888605</v>
      </c>
      <c r="I9" s="25">
        <f>('OperationStat Rate Projection'!$G$13*H9)+H9</f>
        <v>-10819.570986310682</v>
      </c>
      <c r="J9" s="25">
        <f>('OperationStat Rate Projection'!$G$13*I9)+I9</f>
        <v>-14247.7819836339</v>
      </c>
    </row>
    <row r="10" spans="2:12" ht="15">
      <c r="B10" s="20" t="s">
        <v>283</v>
      </c>
      <c r="C10" s="22">
        <f>-'Consolidated Statements of Oper'!E10</f>
        <v>-6064</v>
      </c>
      <c r="D10" s="22">
        <f>-'Consolidated Statements of Oper'!D10</f>
        <v>-7930</v>
      </c>
      <c r="E10" s="22">
        <f>-'Consolidated Statements of Oper'!C10</f>
        <v>-9674</v>
      </c>
      <c r="F10" s="25">
        <f>(E10*'OperationStat Rate Projection'!$G$15)+E10</f>
        <v>-12130.966575109853</v>
      </c>
      <c r="G10" s="25">
        <f>(F10*'OperationStat Rate Projection'!$G$15)+F10</f>
        <v>-15211.944391816463</v>
      </c>
      <c r="H10" s="25">
        <f>(G10*'OperationStat Rate Projection'!$G$15)+G10</f>
        <v>-19075.417506673071</v>
      </c>
      <c r="I10" s="25">
        <f>(H10*'OperationStat Rate Projection'!$G$15)+H10</f>
        <v>-23920.121168050067</v>
      </c>
      <c r="J10" s="25">
        <f>(I10*'OperationStat Rate Projection'!$G$15)+I10</f>
        <v>-29995.264664274655</v>
      </c>
    </row>
    <row r="11" spans="2:12" ht="15">
      <c r="B11" s="20" t="s">
        <v>237</v>
      </c>
      <c r="C11" s="22">
        <f>-'Consolidated Statements of Oper'!E11</f>
        <v>-1346</v>
      </c>
      <c r="D11" s="22">
        <f>-'Consolidated Statements of Oper'!D11</f>
        <v>-1704</v>
      </c>
      <c r="E11" s="22">
        <f>-'Consolidated Statements of Oper'!C11</f>
        <v>-2087</v>
      </c>
      <c r="F11" s="25">
        <f>(E11*'OperationStat Rate Projection'!$G$17)+E11</f>
        <v>-2531.4463760068179</v>
      </c>
      <c r="G11" s="25">
        <f>(F11*'OperationStat Rate Projection'!$G$17)+F11</f>
        <v>-3070.5418086238869</v>
      </c>
      <c r="H11" s="25">
        <f>(G11*'OperationStat Rate Projection'!$G$17)+G11</f>
        <v>-3724.4427090648583</v>
      </c>
      <c r="I11" s="25">
        <f>(H11*'OperationStat Rate Projection'!$G$17)+H11</f>
        <v>-4517.5979868266659</v>
      </c>
      <c r="J11" s="25">
        <f>(I11*'OperationStat Rate Projection'!$G$17)+I11</f>
        <v>-5479.6631777709918</v>
      </c>
    </row>
    <row r="12" spans="2:12" ht="15">
      <c r="B12" s="20" t="s">
        <v>284</v>
      </c>
      <c r="C12" s="22">
        <f>'Consolidated Statements of Oper'!E12</f>
        <v>0</v>
      </c>
      <c r="D12" s="22">
        <f>-'Consolidated Statements of Oper'!D12</f>
        <v>-166</v>
      </c>
      <c r="E12" s="22">
        <f>-'Consolidated Statements of Oper'!C12</f>
        <v>0</v>
      </c>
      <c r="F12" s="153">
        <v>0</v>
      </c>
      <c r="G12" s="153">
        <v>0</v>
      </c>
      <c r="H12" s="153">
        <v>0</v>
      </c>
      <c r="I12" s="153">
        <v>0</v>
      </c>
      <c r="J12" s="153">
        <v>0</v>
      </c>
      <c r="K12" s="99" t="s">
        <v>331</v>
      </c>
      <c r="L12" s="99"/>
    </row>
    <row r="13" spans="2:12" ht="15">
      <c r="B13" s="26" t="s">
        <v>239</v>
      </c>
      <c r="C13" s="148">
        <f>SUM(C8:C12)</f>
        <v>535</v>
      </c>
      <c r="D13" s="148">
        <f>SUM(D8:D12)</f>
        <v>297</v>
      </c>
      <c r="E13" s="148">
        <f>SUM(E8:E12)</f>
        <v>455</v>
      </c>
      <c r="F13" s="27">
        <f>F8+F9+F10+F11+F12</f>
        <v>617.81224042222811</v>
      </c>
      <c r="G13" s="27">
        <f t="shared" ref="G13:J13" si="1">G8+G9+G10+G11+G12</f>
        <v>817.35700939258186</v>
      </c>
      <c r="H13" s="27">
        <f t="shared" si="1"/>
        <v>1056.8294549027401</v>
      </c>
      <c r="I13" s="27">
        <f t="shared" si="1"/>
        <v>1337.1681824243606</v>
      </c>
      <c r="J13" s="27">
        <f t="shared" si="1"/>
        <v>1655.2368215930837</v>
      </c>
    </row>
    <row r="14" spans="2:12" ht="15">
      <c r="B14" s="20" t="s">
        <v>240</v>
      </c>
      <c r="C14" s="22">
        <f>'Consolidated Statements of Oper'!E15</f>
        <v>542</v>
      </c>
      <c r="D14" s="22">
        <f>'Consolidated Statements of Oper'!D15</f>
        <v>427</v>
      </c>
      <c r="E14" s="22">
        <f>'Consolidated Statements of Oper'!C15</f>
        <v>2170</v>
      </c>
      <c r="F14" s="25">
        <f>'OperationStat Rate Projection'!$G$21</f>
        <v>700.4</v>
      </c>
      <c r="G14" s="25">
        <f>'OperationStat Rate Projection'!$G$21</f>
        <v>700.4</v>
      </c>
      <c r="H14" s="25">
        <f>'OperationStat Rate Projection'!$G$21</f>
        <v>700.4</v>
      </c>
      <c r="I14" s="25">
        <f>'OperationStat Rate Projection'!$G$21</f>
        <v>700.4</v>
      </c>
      <c r="J14" s="25">
        <f>'OperationStat Rate Projection'!$G$21</f>
        <v>700.4</v>
      </c>
    </row>
    <row r="15" spans="2:12" ht="15">
      <c r="B15" s="20" t="s">
        <v>285</v>
      </c>
      <c r="C15" s="22">
        <f>'Consolidated Statements of Oper'!E16</f>
        <v>-94</v>
      </c>
      <c r="D15" s="22">
        <f>'Consolidated Statements of Oper'!D16</f>
        <v>-18</v>
      </c>
      <c r="E15" s="22">
        <f>'Consolidated Statements of Oper'!C16</f>
        <v>-64</v>
      </c>
      <c r="F15" s="25">
        <f>'OperationStat Rate Projection'!$G$23</f>
        <v>-65.2</v>
      </c>
      <c r="G15" s="25">
        <f>'OperationStat Rate Projection'!$G$23</f>
        <v>-65.2</v>
      </c>
      <c r="H15" s="25">
        <f>'OperationStat Rate Projection'!$G$23</f>
        <v>-65.2</v>
      </c>
      <c r="I15" s="25">
        <f>'OperationStat Rate Projection'!$G$23</f>
        <v>-65.2</v>
      </c>
      <c r="J15" s="25">
        <f>'OperationStat Rate Projection'!$G$23</f>
        <v>-65.2</v>
      </c>
    </row>
    <row r="16" spans="2:12" ht="15">
      <c r="B16" s="26" t="s">
        <v>131</v>
      </c>
      <c r="C16" s="148">
        <f>C14+C15</f>
        <v>448</v>
      </c>
      <c r="D16" s="149">
        <f>D14+D15</f>
        <v>409</v>
      </c>
      <c r="E16" s="149">
        <f>E14+E15</f>
        <v>2106</v>
      </c>
      <c r="F16" s="27">
        <f>F13+F14+F15</f>
        <v>1253.0122404222282</v>
      </c>
      <c r="G16" s="27">
        <f t="shared" ref="G16:J16" si="2">G13+G14+G15</f>
        <v>1452.5570093925819</v>
      </c>
      <c r="H16" s="27">
        <f t="shared" si="2"/>
        <v>1692.0294549027401</v>
      </c>
      <c r="I16" s="27">
        <f t="shared" si="2"/>
        <v>1972.3681824243606</v>
      </c>
      <c r="J16" s="27">
        <f t="shared" si="2"/>
        <v>2290.436821593084</v>
      </c>
    </row>
    <row r="17" spans="2:10" ht="15">
      <c r="B17" s="20" t="s">
        <v>132</v>
      </c>
      <c r="C17" s="150">
        <f>'Consolidated Statements of Oper'!E18</f>
        <v>127</v>
      </c>
      <c r="D17" s="22">
        <f>'Consolidated Statements of Oper'!D18</f>
        <v>-580</v>
      </c>
      <c r="E17" s="22">
        <f>'Consolidated Statements of Oper'!C18</f>
        <v>1511</v>
      </c>
      <c r="F17" s="25">
        <f>'OperationStat Rate Projection'!$G$31</f>
        <v>227.4</v>
      </c>
      <c r="G17" s="25">
        <f>'OperationStat Rate Projection'!$G$31</f>
        <v>227.4</v>
      </c>
      <c r="H17" s="25">
        <f>'OperationStat Rate Projection'!$G$31</f>
        <v>227.4</v>
      </c>
      <c r="I17" s="25">
        <f>'OperationStat Rate Projection'!$G$31</f>
        <v>227.4</v>
      </c>
      <c r="J17" s="25">
        <f>'OperationStat Rate Projection'!$G$31</f>
        <v>227.4</v>
      </c>
    </row>
    <row r="18" spans="2:10" ht="15.6" thickBot="1">
      <c r="B18" s="26" t="s">
        <v>244</v>
      </c>
      <c r="C18" s="151">
        <f>C16+C17</f>
        <v>575</v>
      </c>
      <c r="D18" s="151">
        <f>D16+D17</f>
        <v>-171</v>
      </c>
      <c r="E18" s="151">
        <f>E16+E17</f>
        <v>3617</v>
      </c>
      <c r="F18" s="29">
        <f>F16+F17</f>
        <v>1480.4122404222283</v>
      </c>
      <c r="G18" s="29">
        <f t="shared" ref="G18:J18" si="3">G16+G17</f>
        <v>1679.957009392582</v>
      </c>
      <c r="H18" s="29">
        <f t="shared" si="3"/>
        <v>1919.4294549027402</v>
      </c>
      <c r="I18" s="29">
        <f t="shared" si="3"/>
        <v>2199.7681824243605</v>
      </c>
      <c r="J18" s="29">
        <f t="shared" si="3"/>
        <v>2517.8368215930841</v>
      </c>
    </row>
    <row r="19" spans="2:10" s="97" customFormat="1" ht="30.6" thickTop="1">
      <c r="B19" s="200" t="s">
        <v>335</v>
      </c>
      <c r="C19" s="202"/>
      <c r="D19" s="198"/>
      <c r="E19" s="198"/>
      <c r="F19" s="199"/>
      <c r="G19" s="199"/>
      <c r="H19" s="199"/>
      <c r="I19" s="199"/>
      <c r="J19" s="199"/>
    </row>
    <row r="20" spans="2:10" s="97" customFormat="1" ht="15">
      <c r="B20" s="201" t="s">
        <v>336</v>
      </c>
      <c r="C20" s="198">
        <f>'OperationStat Rate Projection'!D42</f>
        <v>-26</v>
      </c>
      <c r="D20" s="198">
        <f>'OperationStat Rate Projection'!E42</f>
        <v>-59</v>
      </c>
      <c r="E20" s="198">
        <f>'OperationStat Rate Projection'!F42</f>
        <v>40</v>
      </c>
      <c r="F20" s="199">
        <f>'OperationStat Rate Projection'!$G$42</f>
        <v>-7.2</v>
      </c>
      <c r="G20" s="199">
        <f>'OperationStat Rate Projection'!$G$42</f>
        <v>-7.2</v>
      </c>
      <c r="H20" s="199">
        <f>'OperationStat Rate Projection'!$G$42</f>
        <v>-7.2</v>
      </c>
      <c r="I20" s="199">
        <f>'OperationStat Rate Projection'!$G$42</f>
        <v>-7.2</v>
      </c>
      <c r="J20" s="199">
        <f>'OperationStat Rate Projection'!$G$42</f>
        <v>-7.2</v>
      </c>
    </row>
    <row r="21" spans="2:10" s="97" customFormat="1" ht="15">
      <c r="B21" s="201" t="s">
        <v>337</v>
      </c>
      <c r="C21" s="198">
        <f>'OperationStat Rate Projection'!D43</f>
        <v>-12</v>
      </c>
      <c r="D21" s="198">
        <f>'OperationStat Rate Projection'!E43</f>
        <v>26</v>
      </c>
      <c r="E21" s="198">
        <f>'OperationStat Rate Projection'!F43</f>
        <v>15</v>
      </c>
      <c r="F21" s="199">
        <f>'OperationStat Rate Projection'!$G$43</f>
        <v>8</v>
      </c>
      <c r="G21" s="199">
        <f>'OperationStat Rate Projection'!$G$43</f>
        <v>8</v>
      </c>
      <c r="H21" s="199">
        <f>'OperationStat Rate Projection'!$G$43</f>
        <v>8</v>
      </c>
      <c r="I21" s="199">
        <f>'OperationStat Rate Projection'!$G$43</f>
        <v>8</v>
      </c>
      <c r="J21" s="199">
        <f>'OperationStat Rate Projection'!$G$43</f>
        <v>8</v>
      </c>
    </row>
    <row r="22" spans="2:10" s="97" customFormat="1" ht="15">
      <c r="B22" s="201" t="s">
        <v>338</v>
      </c>
      <c r="C22" s="198">
        <f>'OperationStat Rate Projection'!D44</f>
        <v>-38</v>
      </c>
      <c r="D22" s="198">
        <f>'OperationStat Rate Projection'!E44</f>
        <v>-33</v>
      </c>
      <c r="E22" s="198">
        <f>'OperationStat Rate Projection'!F44</f>
        <v>55</v>
      </c>
      <c r="F22" s="199">
        <f>'OperationStat Rate Projection'!$G$44</f>
        <v>0.6</v>
      </c>
      <c r="G22" s="199">
        <f>'OperationStat Rate Projection'!$G$44</f>
        <v>0.6</v>
      </c>
      <c r="H22" s="199">
        <f>'OperationStat Rate Projection'!$G$44</f>
        <v>0.6</v>
      </c>
      <c r="I22" s="199">
        <f>'OperationStat Rate Projection'!$G$44</f>
        <v>0.6</v>
      </c>
      <c r="J22" s="199">
        <f>'OperationStat Rate Projection'!$G$44</f>
        <v>0.6</v>
      </c>
    </row>
    <row r="23" spans="2:10" s="97" customFormat="1" ht="15">
      <c r="B23" s="201" t="s">
        <v>161</v>
      </c>
      <c r="C23" s="198">
        <f>'OperationStat Rate Projection'!D45</f>
        <v>-1</v>
      </c>
      <c r="D23" s="198">
        <f>'OperationStat Rate Projection'!E45</f>
        <v>-2</v>
      </c>
      <c r="E23" s="198">
        <f>'OperationStat Rate Projection'!F45</f>
        <v>-4</v>
      </c>
      <c r="F23" s="199">
        <f>'OperationStat Rate Projection'!$G$45</f>
        <v>-0.6</v>
      </c>
      <c r="G23" s="199">
        <f>'OperationStat Rate Projection'!$G$45</f>
        <v>-0.6</v>
      </c>
      <c r="H23" s="199">
        <f>'OperationStat Rate Projection'!$G$45</f>
        <v>-0.6</v>
      </c>
      <c r="I23" s="199">
        <f>'OperationStat Rate Projection'!$G$45</f>
        <v>-0.6</v>
      </c>
      <c r="J23" s="199">
        <f>'OperationStat Rate Projection'!$G$45</f>
        <v>-0.6</v>
      </c>
    </row>
    <row r="24" spans="2:10" s="97" customFormat="1" ht="15">
      <c r="B24" s="201" t="s">
        <v>183</v>
      </c>
      <c r="C24" s="198">
        <f>'OperationStat Rate Projection'!D46</f>
        <v>-39</v>
      </c>
      <c r="D24" s="198">
        <f>'OperationStat Rate Projection'!E46</f>
        <v>-35</v>
      </c>
      <c r="E24" s="198">
        <f>'OperationStat Rate Projection'!F46</f>
        <v>51</v>
      </c>
      <c r="F24" s="199">
        <f>'OperationStat Rate Projection'!$G$46</f>
        <v>0</v>
      </c>
      <c r="G24" s="199">
        <f>'OperationStat Rate Projection'!$G$46</f>
        <v>0</v>
      </c>
      <c r="H24" s="199">
        <f>'OperationStat Rate Projection'!$G$46</f>
        <v>0</v>
      </c>
      <c r="I24" s="199">
        <f>'OperationStat Rate Projection'!$G$46</f>
        <v>0</v>
      </c>
      <c r="J24" s="199">
        <f>'OperationStat Rate Projection'!$G$46</f>
        <v>0</v>
      </c>
    </row>
    <row r="25" spans="2:10" ht="15.6" thickBot="1">
      <c r="B25" s="200" t="s">
        <v>339</v>
      </c>
      <c r="C25" s="152">
        <f>'OperationStat Rate Projection'!D47</f>
        <v>1071</v>
      </c>
      <c r="D25" s="152">
        <f>'OperationStat Rate Projection'!E47</f>
        <v>91</v>
      </c>
      <c r="E25" s="152">
        <f>'OperationStat Rate Projection'!F47</f>
        <v>4123</v>
      </c>
      <c r="F25" s="29">
        <f>SUM(F18:F24)</f>
        <v>1481.2122404222282</v>
      </c>
      <c r="G25" s="29">
        <f t="shared" ref="G25:J25" si="4">SUM(G18:G24)</f>
        <v>1680.7570093925819</v>
      </c>
      <c r="H25" s="29">
        <f t="shared" si="4"/>
        <v>1920.2294549027401</v>
      </c>
      <c r="I25" s="29">
        <f t="shared" si="4"/>
        <v>2200.5681824243607</v>
      </c>
      <c r="J25" s="29">
        <f t="shared" si="4"/>
        <v>2518.6368215930843</v>
      </c>
    </row>
    <row r="26" spans="2:10" ht="15" thickTop="1">
      <c r="F26" s="11"/>
      <c r="G26" s="11"/>
      <c r="H26" s="11"/>
      <c r="I26" s="11"/>
      <c r="J26" s="11"/>
    </row>
    <row r="29" spans="2:10">
      <c r="B29" s="99" t="s">
        <v>332</v>
      </c>
    </row>
    <row r="31" spans="2:10" s="97" customFormat="1"/>
  </sheetData>
  <mergeCells count="3">
    <mergeCell ref="B3:J3"/>
    <mergeCell ref="F4:J4"/>
    <mergeCell ref="C4:E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13951-A396-453D-AE06-2AD02F1C545F}">
  <dimension ref="A2:G61"/>
  <sheetViews>
    <sheetView topLeftCell="A22" zoomScale="60" zoomScaleNormal="60" workbookViewId="0">
      <selection activeCell="B63" sqref="B63"/>
    </sheetView>
  </sheetViews>
  <sheetFormatPr defaultRowHeight="14.4"/>
  <cols>
    <col min="1" max="1" width="71.109375" style="92" customWidth="1"/>
    <col min="2" max="2" width="14" style="92" customWidth="1"/>
    <col min="3" max="3" width="12.6640625" style="92" customWidth="1"/>
    <col min="4" max="4" width="14" style="92" customWidth="1"/>
    <col min="5" max="5" width="14.6640625" style="92" customWidth="1"/>
    <col min="6" max="6" width="14.77734375" style="92" customWidth="1"/>
    <col min="7" max="7" width="17.21875" style="105" customWidth="1"/>
    <col min="8" max="16384" width="8.88671875" style="92"/>
  </cols>
  <sheetData>
    <row r="2" spans="1:7">
      <c r="A2" s="100" t="s">
        <v>67</v>
      </c>
      <c r="B2" s="94" t="s">
        <v>289</v>
      </c>
      <c r="C2" s="94" t="s">
        <v>290</v>
      </c>
      <c r="D2" s="94" t="s">
        <v>114</v>
      </c>
      <c r="E2" s="101" t="s">
        <v>68</v>
      </c>
      <c r="F2" s="101" t="s">
        <v>2</v>
      </c>
      <c r="G2" s="102" t="s">
        <v>291</v>
      </c>
    </row>
    <row r="3" spans="1:7">
      <c r="A3" s="103" t="s">
        <v>69</v>
      </c>
      <c r="C3" s="104"/>
    </row>
    <row r="4" spans="1:7">
      <c r="A4" s="106" t="s">
        <v>70</v>
      </c>
      <c r="B4" s="7">
        <v>1607</v>
      </c>
      <c r="C4" s="107">
        <v>2543</v>
      </c>
      <c r="D4" s="7">
        <v>2669</v>
      </c>
      <c r="E4" s="7">
        <v>4145</v>
      </c>
      <c r="F4" s="7">
        <v>6195</v>
      </c>
    </row>
    <row r="5" spans="1:7" s="95" customFormat="1">
      <c r="A5" s="108" t="s">
        <v>292</v>
      </c>
      <c r="B5" s="13"/>
      <c r="C5" s="109">
        <f>(C4-B4)/B4</f>
        <v>0.58245177349097699</v>
      </c>
      <c r="D5" s="109">
        <f>(D4-C4)/C4</f>
        <v>4.9547778214707038E-2</v>
      </c>
      <c r="E5" s="109">
        <f>(E4-D4)/D4</f>
        <v>0.55301611090295988</v>
      </c>
      <c r="F5" s="109">
        <f>(F4-E4)/E4</f>
        <v>0.49457177322074791</v>
      </c>
      <c r="G5" s="110">
        <f>AVERAGE(C5:F5)</f>
        <v>0.41989685895734796</v>
      </c>
    </row>
    <row r="6" spans="1:7">
      <c r="A6" s="106" t="s">
        <v>71</v>
      </c>
      <c r="B6" s="6">
        <v>602</v>
      </c>
      <c r="C6" s="111">
        <v>1978</v>
      </c>
      <c r="D6" s="6">
        <v>1673</v>
      </c>
      <c r="E6" s="6">
        <v>3802</v>
      </c>
      <c r="F6" s="6">
        <v>5771</v>
      </c>
    </row>
    <row r="7" spans="1:7">
      <c r="A7" s="108" t="s">
        <v>292</v>
      </c>
      <c r="B7" s="6"/>
      <c r="C7" s="109">
        <f>(C6-B6)/B6</f>
        <v>2.2857142857142856</v>
      </c>
      <c r="D7" s="109">
        <f t="shared" ref="D7:F7" si="0">(D6-C6)/C6</f>
        <v>-0.15419615773508594</v>
      </c>
      <c r="E7" s="109">
        <f>(E6-D6)/D6</f>
        <v>1.2725642558278543</v>
      </c>
      <c r="F7" s="109">
        <f t="shared" si="0"/>
        <v>0.51788532351394001</v>
      </c>
      <c r="G7" s="110">
        <f>AVERAGE(C7:F7)</f>
        <v>0.98049192683024833</v>
      </c>
    </row>
    <row r="8" spans="1:7">
      <c r="A8" s="106" t="s">
        <v>72</v>
      </c>
      <c r="B8" s="6">
        <v>3197</v>
      </c>
      <c r="C8" s="111">
        <v>3921</v>
      </c>
      <c r="D8" s="6">
        <v>4924</v>
      </c>
      <c r="E8" s="6">
        <v>6174</v>
      </c>
      <c r="F8" s="6">
        <v>7786</v>
      </c>
    </row>
    <row r="9" spans="1:7">
      <c r="A9" s="108" t="s">
        <v>292</v>
      </c>
      <c r="B9" s="6"/>
      <c r="C9" s="109">
        <f>(C8-B8)/B8</f>
        <v>0.22646230841413825</v>
      </c>
      <c r="D9" s="109">
        <f t="shared" ref="D9:F9" si="1">(D8-C8)/C8</f>
        <v>0.25580209130323894</v>
      </c>
      <c r="E9" s="109">
        <f t="shared" si="1"/>
        <v>0.2538586515028432</v>
      </c>
      <c r="F9" s="109">
        <f t="shared" si="1"/>
        <v>0.26109491415613867</v>
      </c>
      <c r="G9" s="110">
        <f>AVERAGE(C9:F9)</f>
        <v>0.24930449134408977</v>
      </c>
    </row>
    <row r="10" spans="1:7">
      <c r="A10" s="106" t="s">
        <v>73</v>
      </c>
      <c r="B10" s="6">
        <v>311</v>
      </c>
      <c r="C10" s="111">
        <v>671</v>
      </c>
      <c r="D10" s="6">
        <v>788</v>
      </c>
      <c r="E10" s="6">
        <v>926</v>
      </c>
      <c r="F10" s="6">
        <v>1146</v>
      </c>
    </row>
    <row r="11" spans="1:7">
      <c r="A11" s="108" t="s">
        <v>292</v>
      </c>
      <c r="B11" s="6"/>
      <c r="C11" s="109">
        <f>(C10-B10)/B10</f>
        <v>1.157556270096463</v>
      </c>
      <c r="D11" s="109">
        <f t="shared" ref="D11:F11" si="2">(D10-C10)/C10</f>
        <v>0.17436661698956782</v>
      </c>
      <c r="E11" s="109">
        <f t="shared" si="2"/>
        <v>0.17512690355329949</v>
      </c>
      <c r="F11" s="109">
        <f t="shared" si="2"/>
        <v>0.23758099352051837</v>
      </c>
      <c r="G11" s="110">
        <f>AVERAGE(C11:F11)</f>
        <v>0.43615769603996218</v>
      </c>
    </row>
    <row r="12" spans="1:7">
      <c r="A12" s="106" t="s">
        <v>74</v>
      </c>
      <c r="B12" s="6">
        <v>280</v>
      </c>
      <c r="C12" s="111">
        <v>471</v>
      </c>
      <c r="D12" s="6">
        <v>629</v>
      </c>
      <c r="E12" s="6">
        <v>916</v>
      </c>
      <c r="F12" s="6">
        <v>991</v>
      </c>
    </row>
    <row r="13" spans="1:7">
      <c r="A13" s="108" t="s">
        <v>292</v>
      </c>
      <c r="B13" s="6"/>
      <c r="C13" s="109">
        <f>(C12-B12)/B12</f>
        <v>0.68214285714285716</v>
      </c>
      <c r="D13" s="109">
        <f t="shared" ref="D13:F13" si="3">(D12-C12)/C12</f>
        <v>0.3354564755838641</v>
      </c>
      <c r="E13" s="109">
        <f t="shared" si="3"/>
        <v>0.45627980922098571</v>
      </c>
      <c r="F13" s="109">
        <f t="shared" si="3"/>
        <v>8.1877729257641918E-2</v>
      </c>
      <c r="G13" s="110">
        <f>AVERAGE(C13:F13)</f>
        <v>0.38893921780133722</v>
      </c>
    </row>
    <row r="14" spans="1:7">
      <c r="A14" s="112" t="s">
        <v>75</v>
      </c>
      <c r="B14" s="46">
        <v>5997</v>
      </c>
      <c r="C14" s="113">
        <v>9584</v>
      </c>
      <c r="D14" s="46">
        <v>10683</v>
      </c>
      <c r="E14" s="46">
        <v>15963</v>
      </c>
      <c r="F14" s="46">
        <v>21889</v>
      </c>
      <c r="G14" s="143">
        <f>AVERAGE(G5:G13)</f>
        <v>0.49495803819459711</v>
      </c>
    </row>
    <row r="15" spans="1:7">
      <c r="A15" s="106"/>
      <c r="B15" s="6"/>
      <c r="C15" s="111"/>
      <c r="D15" s="6"/>
      <c r="E15" s="6"/>
      <c r="F15" s="6"/>
    </row>
    <row r="16" spans="1:7">
      <c r="A16" s="106" t="s">
        <v>76</v>
      </c>
      <c r="B16" s="6">
        <v>1787</v>
      </c>
      <c r="C16" s="111">
        <v>1947</v>
      </c>
      <c r="D16" s="6">
        <v>2051</v>
      </c>
      <c r="E16" s="6">
        <v>2375</v>
      </c>
      <c r="F16" s="6">
        <v>2459</v>
      </c>
    </row>
    <row r="17" spans="1:7">
      <c r="A17" s="108" t="s">
        <v>292</v>
      </c>
      <c r="B17" s="6"/>
      <c r="C17" s="109">
        <f>(C16-B16)/B16</f>
        <v>8.9535534415221038E-2</v>
      </c>
      <c r="D17" s="6"/>
      <c r="E17" s="6"/>
      <c r="F17" s="6"/>
      <c r="G17" s="110">
        <f>AVERAGE(C17:F17)</f>
        <v>8.9535534415221038E-2</v>
      </c>
    </row>
    <row r="18" spans="1:7">
      <c r="A18" s="106" t="s">
        <v>293</v>
      </c>
      <c r="B18" s="6">
        <v>228</v>
      </c>
      <c r="C18" s="111">
        <v>0</v>
      </c>
      <c r="D18" s="6">
        <v>0</v>
      </c>
      <c r="E18" s="6">
        <v>0</v>
      </c>
      <c r="F18" s="6">
        <v>0</v>
      </c>
    </row>
    <row r="19" spans="1:7">
      <c r="A19" s="108" t="s">
        <v>292</v>
      </c>
      <c r="B19" s="6"/>
      <c r="C19" s="109">
        <f>(C18-B18)/B18</f>
        <v>-1</v>
      </c>
      <c r="D19" s="109"/>
      <c r="E19" s="109"/>
      <c r="F19" s="109"/>
    </row>
    <row r="20" spans="1:7">
      <c r="A20" s="106" t="s">
        <v>77</v>
      </c>
      <c r="B20" s="6">
        <v>0</v>
      </c>
      <c r="C20" s="111">
        <v>0</v>
      </c>
      <c r="D20" s="6">
        <v>0</v>
      </c>
      <c r="E20" s="6">
        <v>3040</v>
      </c>
      <c r="F20" s="6">
        <v>3204</v>
      </c>
    </row>
    <row r="21" spans="1:7">
      <c r="A21" s="108" t="s">
        <v>292</v>
      </c>
      <c r="B21" s="6"/>
      <c r="C21" s="109"/>
      <c r="D21" s="109"/>
      <c r="E21" s="109"/>
      <c r="F21" s="109">
        <f t="shared" ref="F21" si="4">(F20-E20)/E20</f>
        <v>5.3947368421052633E-2</v>
      </c>
      <c r="G21" s="110">
        <f>AVERAGE(C21:F21)</f>
        <v>5.3947368421052633E-2</v>
      </c>
    </row>
    <row r="22" spans="1:7">
      <c r="A22" s="106" t="s">
        <v>78</v>
      </c>
      <c r="B22" s="6">
        <v>0</v>
      </c>
      <c r="C22" s="111">
        <v>1105</v>
      </c>
      <c r="D22" s="6">
        <v>1232</v>
      </c>
      <c r="E22" s="6">
        <v>1348</v>
      </c>
      <c r="F22" s="6">
        <v>1715</v>
      </c>
    </row>
    <row r="23" spans="1:7">
      <c r="A23" s="108" t="s">
        <v>292</v>
      </c>
      <c r="B23" s="6"/>
      <c r="C23" s="109"/>
      <c r="D23" s="109">
        <f t="shared" ref="D23:F23" si="5">(D22-C22)/C22</f>
        <v>0.11493212669683257</v>
      </c>
      <c r="E23" s="109">
        <f t="shared" si="5"/>
        <v>9.4155844155844159E-2</v>
      </c>
      <c r="F23" s="109">
        <f t="shared" si="5"/>
        <v>0.27225519287833827</v>
      </c>
      <c r="G23" s="110">
        <f>AVERAGE(C23:F23)</f>
        <v>0.16044772124367165</v>
      </c>
    </row>
    <row r="24" spans="1:7">
      <c r="A24" s="93" t="s">
        <v>294</v>
      </c>
      <c r="B24" s="6">
        <v>142</v>
      </c>
      <c r="C24" s="111">
        <v>146</v>
      </c>
      <c r="D24" s="6">
        <v>152</v>
      </c>
      <c r="E24" s="6">
        <v>0</v>
      </c>
      <c r="F24" s="6">
        <v>0</v>
      </c>
    </row>
    <row r="25" spans="1:7">
      <c r="A25" s="108" t="s">
        <v>292</v>
      </c>
      <c r="B25" s="6"/>
      <c r="C25" s="109">
        <f>(C24-B24)/B24</f>
        <v>2.8169014084507043E-2</v>
      </c>
      <c r="D25" s="109">
        <f t="shared" ref="D25" si="6">(D24-C24)/C24</f>
        <v>4.1095890410958902E-2</v>
      </c>
      <c r="E25" s="109"/>
      <c r="F25" s="109"/>
      <c r="G25" s="110">
        <f>AVERAGE(C25:F25)</f>
        <v>3.4632452247732974E-2</v>
      </c>
    </row>
    <row r="26" spans="1:7">
      <c r="A26" s="106" t="s">
        <v>79</v>
      </c>
      <c r="B26" s="6">
        <v>567</v>
      </c>
      <c r="C26" s="111">
        <v>677</v>
      </c>
      <c r="D26" s="6">
        <v>1302</v>
      </c>
      <c r="E26" s="6">
        <v>1963</v>
      </c>
      <c r="F26" s="6">
        <v>3909</v>
      </c>
    </row>
    <row r="27" spans="1:7">
      <c r="A27" s="108" t="s">
        <v>292</v>
      </c>
      <c r="B27" s="6"/>
      <c r="C27" s="109">
        <f>(C26-B26)/B26</f>
        <v>0.19400352733686066</v>
      </c>
      <c r="D27" s="109">
        <f t="shared" ref="D27:F27" si="7">(D26-C26)/C26</f>
        <v>0.9231905465288035</v>
      </c>
      <c r="E27" s="109">
        <f t="shared" si="7"/>
        <v>0.50768049155145933</v>
      </c>
      <c r="F27" s="109">
        <f t="shared" si="7"/>
        <v>0.99133978604177275</v>
      </c>
      <c r="G27" s="110">
        <f>AVERAGE(C27:F27)</f>
        <v>0.65405358786472401</v>
      </c>
    </row>
    <row r="28" spans="1:7">
      <c r="A28" s="106" t="s">
        <v>80</v>
      </c>
      <c r="B28" s="6">
        <v>7264</v>
      </c>
      <c r="C28" s="111">
        <v>7314</v>
      </c>
      <c r="D28" s="6">
        <v>12851</v>
      </c>
      <c r="E28" s="6">
        <v>25134</v>
      </c>
      <c r="F28" s="6">
        <v>26318</v>
      </c>
    </row>
    <row r="29" spans="1:7">
      <c r="A29" s="108" t="s">
        <v>292</v>
      </c>
      <c r="B29" s="6"/>
      <c r="C29" s="109">
        <f>(C28-B28)/B28</f>
        <v>6.8832599118942728E-3</v>
      </c>
      <c r="D29" s="109">
        <f t="shared" ref="D29:F29" si="8">(D28-C28)/C28</f>
        <v>0.75704129067541703</v>
      </c>
      <c r="E29" s="109">
        <f t="shared" si="8"/>
        <v>0.95580110497237569</v>
      </c>
      <c r="F29" s="109">
        <f t="shared" si="8"/>
        <v>4.7107503779740593E-2</v>
      </c>
      <c r="G29" s="110">
        <f>AVERAGE(C29:F29)</f>
        <v>0.44170828983485688</v>
      </c>
    </row>
    <row r="30" spans="1:7">
      <c r="A30" s="106" t="s">
        <v>81</v>
      </c>
      <c r="B30" s="6">
        <v>1113</v>
      </c>
      <c r="C30" s="111">
        <v>827</v>
      </c>
      <c r="D30" s="6">
        <v>1923</v>
      </c>
      <c r="E30" s="6">
        <v>4724</v>
      </c>
      <c r="F30" s="6">
        <v>4114</v>
      </c>
    </row>
    <row r="31" spans="1:7">
      <c r="A31" s="108" t="s">
        <v>292</v>
      </c>
      <c r="B31" s="6"/>
      <c r="C31" s="109">
        <f>(C30-B30)/B30</f>
        <v>-0.25696316262353996</v>
      </c>
      <c r="D31" s="109">
        <f t="shared" ref="D31:E31" si="9">(D30-C30)/C30</f>
        <v>1.3252720677146312</v>
      </c>
      <c r="E31" s="109">
        <f t="shared" si="9"/>
        <v>1.4565782631305253</v>
      </c>
      <c r="F31" s="109">
        <f>(F30-E30)/E30</f>
        <v>-0.12912785774767147</v>
      </c>
      <c r="G31" s="110">
        <f>AVERAGE(C31:F31)</f>
        <v>0.5989398276184863</v>
      </c>
    </row>
    <row r="32" spans="1:7">
      <c r="A32" s="106" t="s">
        <v>82</v>
      </c>
      <c r="B32" s="6">
        <v>487</v>
      </c>
      <c r="C32" s="111">
        <v>384</v>
      </c>
      <c r="D32" s="6">
        <v>543</v>
      </c>
      <c r="E32" s="6">
        <v>579</v>
      </c>
      <c r="F32" s="6">
        <v>2693</v>
      </c>
    </row>
    <row r="33" spans="1:7">
      <c r="A33" s="108" t="s">
        <v>292</v>
      </c>
      <c r="B33" s="6"/>
      <c r="C33" s="109">
        <f>(C32-B32)/B32</f>
        <v>-0.21149897330595482</v>
      </c>
      <c r="D33" s="109">
        <f t="shared" ref="D33:F33" si="10">(D32-C32)/C32</f>
        <v>0.4140625</v>
      </c>
      <c r="E33" s="109">
        <f t="shared" si="10"/>
        <v>6.6298342541436461E-2</v>
      </c>
      <c r="F33" s="109">
        <f t="shared" si="10"/>
        <v>3.6511226252158893</v>
      </c>
      <c r="G33" s="110">
        <f>AVERAGE(C33:F33)</f>
        <v>0.97999612361284272</v>
      </c>
    </row>
    <row r="34" spans="1:7">
      <c r="A34" s="114" t="s">
        <v>83</v>
      </c>
      <c r="B34" s="115">
        <v>17585</v>
      </c>
      <c r="C34" s="116">
        <v>21984</v>
      </c>
      <c r="D34" s="115">
        <v>30737</v>
      </c>
      <c r="E34" s="115">
        <v>55126</v>
      </c>
      <c r="F34" s="115">
        <v>66301</v>
      </c>
    </row>
    <row r="35" spans="1:7">
      <c r="A35" s="103" t="s">
        <v>84</v>
      </c>
      <c r="C35" s="104"/>
    </row>
    <row r="36" spans="1:7">
      <c r="A36" s="106" t="s">
        <v>85</v>
      </c>
      <c r="B36" s="6">
        <v>1753</v>
      </c>
      <c r="C36" s="111">
        <f>'[1]Condensed Consolidated Balance '!$C$18+'[1]Condensed Consolidated Balance '!$C$19+'[1]Condensed Consolidated Balance '!$C$20+'[1]Condensed Consolidated Balance '!$C$22</f>
        <v>3072</v>
      </c>
      <c r="D36" s="6">
        <f>'[1]Condensed Consolidated Balance '!$B$18+'[1]Condensed Consolidated Balance '!$B$19+'[1]Condensed Consolidated Balance '!$B$20+'[1]Condensed Consolidated Balance '!$B$22</f>
        <v>2691</v>
      </c>
      <c r="E36" s="6">
        <v>3433</v>
      </c>
      <c r="F36" s="6">
        <v>4355</v>
      </c>
    </row>
    <row r="37" spans="1:7">
      <c r="A37" s="108" t="s">
        <v>292</v>
      </c>
      <c r="B37" s="6"/>
      <c r="C37" s="109">
        <f>(C36-B36)/B36</f>
        <v>0.75242441528807757</v>
      </c>
      <c r="D37" s="109">
        <f t="shared" ref="D37:F37" si="11">(D36-C36)/C36</f>
        <v>-0.1240234375</v>
      </c>
      <c r="E37" s="109">
        <f t="shared" si="11"/>
        <v>0.27573392790784096</v>
      </c>
      <c r="F37" s="109">
        <f t="shared" si="11"/>
        <v>0.26856976405476257</v>
      </c>
      <c r="G37" s="110">
        <f>AVERAGE(C37:F37)</f>
        <v>0.29317616743767028</v>
      </c>
    </row>
    <row r="38" spans="1:7">
      <c r="A38" s="106" t="s">
        <v>86</v>
      </c>
      <c r="B38" s="6">
        <v>0</v>
      </c>
      <c r="C38" s="111">
        <v>0</v>
      </c>
      <c r="D38" s="6">
        <v>0</v>
      </c>
      <c r="E38" s="6">
        <v>750</v>
      </c>
      <c r="F38" s="6">
        <v>766</v>
      </c>
    </row>
    <row r="39" spans="1:7">
      <c r="A39" s="108" t="s">
        <v>292</v>
      </c>
      <c r="B39" s="6"/>
      <c r="C39" s="109"/>
      <c r="D39" s="109"/>
      <c r="E39" s="109"/>
      <c r="F39" s="109">
        <f t="shared" ref="F39" si="12">(F38-E38)/E38</f>
        <v>2.1333333333333333E-2</v>
      </c>
      <c r="G39" s="110">
        <f>AVERAGE(C39:F39)</f>
        <v>2.1333333333333333E-2</v>
      </c>
    </row>
    <row r="40" spans="1:7">
      <c r="A40" s="106" t="s">
        <v>87</v>
      </c>
      <c r="B40" s="6">
        <v>5506</v>
      </c>
      <c r="C40" s="111">
        <v>6995</v>
      </c>
      <c r="D40" s="6">
        <v>8564</v>
      </c>
      <c r="E40" s="6">
        <v>10662</v>
      </c>
      <c r="F40" s="6">
        <v>12607</v>
      </c>
    </row>
    <row r="41" spans="1:7">
      <c r="A41" s="108" t="s">
        <v>292</v>
      </c>
      <c r="B41" s="6"/>
      <c r="C41" s="109">
        <f>(C40-B40)/B40</f>
        <v>0.27043225572103158</v>
      </c>
      <c r="D41" s="109">
        <f>(D40-C40)/C40</f>
        <v>0.22430307362401716</v>
      </c>
      <c r="E41" s="109">
        <f>(E40-D40)/D40</f>
        <v>0.24497898178421298</v>
      </c>
      <c r="F41" s="109">
        <f>(F40-E40)/E40</f>
        <v>0.1824235603076346</v>
      </c>
      <c r="G41" s="110">
        <f>AVERAGE(C41:F41)</f>
        <v>0.23053446785922407</v>
      </c>
    </row>
    <row r="42" spans="1:7">
      <c r="A42" s="112" t="s">
        <v>88</v>
      </c>
      <c r="B42" s="46">
        <v>7259</v>
      </c>
      <c r="C42" s="113">
        <v>10067</v>
      </c>
      <c r="D42" s="46">
        <v>11255</v>
      </c>
      <c r="E42" s="46">
        <v>14845</v>
      </c>
      <c r="F42" s="46">
        <v>17728</v>
      </c>
    </row>
    <row r="43" spans="1:7">
      <c r="A43" s="106" t="s">
        <v>89</v>
      </c>
      <c r="B43" s="6">
        <v>2045</v>
      </c>
      <c r="C43" s="111">
        <v>1310</v>
      </c>
      <c r="D43" s="6">
        <f>'[1]Condensed Consolidated Balance '!$B$24+'[1]Condensed Consolidated Balance '!$B$25</f>
        <v>3877</v>
      </c>
      <c r="E43" s="6">
        <v>2673</v>
      </c>
      <c r="F43" s="6">
        <v>2673</v>
      </c>
    </row>
    <row r="44" spans="1:7">
      <c r="A44" s="140" t="s">
        <v>292</v>
      </c>
      <c r="B44" s="64"/>
      <c r="C44" s="141">
        <f t="shared" ref="C44:F44" si="13">(C43-B43)/B43</f>
        <v>-0.35941320293398532</v>
      </c>
      <c r="D44" s="141">
        <f t="shared" si="13"/>
        <v>1.9595419847328244</v>
      </c>
      <c r="E44" s="141">
        <f t="shared" si="13"/>
        <v>-0.31054939386123293</v>
      </c>
      <c r="F44" s="141">
        <f t="shared" si="13"/>
        <v>0</v>
      </c>
      <c r="G44" s="142">
        <f>AVERAGE(C44:F44)</f>
        <v>0.32239484698440152</v>
      </c>
    </row>
    <row r="45" spans="1:7">
      <c r="A45" s="106" t="s">
        <v>90</v>
      </c>
      <c r="B45" s="6">
        <f>'[2]Consolidated Balance Sheets'!$B$22+'[2]Consolidated Balance Sheets'!$B$23+'[2]Consolidated Balance Sheets'!$B$24+'[2]Consolidated Balance Sheets'!$B$25</f>
        <v>2008</v>
      </c>
      <c r="C45" s="111">
        <v>0</v>
      </c>
      <c r="D45" s="6">
        <v>0</v>
      </c>
      <c r="E45" s="6">
        <v>2445</v>
      </c>
      <c r="F45" s="6">
        <v>2842</v>
      </c>
    </row>
    <row r="46" spans="1:7">
      <c r="A46" s="108" t="s">
        <v>292</v>
      </c>
      <c r="B46" s="6"/>
      <c r="C46" s="109"/>
      <c r="D46" s="109"/>
      <c r="E46" s="109"/>
      <c r="F46" s="109">
        <f>(F45-E45)/E45</f>
        <v>0.16237218813905929</v>
      </c>
      <c r="G46" s="110">
        <f>AVERAGE(C46:F46)</f>
        <v>0.16237218813905929</v>
      </c>
    </row>
    <row r="47" spans="1:7">
      <c r="A47" s="106" t="s">
        <v>91</v>
      </c>
      <c r="B47" s="6">
        <v>781</v>
      </c>
      <c r="C47" s="111">
        <v>846</v>
      </c>
      <c r="D47" s="6">
        <v>704</v>
      </c>
      <c r="E47" s="6">
        <v>1278</v>
      </c>
      <c r="F47" s="6">
        <v>1565</v>
      </c>
    </row>
    <row r="48" spans="1:7">
      <c r="A48" s="108" t="s">
        <v>292</v>
      </c>
      <c r="B48" s="6"/>
      <c r="C48" s="109">
        <f>(C47-B47)/B47</f>
        <v>8.3226632522407168E-2</v>
      </c>
      <c r="D48" s="109">
        <f>(D47-C47)/C47</f>
        <v>-0.16784869976359337</v>
      </c>
      <c r="E48" s="109">
        <f>(E47-D47)/D47</f>
        <v>0.81534090909090906</v>
      </c>
      <c r="F48" s="109">
        <f>(F47-E47)/E47</f>
        <v>0.2245696400625978</v>
      </c>
      <c r="G48" s="110">
        <f>AVERAGE(C48:F48)</f>
        <v>0.23882212047808016</v>
      </c>
    </row>
    <row r="49" spans="1:7">
      <c r="A49" s="114" t="s">
        <v>92</v>
      </c>
      <c r="B49" s="115">
        <v>10085</v>
      </c>
      <c r="C49" s="116">
        <v>11608</v>
      </c>
      <c r="D49" s="115">
        <v>15132</v>
      </c>
      <c r="E49" s="115">
        <v>21241</v>
      </c>
      <c r="F49" s="115">
        <v>24808</v>
      </c>
    </row>
    <row r="50" spans="1:7">
      <c r="A50" s="106" t="s">
        <v>93</v>
      </c>
      <c r="B50" s="93" t="s">
        <v>94</v>
      </c>
      <c r="D50" s="93" t="s">
        <v>94</v>
      </c>
      <c r="E50" s="106" t="s">
        <v>94</v>
      </c>
      <c r="F50" s="106" t="s">
        <v>94</v>
      </c>
    </row>
    <row r="51" spans="1:7">
      <c r="A51" s="103" t="s">
        <v>95</v>
      </c>
    </row>
    <row r="52" spans="1:7">
      <c r="A52" s="106" t="s">
        <v>96</v>
      </c>
      <c r="B52" s="6">
        <v>0</v>
      </c>
      <c r="C52" s="6">
        <v>0</v>
      </c>
      <c r="D52" s="6">
        <v>0</v>
      </c>
      <c r="E52" s="6">
        <v>0</v>
      </c>
      <c r="F52" s="6">
        <v>0</v>
      </c>
    </row>
    <row r="53" spans="1:7">
      <c r="A53" s="106" t="s">
        <v>97</v>
      </c>
      <c r="B53" s="6">
        <v>1</v>
      </c>
      <c r="C53" s="6">
        <v>1</v>
      </c>
      <c r="D53" s="6">
        <v>1</v>
      </c>
      <c r="E53" s="6">
        <v>1</v>
      </c>
      <c r="F53" s="6">
        <v>1</v>
      </c>
    </row>
    <row r="54" spans="1:7">
      <c r="A54" s="106" t="s">
        <v>98</v>
      </c>
      <c r="B54" s="6">
        <v>8040</v>
      </c>
      <c r="C54" s="6">
        <v>9752</v>
      </c>
      <c r="D54" s="6">
        <v>13927</v>
      </c>
      <c r="E54" s="6">
        <v>32116</v>
      </c>
      <c r="F54" s="6">
        <v>35601</v>
      </c>
    </row>
    <row r="55" spans="1:7">
      <c r="A55" s="108" t="s">
        <v>292</v>
      </c>
      <c r="B55" s="6"/>
      <c r="C55" s="109">
        <f>(C54-B54)/B54</f>
        <v>0.21293532338308457</v>
      </c>
      <c r="D55" s="109">
        <f t="shared" ref="D55:F55" si="14">(D54-C54)/C54</f>
        <v>0.42811730926989333</v>
      </c>
      <c r="E55" s="109">
        <f t="shared" si="14"/>
        <v>1.3060242694047532</v>
      </c>
      <c r="F55" s="109">
        <f t="shared" si="14"/>
        <v>0.10851289077095529</v>
      </c>
      <c r="G55" s="110">
        <f>AVERAGE(C55:F55)</f>
        <v>0.51389744820717165</v>
      </c>
    </row>
    <row r="56" spans="1:7">
      <c r="A56" s="106" t="s">
        <v>99</v>
      </c>
      <c r="B56" s="6">
        <v>-76</v>
      </c>
      <c r="C56" s="6">
        <v>-12</v>
      </c>
      <c r="D56" s="6">
        <v>-58</v>
      </c>
      <c r="E56" s="6">
        <v>-93</v>
      </c>
      <c r="F56" s="6">
        <v>-42</v>
      </c>
    </row>
    <row r="57" spans="1:7">
      <c r="A57" s="108" t="s">
        <v>292</v>
      </c>
      <c r="B57" s="6"/>
      <c r="C57" s="109">
        <f>(C56-B56)/B56</f>
        <v>-0.84210526315789469</v>
      </c>
      <c r="D57" s="109">
        <f t="shared" ref="D57:F57" si="15">(D56-C56)/C56</f>
        <v>3.8333333333333335</v>
      </c>
      <c r="E57" s="109">
        <f t="shared" si="15"/>
        <v>0.60344827586206895</v>
      </c>
      <c r="F57" s="109">
        <f t="shared" si="15"/>
        <v>-0.54838709677419351</v>
      </c>
      <c r="G57" s="110">
        <f>AVERAGE(C57:F57)</f>
        <v>0.76157231231582856</v>
      </c>
    </row>
    <row r="58" spans="1:7">
      <c r="A58" s="106" t="s">
        <v>100</v>
      </c>
      <c r="B58" s="6">
        <v>-465</v>
      </c>
      <c r="C58" s="6">
        <v>635</v>
      </c>
      <c r="D58" s="6">
        <v>1735</v>
      </c>
      <c r="E58" s="6">
        <v>1861</v>
      </c>
      <c r="F58" s="6">
        <v>5933</v>
      </c>
    </row>
    <row r="59" spans="1:7">
      <c r="A59" s="108" t="s">
        <v>292</v>
      </c>
      <c r="B59" s="6"/>
      <c r="C59" s="109">
        <f>(C58-B58)/B58</f>
        <v>-2.3655913978494625</v>
      </c>
      <c r="D59" s="109">
        <f t="shared" ref="D59:F59" si="16">(D58-C58)/C58</f>
        <v>1.7322834645669292</v>
      </c>
      <c r="E59" s="109">
        <f t="shared" si="16"/>
        <v>7.2622478386167144E-2</v>
      </c>
      <c r="F59" s="109">
        <f t="shared" si="16"/>
        <v>2.1880709296077376</v>
      </c>
      <c r="G59" s="110">
        <f>AVERAGE(C59:F59)</f>
        <v>0.40684636867784285</v>
      </c>
    </row>
    <row r="60" spans="1:7">
      <c r="A60" s="106" t="s">
        <v>101</v>
      </c>
      <c r="B60" s="6">
        <v>7500</v>
      </c>
      <c r="C60" s="6">
        <v>10376</v>
      </c>
      <c r="D60" s="6">
        <v>15605</v>
      </c>
      <c r="E60" s="6">
        <v>33885</v>
      </c>
      <c r="F60" s="6">
        <v>41493</v>
      </c>
    </row>
    <row r="61" spans="1:7">
      <c r="A61" s="106" t="s">
        <v>102</v>
      </c>
      <c r="B61" s="7">
        <v>17585</v>
      </c>
      <c r="C61" s="7">
        <v>21984</v>
      </c>
      <c r="D61" s="7">
        <v>30737</v>
      </c>
      <c r="E61" s="7">
        <v>55126</v>
      </c>
      <c r="F61" s="7">
        <v>66301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4EDF-0996-4AC8-B821-AC0C8692A0BD}">
  <dimension ref="A2:I59"/>
  <sheetViews>
    <sheetView zoomScale="85" zoomScaleNormal="85" workbookViewId="0">
      <selection activeCell="G9" sqref="G9"/>
    </sheetView>
  </sheetViews>
  <sheetFormatPr defaultRowHeight="14.4"/>
  <cols>
    <col min="1" max="1" width="73.109375" style="92" customWidth="1"/>
    <col min="2" max="2" width="15.5546875" style="92" customWidth="1"/>
    <col min="3" max="5" width="15.21875" style="92" customWidth="1"/>
    <col min="6" max="6" width="17.5546875" style="92" customWidth="1"/>
    <col min="7" max="7" width="14.109375" style="119" customWidth="1"/>
    <col min="8" max="16384" width="8.88671875" style="92"/>
  </cols>
  <sheetData>
    <row r="2" spans="1:7">
      <c r="A2" s="221" t="s">
        <v>113</v>
      </c>
      <c r="F2" s="118" t="s">
        <v>1</v>
      </c>
    </row>
    <row r="3" spans="1:7">
      <c r="A3" s="215"/>
      <c r="B3" s="91" t="s">
        <v>289</v>
      </c>
      <c r="C3" s="91" t="s">
        <v>290</v>
      </c>
      <c r="D3" s="100" t="s">
        <v>114</v>
      </c>
      <c r="E3" s="100" t="s">
        <v>68</v>
      </c>
      <c r="F3" s="100" t="s">
        <v>2</v>
      </c>
      <c r="G3" s="102" t="s">
        <v>291</v>
      </c>
    </row>
    <row r="4" spans="1:7">
      <c r="A4" s="103" t="s">
        <v>115</v>
      </c>
    </row>
    <row r="5" spans="1:7">
      <c r="A5" s="106" t="s">
        <v>116</v>
      </c>
      <c r="B5" s="6">
        <v>8392</v>
      </c>
      <c r="C5" s="120">
        <v>10480</v>
      </c>
      <c r="D5" s="7">
        <v>13282</v>
      </c>
      <c r="E5" s="7">
        <v>17098</v>
      </c>
      <c r="F5" s="7">
        <v>21252</v>
      </c>
    </row>
    <row r="6" spans="1:7">
      <c r="A6" s="108" t="s">
        <v>292</v>
      </c>
      <c r="B6" s="6"/>
      <c r="C6" s="109">
        <f>(C5-B5)/B5</f>
        <v>0.24880838894184937</v>
      </c>
      <c r="D6" s="109">
        <f t="shared" ref="D6:F6" si="0">(D5-C5)/C5</f>
        <v>0.26736641221374047</v>
      </c>
      <c r="E6" s="109">
        <f t="shared" si="0"/>
        <v>0.28730612859509108</v>
      </c>
      <c r="F6" s="109">
        <f t="shared" si="0"/>
        <v>0.24295239209264241</v>
      </c>
      <c r="G6" s="121">
        <f>AVERAGE(C6:F6)</f>
        <v>0.26160833046083082</v>
      </c>
    </row>
    <row r="7" spans="1:7">
      <c r="A7" s="103" t="s">
        <v>117</v>
      </c>
    </row>
    <row r="8" spans="1:7">
      <c r="A8" s="106" t="s">
        <v>118</v>
      </c>
      <c r="B8" s="6">
        <v>2234</v>
      </c>
      <c r="C8" s="6">
        <v>2774</v>
      </c>
      <c r="D8" s="6">
        <v>3451</v>
      </c>
      <c r="E8" s="6">
        <v>4235</v>
      </c>
      <c r="F8" s="6">
        <v>5438</v>
      </c>
    </row>
    <row r="9" spans="1:7">
      <c r="A9" s="108" t="s">
        <v>292</v>
      </c>
      <c r="B9" s="6"/>
      <c r="C9" s="109">
        <f>(C8-B8)/B8</f>
        <v>0.24171888988361684</v>
      </c>
      <c r="D9" s="109">
        <f t="shared" ref="D9:F9" si="1">(D8-C8)/C8</f>
        <v>0.24405191059841383</v>
      </c>
      <c r="E9" s="109">
        <f t="shared" si="1"/>
        <v>0.22718052738336714</v>
      </c>
      <c r="F9" s="109">
        <f t="shared" si="1"/>
        <v>0.28406139315230222</v>
      </c>
      <c r="G9" s="225">
        <f>AVERAGE(C9:F9)</f>
        <v>0.249253180254425</v>
      </c>
    </row>
    <row r="10" spans="1:7">
      <c r="A10" s="103" t="s">
        <v>120</v>
      </c>
      <c r="B10" s="57">
        <v>6158</v>
      </c>
      <c r="C10" s="57">
        <v>7706</v>
      </c>
      <c r="D10" s="57">
        <v>9831</v>
      </c>
      <c r="E10" s="57">
        <v>12863</v>
      </c>
      <c r="F10" s="57">
        <v>15814</v>
      </c>
    </row>
    <row r="11" spans="1:7">
      <c r="A11" s="103" t="s">
        <v>121</v>
      </c>
    </row>
    <row r="12" spans="1:7">
      <c r="A12" s="106" t="s">
        <v>122</v>
      </c>
      <c r="B12" s="6">
        <v>1208</v>
      </c>
      <c r="C12" s="6">
        <v>1553</v>
      </c>
      <c r="D12" s="6">
        <v>1886</v>
      </c>
      <c r="E12" s="6">
        <v>2766</v>
      </c>
      <c r="F12" s="6">
        <v>3598</v>
      </c>
    </row>
    <row r="13" spans="1:7">
      <c r="A13" s="108" t="s">
        <v>292</v>
      </c>
      <c r="B13" s="6"/>
      <c r="C13" s="109">
        <f>(C12-B12)/B12</f>
        <v>0.28559602649006621</v>
      </c>
      <c r="D13" s="109">
        <f t="shared" ref="D13:F13" si="2">(D12-C12)/C12</f>
        <v>0.21442369607211847</v>
      </c>
      <c r="E13" s="109">
        <f t="shared" si="2"/>
        <v>0.46659597030752914</v>
      </c>
      <c r="F13" s="109">
        <f t="shared" si="2"/>
        <v>0.30079537237888648</v>
      </c>
      <c r="G13" s="121">
        <f>AVERAGE(C13:F13)</f>
        <v>0.31685276631215009</v>
      </c>
    </row>
    <row r="14" spans="1:7">
      <c r="A14" s="106" t="s">
        <v>123</v>
      </c>
      <c r="B14" s="6">
        <v>3918</v>
      </c>
      <c r="C14" s="6">
        <v>4829</v>
      </c>
      <c r="D14" s="6">
        <v>6064</v>
      </c>
      <c r="E14" s="6">
        <v>7930</v>
      </c>
      <c r="F14" s="6">
        <v>9674</v>
      </c>
    </row>
    <row r="15" spans="1:7">
      <c r="A15" s="108" t="s">
        <v>292</v>
      </c>
      <c r="B15" s="6"/>
      <c r="C15" s="109">
        <f>(C14-B14)/B14</f>
        <v>0.23251659009698825</v>
      </c>
      <c r="D15" s="109">
        <f t="shared" ref="D15:F15" si="3">(D14-C14)/C14</f>
        <v>0.25574653137295505</v>
      </c>
      <c r="E15" s="109">
        <f t="shared" si="3"/>
        <v>0.30771767810026385</v>
      </c>
      <c r="F15" s="109">
        <f t="shared" si="3"/>
        <v>0.21992433795712485</v>
      </c>
      <c r="G15" s="121">
        <f>AVERAGE(C15:F15)</f>
        <v>0.25397628438183301</v>
      </c>
    </row>
    <row r="16" spans="1:7">
      <c r="A16" s="106" t="s">
        <v>124</v>
      </c>
      <c r="B16" s="6">
        <v>968</v>
      </c>
      <c r="C16" s="6">
        <v>1088</v>
      </c>
      <c r="D16" s="6">
        <v>1346</v>
      </c>
      <c r="E16" s="6">
        <v>1704</v>
      </c>
      <c r="F16" s="6">
        <v>2087</v>
      </c>
    </row>
    <row r="17" spans="1:8">
      <c r="A17" s="108" t="s">
        <v>292</v>
      </c>
      <c r="B17" s="6"/>
      <c r="C17" s="109">
        <f>(C16-B16)/B16</f>
        <v>0.12396694214876033</v>
      </c>
      <c r="D17" s="109">
        <f t="shared" ref="D17:F17" si="4">(D16-C16)/C16</f>
        <v>0.23713235294117646</v>
      </c>
      <c r="E17" s="109">
        <f t="shared" si="4"/>
        <v>0.26597325408618128</v>
      </c>
      <c r="F17" s="109">
        <f t="shared" si="4"/>
        <v>0.22476525821596244</v>
      </c>
      <c r="G17" s="121">
        <f>AVERAGE(C17:F17)</f>
        <v>0.21295945184802012</v>
      </c>
    </row>
    <row r="18" spans="1:8">
      <c r="A18" s="106" t="s">
        <v>125</v>
      </c>
      <c r="B18" s="6">
        <v>0</v>
      </c>
      <c r="C18" s="6">
        <v>0</v>
      </c>
      <c r="D18" s="6">
        <v>0</v>
      </c>
      <c r="E18" s="6">
        <v>166</v>
      </c>
      <c r="F18" s="6">
        <v>0</v>
      </c>
    </row>
    <row r="19" spans="1:8">
      <c r="A19" s="108" t="s">
        <v>292</v>
      </c>
      <c r="B19" s="6"/>
      <c r="C19" s="109"/>
      <c r="D19" s="109"/>
      <c r="E19" s="109"/>
      <c r="F19" s="109"/>
    </row>
    <row r="20" spans="1:8">
      <c r="A20" s="122" t="s">
        <v>126</v>
      </c>
      <c r="B20" s="123">
        <v>6094</v>
      </c>
      <c r="C20" s="123">
        <v>7470</v>
      </c>
      <c r="D20" s="123">
        <v>9296</v>
      </c>
      <c r="E20" s="123">
        <v>12566</v>
      </c>
      <c r="F20" s="123">
        <v>15359</v>
      </c>
    </row>
    <row r="21" spans="1:8">
      <c r="A21" s="106" t="s">
        <v>329</v>
      </c>
      <c r="B21" s="6">
        <v>91</v>
      </c>
      <c r="C21" s="6">
        <v>272</v>
      </c>
      <c r="D21">
        <v>542</v>
      </c>
      <c r="E21">
        <v>427</v>
      </c>
      <c r="F21">
        <v>2170</v>
      </c>
      <c r="G21" s="193">
        <f>AVERAGE(B21:F21)</f>
        <v>700.4</v>
      </c>
      <c r="H21" s="105" t="s">
        <v>330</v>
      </c>
    </row>
    <row r="22" spans="1:8">
      <c r="A22" s="108" t="s">
        <v>292</v>
      </c>
      <c r="B22" s="6"/>
      <c r="C22" s="109">
        <f>(C21-B21)/B21</f>
        <v>1.9890109890109891</v>
      </c>
      <c r="D22" s="109">
        <f t="shared" ref="D22:F22" si="5">(D21-C21)/C21</f>
        <v>0.99264705882352944</v>
      </c>
      <c r="E22" s="109">
        <f t="shared" si="5"/>
        <v>-0.21217712177121772</v>
      </c>
      <c r="F22" s="109">
        <f t="shared" si="5"/>
        <v>4.081967213114754</v>
      </c>
      <c r="G22" s="194">
        <f>AVERAGE(C22:F22)</f>
        <v>1.7128620347945138</v>
      </c>
    </row>
    <row r="23" spans="1:8" ht="15" thickBot="1">
      <c r="A23" s="124" t="s">
        <v>130</v>
      </c>
      <c r="B23" s="6">
        <v>-80</v>
      </c>
      <c r="C23" s="125">
        <v>-70</v>
      </c>
      <c r="D23" s="125">
        <v>-94</v>
      </c>
      <c r="E23" s="125">
        <v>-18</v>
      </c>
      <c r="F23" s="125">
        <v>-64</v>
      </c>
      <c r="G23" s="193">
        <f>AVERAGE(B23:F23)</f>
        <v>-65.2</v>
      </c>
      <c r="H23" s="196" t="s">
        <v>330</v>
      </c>
    </row>
    <row r="24" spans="1:8">
      <c r="A24" s="108" t="s">
        <v>292</v>
      </c>
      <c r="B24" s="126"/>
      <c r="C24" s="109">
        <f>(C23-B23)/B23</f>
        <v>-0.125</v>
      </c>
      <c r="D24" s="109">
        <f t="shared" ref="D24:F24" si="6">(D23-C23)/C23</f>
        <v>0.34285714285714286</v>
      </c>
      <c r="E24" s="109">
        <f t="shared" si="6"/>
        <v>-0.80851063829787229</v>
      </c>
      <c r="F24" s="109">
        <f t="shared" si="6"/>
        <v>2.5555555555555554</v>
      </c>
      <c r="G24" s="195">
        <f>AVERAGE(C24:F24)</f>
        <v>0.49122551502870648</v>
      </c>
    </row>
    <row r="25" spans="1:8">
      <c r="A25" s="106" t="s">
        <v>295</v>
      </c>
      <c r="B25" s="6">
        <v>0</v>
      </c>
      <c r="C25" s="6">
        <v>0</v>
      </c>
      <c r="D25" s="6">
        <v>0</v>
      </c>
      <c r="E25" s="6">
        <v>0</v>
      </c>
      <c r="F25" s="6">
        <v>0</v>
      </c>
    </row>
    <row r="26" spans="1:8" ht="15" thickBot="1">
      <c r="A26" s="108" t="s">
        <v>292</v>
      </c>
      <c r="B26" s="125"/>
      <c r="C26" s="6"/>
      <c r="D26" s="6"/>
      <c r="E26" s="6"/>
      <c r="F26" s="6"/>
    </row>
    <row r="27" spans="1:8">
      <c r="A27" s="127" t="s">
        <v>296</v>
      </c>
      <c r="B27" s="117">
        <v>14</v>
      </c>
      <c r="C27" s="128">
        <v>0</v>
      </c>
      <c r="D27" s="128">
        <v>0</v>
      </c>
      <c r="E27" s="128">
        <v>0</v>
      </c>
      <c r="F27" s="128">
        <v>0</v>
      </c>
    </row>
    <row r="28" spans="1:8">
      <c r="A28" s="108" t="s">
        <v>292</v>
      </c>
      <c r="B28" s="6"/>
      <c r="C28" s="6"/>
      <c r="D28" s="6"/>
      <c r="E28" s="6"/>
      <c r="F28" s="6"/>
    </row>
    <row r="29" spans="1:8">
      <c r="A29" s="106" t="s">
        <v>131</v>
      </c>
      <c r="B29" s="6">
        <v>25</v>
      </c>
      <c r="C29" s="6">
        <v>202</v>
      </c>
      <c r="D29" s="6">
        <v>983</v>
      </c>
      <c r="E29" s="6">
        <v>706</v>
      </c>
      <c r="F29" s="6">
        <v>2561</v>
      </c>
    </row>
    <row r="30" spans="1:8">
      <c r="A30" s="108" t="s">
        <v>292</v>
      </c>
      <c r="B30" s="6"/>
      <c r="C30" s="109">
        <f>(C29-B29)/B29</f>
        <v>7.08</v>
      </c>
      <c r="D30" s="109">
        <f t="shared" ref="D30:F30" si="7">(D29-C29)/C29</f>
        <v>3.8663366336633662</v>
      </c>
      <c r="E30" s="109">
        <f t="shared" si="7"/>
        <v>-0.28179043743641913</v>
      </c>
      <c r="F30" s="109">
        <f t="shared" si="7"/>
        <v>2.6274787535410766</v>
      </c>
      <c r="G30" s="121">
        <f>AVERAGE(C30:F30)</f>
        <v>3.323006237442006</v>
      </c>
    </row>
    <row r="31" spans="1:8" ht="15" thickBot="1">
      <c r="A31" s="129" t="s">
        <v>132</v>
      </c>
      <c r="B31" s="130">
        <v>154</v>
      </c>
      <c r="C31" s="130">
        <v>-75</v>
      </c>
      <c r="D31" s="130">
        <v>127</v>
      </c>
      <c r="E31" s="130">
        <v>-580</v>
      </c>
      <c r="F31" s="130">
        <v>1511</v>
      </c>
      <c r="G31" s="193">
        <f>AVERAGE(B31:F31)</f>
        <v>227.4</v>
      </c>
    </row>
    <row r="32" spans="1:8" ht="15" thickTop="1">
      <c r="A32" s="108" t="s">
        <v>292</v>
      </c>
      <c r="B32" s="6"/>
      <c r="C32" s="109">
        <f>(C31-B31)/B31</f>
        <v>-1.4870129870129871</v>
      </c>
      <c r="D32" s="109">
        <f t="shared" ref="D32:F32" si="8">(D31-C31)/C31</f>
        <v>-2.6933333333333334</v>
      </c>
      <c r="E32" s="109">
        <f t="shared" si="8"/>
        <v>-5.5669291338582676</v>
      </c>
      <c r="F32" s="109">
        <f t="shared" si="8"/>
        <v>-3.6051724137931034</v>
      </c>
      <c r="G32" s="195">
        <f>AVERAGE(C32:F32)</f>
        <v>-3.3381119669994224</v>
      </c>
    </row>
    <row r="33" spans="1:9">
      <c r="A33" s="131" t="s">
        <v>134</v>
      </c>
      <c r="B33" s="132">
        <v>179</v>
      </c>
      <c r="C33" s="132">
        <v>127</v>
      </c>
      <c r="D33" s="132">
        <v>1110</v>
      </c>
      <c r="E33" s="132">
        <v>126</v>
      </c>
      <c r="F33" s="132">
        <v>4072</v>
      </c>
    </row>
    <row r="34" spans="1:9">
      <c r="A34" t="s">
        <v>245</v>
      </c>
      <c r="B34"/>
      <c r="C34"/>
      <c r="D34"/>
      <c r="E34"/>
      <c r="F34"/>
      <c r="G34"/>
      <c r="H34"/>
      <c r="I34"/>
    </row>
    <row r="35" spans="1:9" s="97" customFormat="1">
      <c r="A35" s="108" t="s">
        <v>292</v>
      </c>
    </row>
    <row r="36" spans="1:9">
      <c r="A36" t="s">
        <v>247</v>
      </c>
      <c r="B36"/>
      <c r="C36"/>
      <c r="D36"/>
      <c r="E36"/>
      <c r="F36"/>
      <c r="G36"/>
      <c r="H36"/>
      <c r="I36"/>
    </row>
    <row r="37" spans="1:9" s="97" customFormat="1"/>
    <row r="38" spans="1:9" s="97" customFormat="1">
      <c r="B38" s="96" t="s">
        <v>289</v>
      </c>
      <c r="C38" s="96" t="s">
        <v>290</v>
      </c>
      <c r="D38" s="96" t="s">
        <v>114</v>
      </c>
      <c r="E38" s="96" t="s">
        <v>68</v>
      </c>
      <c r="F38" s="96" t="s">
        <v>2</v>
      </c>
    </row>
    <row r="39" spans="1:9" s="97" customFormat="1">
      <c r="A39" s="3" t="s">
        <v>156</v>
      </c>
    </row>
    <row r="40" spans="1:9" s="97" customFormat="1">
      <c r="A40" s="98" t="s">
        <v>334</v>
      </c>
      <c r="B40" s="132">
        <v>179</v>
      </c>
      <c r="C40" s="132">
        <v>127</v>
      </c>
      <c r="D40" s="132">
        <v>1110</v>
      </c>
      <c r="E40" s="132">
        <v>126</v>
      </c>
      <c r="F40" s="132">
        <v>4072</v>
      </c>
    </row>
    <row r="41" spans="1:9" s="97" customFormat="1" ht="28.8">
      <c r="A41" s="3" t="s">
        <v>335</v>
      </c>
    </row>
    <row r="42" spans="1:9" s="97" customFormat="1">
      <c r="A42" s="98" t="s">
        <v>336</v>
      </c>
      <c r="B42" s="6">
        <v>-43</v>
      </c>
      <c r="C42" s="6">
        <v>52</v>
      </c>
      <c r="D42" s="6">
        <v>-26</v>
      </c>
      <c r="E42" s="6">
        <v>-59</v>
      </c>
      <c r="F42" s="6">
        <v>40</v>
      </c>
      <c r="G42" s="193">
        <f>AVERAGE(B42:F42)</f>
        <v>-7.2</v>
      </c>
    </row>
    <row r="43" spans="1:9" s="97" customFormat="1">
      <c r="A43" s="98" t="s">
        <v>337</v>
      </c>
      <c r="B43" s="6">
        <v>15</v>
      </c>
      <c r="C43" s="6">
        <v>-4</v>
      </c>
      <c r="D43" s="6">
        <v>-12</v>
      </c>
      <c r="E43" s="6">
        <v>26</v>
      </c>
      <c r="F43" s="6">
        <v>15</v>
      </c>
      <c r="G43" s="193">
        <f>AVERAGE(B43:F43)</f>
        <v>8</v>
      </c>
    </row>
    <row r="44" spans="1:9" s="97" customFormat="1">
      <c r="A44" s="98" t="s">
        <v>338</v>
      </c>
      <c r="B44" s="6">
        <v>-29</v>
      </c>
      <c r="C44" s="6">
        <v>48</v>
      </c>
      <c r="D44" s="6">
        <v>-38</v>
      </c>
      <c r="E44" s="6">
        <v>-33</v>
      </c>
      <c r="F44" s="6">
        <v>55</v>
      </c>
      <c r="G44" s="193">
        <f>AVERAGE(B44:F44)</f>
        <v>0.6</v>
      </c>
    </row>
    <row r="45" spans="1:9" s="97" customFormat="1">
      <c r="A45" s="98" t="s">
        <v>161</v>
      </c>
      <c r="B45" s="6">
        <v>3</v>
      </c>
      <c r="C45" s="6">
        <v>1</v>
      </c>
      <c r="D45" s="6">
        <v>-1</v>
      </c>
      <c r="E45" s="6">
        <v>-2</v>
      </c>
      <c r="F45" s="6">
        <v>-4</v>
      </c>
      <c r="G45" s="193">
        <f>AVERAGE(B45:F45)</f>
        <v>-0.6</v>
      </c>
    </row>
    <row r="46" spans="1:9" s="97" customFormat="1">
      <c r="A46" s="98" t="s">
        <v>183</v>
      </c>
      <c r="B46" s="64">
        <v>-26</v>
      </c>
      <c r="C46" s="6">
        <v>49</v>
      </c>
      <c r="D46" s="64">
        <v>-39</v>
      </c>
      <c r="E46" s="64">
        <v>-35</v>
      </c>
      <c r="F46" s="64">
        <v>51</v>
      </c>
      <c r="G46" s="193">
        <f>AVERAGE(B46:F46)</f>
        <v>0</v>
      </c>
    </row>
    <row r="47" spans="1:9" s="97" customFormat="1">
      <c r="A47" s="98" t="s">
        <v>339</v>
      </c>
      <c r="B47" s="15">
        <v>154</v>
      </c>
      <c r="C47" s="15">
        <v>176</v>
      </c>
      <c r="D47" s="15">
        <v>1071</v>
      </c>
      <c r="E47" s="15">
        <v>91</v>
      </c>
      <c r="F47" s="15">
        <v>4123</v>
      </c>
    </row>
    <row r="48" spans="1:9" s="97" customFormat="1">
      <c r="A48" s="98"/>
      <c r="B48" s="7"/>
    </row>
    <row r="49" spans="1:7" s="97" customFormat="1">
      <c r="A49" s="98"/>
      <c r="B49" s="7"/>
    </row>
    <row r="50" spans="1:7">
      <c r="A50" s="99" t="s">
        <v>333</v>
      </c>
    </row>
    <row r="51" spans="1:7">
      <c r="A51" s="106" t="s">
        <v>135</v>
      </c>
      <c r="B51" s="9">
        <v>0.26</v>
      </c>
      <c r="C51" s="9">
        <v>0.18</v>
      </c>
      <c r="D51" s="9">
        <v>1.48</v>
      </c>
      <c r="E51" s="9">
        <v>0.15</v>
      </c>
      <c r="F51" s="9">
        <v>4.4800000000000004</v>
      </c>
    </row>
    <row r="52" spans="1:7" s="97" customFormat="1">
      <c r="A52" s="106"/>
      <c r="B52" s="9"/>
      <c r="C52" s="9"/>
      <c r="D52" s="9"/>
      <c r="E52" s="9"/>
      <c r="F52" s="9"/>
      <c r="G52" s="119"/>
    </row>
    <row r="53" spans="1:7">
      <c r="A53" s="106" t="s">
        <v>136</v>
      </c>
      <c r="B53" s="9">
        <v>0.26</v>
      </c>
      <c r="C53" s="9">
        <v>0.17</v>
      </c>
      <c r="D53" s="9">
        <v>1.43</v>
      </c>
      <c r="E53" s="9">
        <v>0.15</v>
      </c>
      <c r="F53" s="9">
        <v>4.38</v>
      </c>
    </row>
    <row r="54" spans="1:7" s="97" customFormat="1">
      <c r="A54" s="106"/>
      <c r="B54" s="9"/>
      <c r="C54" s="9"/>
      <c r="D54" s="9"/>
      <c r="E54" s="9"/>
      <c r="F54" s="9"/>
      <c r="G54" s="119"/>
    </row>
    <row r="55" spans="1:7">
      <c r="A55" s="106" t="s">
        <v>137</v>
      </c>
      <c r="B55" s="6">
        <v>688</v>
      </c>
      <c r="C55" s="6">
        <v>715</v>
      </c>
      <c r="D55" s="6">
        <v>751</v>
      </c>
      <c r="E55" s="6">
        <v>829</v>
      </c>
      <c r="F55" s="6">
        <v>908</v>
      </c>
    </row>
    <row r="56" spans="1:7" s="97" customFormat="1">
      <c r="A56" s="106"/>
      <c r="B56" s="109"/>
      <c r="C56" s="109">
        <f>(C55-B55)/B55</f>
        <v>3.9244186046511628E-2</v>
      </c>
      <c r="D56" s="109">
        <f>(D55-C55)/C55</f>
        <v>5.0349650349650353E-2</v>
      </c>
      <c r="E56" s="109">
        <f>(E55-D55)/D55</f>
        <v>0.10386151797603196</v>
      </c>
      <c r="F56" s="109">
        <f>(F55-E55)/E55</f>
        <v>9.5295536791314833E-2</v>
      </c>
      <c r="G56" s="121">
        <f>AVERAGE(C56:F56)</f>
        <v>7.2187722790877193E-2</v>
      </c>
    </row>
    <row r="57" spans="1:7">
      <c r="A57" s="106" t="s">
        <v>138</v>
      </c>
      <c r="B57" s="6">
        <v>700</v>
      </c>
      <c r="C57" s="6">
        <v>735</v>
      </c>
      <c r="D57" s="6">
        <v>775</v>
      </c>
      <c r="E57" s="6">
        <v>850</v>
      </c>
      <c r="F57" s="6">
        <v>930</v>
      </c>
    </row>
    <row r="58" spans="1:7">
      <c r="C58" s="109">
        <f>(C57-B57)/B57</f>
        <v>0.05</v>
      </c>
      <c r="D58" s="109">
        <f>(D57-C57)/C57</f>
        <v>5.4421768707482991E-2</v>
      </c>
      <c r="E58" s="109">
        <f>(E57-D57)/D57</f>
        <v>9.6774193548387094E-2</v>
      </c>
      <c r="F58" s="109">
        <f>(F57-E57)/E57</f>
        <v>9.4117647058823528E-2</v>
      </c>
      <c r="G58" s="121">
        <f>AVERAGE(C58:F58)</f>
        <v>7.3828402328673409E-2</v>
      </c>
    </row>
    <row r="59" spans="1:7">
      <c r="A59" s="106" t="s">
        <v>340</v>
      </c>
      <c r="C59" s="109"/>
    </row>
  </sheetData>
  <mergeCells count="1">
    <mergeCell ref="A2:A3"/>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22D4-5D66-48A0-BA03-3F0718C35F91}">
  <sheetPr>
    <outlinePr summaryBelow="0" summaryRight="0"/>
  </sheetPr>
  <dimension ref="A1:Z1010"/>
  <sheetViews>
    <sheetView tabSelected="1" zoomScale="85" zoomScaleNormal="85" workbookViewId="0">
      <selection activeCell="I10" sqref="I10"/>
    </sheetView>
  </sheetViews>
  <sheetFormatPr defaultColWidth="14" defaultRowHeight="15" customHeight="1"/>
  <cols>
    <col min="1" max="1" width="42.77734375" style="155" customWidth="1"/>
    <col min="2" max="7" width="14" style="155"/>
    <col min="8" max="9" width="18.33203125" style="155" customWidth="1"/>
    <col min="10" max="16384" width="14" style="155"/>
  </cols>
  <sheetData>
    <row r="1" spans="1:26" ht="14.4">
      <c r="A1" s="154"/>
      <c r="B1" s="154"/>
      <c r="C1" s="154">
        <v>1</v>
      </c>
      <c r="D1" s="154">
        <v>2</v>
      </c>
      <c r="E1" s="154">
        <v>3</v>
      </c>
      <c r="F1" s="154">
        <v>4</v>
      </c>
      <c r="G1" s="154">
        <v>5</v>
      </c>
      <c r="H1" s="154"/>
      <c r="I1" s="154"/>
      <c r="J1" s="154"/>
      <c r="K1" s="154"/>
      <c r="L1" s="154"/>
      <c r="M1" s="154"/>
      <c r="N1" s="154"/>
      <c r="O1" s="154"/>
      <c r="P1" s="154"/>
      <c r="Q1" s="154"/>
      <c r="R1" s="154"/>
      <c r="S1" s="154"/>
      <c r="T1" s="154"/>
      <c r="U1" s="154"/>
      <c r="V1" s="154"/>
      <c r="W1" s="154"/>
      <c r="X1" s="154"/>
      <c r="Y1" s="154"/>
    </row>
    <row r="2" spans="1:26" ht="14.4">
      <c r="A2" s="154"/>
      <c r="B2" s="208">
        <v>2021</v>
      </c>
      <c r="C2" s="208">
        <v>2022</v>
      </c>
      <c r="D2" s="208">
        <v>2023</v>
      </c>
      <c r="E2" s="208">
        <v>2024</v>
      </c>
      <c r="F2" s="208">
        <v>2025</v>
      </c>
      <c r="G2" s="208">
        <v>2026</v>
      </c>
      <c r="H2" s="154"/>
      <c r="I2" s="154"/>
      <c r="J2" s="154"/>
      <c r="K2" s="154"/>
      <c r="L2" s="154"/>
      <c r="M2" s="154"/>
      <c r="N2" s="154"/>
      <c r="O2" s="154"/>
      <c r="P2" s="154"/>
      <c r="Q2" s="154"/>
      <c r="R2" s="154"/>
      <c r="S2" s="154"/>
      <c r="T2" s="154"/>
      <c r="U2" s="154"/>
      <c r="V2" s="154"/>
      <c r="W2" s="154"/>
      <c r="X2" s="154"/>
      <c r="Y2" s="154"/>
    </row>
    <row r="3" spans="1:26" ht="14.4">
      <c r="A3" s="154" t="s">
        <v>299</v>
      </c>
      <c r="B3" s="156">
        <f>'Forecast Balance Sheet'!D33</f>
        <v>41493</v>
      </c>
      <c r="C3" s="156">
        <f>'Forecast Balance Sheet'!E33</f>
        <v>66635.514171061601</v>
      </c>
      <c r="D3" s="156">
        <f>'Forecast Balance Sheet'!F33</f>
        <v>108725.81953989669</v>
      </c>
      <c r="E3" s="156">
        <f>'Forecast Balance Sheet'!G33</f>
        <v>180338.80551208043</v>
      </c>
      <c r="F3" s="156">
        <f>'Forecast Balance Sheet'!H33</f>
        <v>304297.94433405565</v>
      </c>
      <c r="G3" s="156">
        <f>'Forecast Balance Sheet'!I33</f>
        <v>522653.59892473731</v>
      </c>
      <c r="H3" s="155" t="s">
        <v>300</v>
      </c>
      <c r="I3" s="157">
        <v>0.215</v>
      </c>
      <c r="J3" s="154"/>
      <c r="K3" s="154"/>
      <c r="L3" s="154"/>
      <c r="M3" s="154"/>
      <c r="N3" s="154"/>
      <c r="O3" s="154"/>
      <c r="P3" s="154"/>
      <c r="Q3" s="154"/>
      <c r="R3" s="154"/>
      <c r="S3" s="154"/>
      <c r="T3" s="154"/>
      <c r="U3" s="154"/>
      <c r="V3" s="154"/>
      <c r="W3" s="154"/>
      <c r="X3" s="154"/>
      <c r="Y3" s="154"/>
    </row>
    <row r="4" spans="1:26" ht="14.4">
      <c r="A4" s="154" t="s">
        <v>301</v>
      </c>
      <c r="B4" s="154"/>
      <c r="C4" s="158">
        <f>'Forecast Income Statement'!F18</f>
        <v>1480.4122404222283</v>
      </c>
      <c r="D4" s="158">
        <f>'Forecast Income Statement'!G18</f>
        <v>1679.957009392582</v>
      </c>
      <c r="E4" s="158">
        <f>'Forecast Income Statement'!H18</f>
        <v>1919.4294549027402</v>
      </c>
      <c r="F4" s="158">
        <f>'Forecast Income Statement'!I18</f>
        <v>2199.7681824243605</v>
      </c>
      <c r="G4" s="158">
        <f>'Forecast Income Statement'!J18</f>
        <v>2517.8368215930841</v>
      </c>
      <c r="H4" s="155" t="s">
        <v>302</v>
      </c>
      <c r="I4" s="203">
        <f>'OperationStat Rate Projection'!F57</f>
        <v>930</v>
      </c>
      <c r="J4" s="154"/>
      <c r="K4" s="154"/>
      <c r="L4" s="154"/>
      <c r="M4" s="154"/>
      <c r="N4" s="154"/>
      <c r="O4" s="154"/>
      <c r="P4" s="154"/>
      <c r="Q4" s="154"/>
      <c r="R4" s="154"/>
      <c r="S4" s="154"/>
      <c r="T4" s="154"/>
      <c r="U4" s="154"/>
      <c r="V4" s="154"/>
      <c r="W4" s="154"/>
      <c r="X4" s="154"/>
      <c r="Y4" s="154"/>
    </row>
    <row r="5" spans="1:26" ht="14.4">
      <c r="A5" s="154" t="s">
        <v>303</v>
      </c>
      <c r="B5" s="154"/>
      <c r="C5" s="205">
        <f>B3*$I$9</f>
        <v>3292.4695500000003</v>
      </c>
      <c r="D5" s="205">
        <f t="shared" ref="D5:G5" si="0">C3*$I$9</f>
        <v>5287.5280494737381</v>
      </c>
      <c r="E5" s="205">
        <f t="shared" si="0"/>
        <v>8627.3937804908037</v>
      </c>
      <c r="F5" s="205">
        <f t="shared" si="0"/>
        <v>14309.884217383584</v>
      </c>
      <c r="G5" s="205">
        <f t="shared" si="0"/>
        <v>24146.041882907317</v>
      </c>
      <c r="H5" s="155" t="s">
        <v>304</v>
      </c>
      <c r="I5" s="159">
        <v>2.5000000000000001E-2</v>
      </c>
      <c r="J5" s="154"/>
      <c r="K5" s="154"/>
      <c r="L5" s="154"/>
      <c r="M5" s="154"/>
      <c r="N5" s="154"/>
      <c r="O5" s="154"/>
      <c r="P5" s="154"/>
      <c r="Q5" s="154"/>
      <c r="R5" s="154"/>
      <c r="S5" s="154"/>
      <c r="T5" s="154"/>
      <c r="U5" s="154"/>
      <c r="V5" s="154"/>
      <c r="W5" s="154"/>
      <c r="X5" s="154"/>
      <c r="Y5" s="154"/>
    </row>
    <row r="6" spans="1:26" ht="14.4">
      <c r="A6" s="154" t="s">
        <v>305</v>
      </c>
      <c r="B6" s="154"/>
      <c r="C6" s="158">
        <f>C4-C5</f>
        <v>-1812.057309577772</v>
      </c>
      <c r="D6" s="158">
        <f t="shared" ref="D6:G6" si="1">D4-D5</f>
        <v>-3607.5710400811558</v>
      </c>
      <c r="E6" s="158">
        <f t="shared" si="1"/>
        <v>-6707.9643255880637</v>
      </c>
      <c r="F6" s="158">
        <f t="shared" si="1"/>
        <v>-12110.116034959223</v>
      </c>
      <c r="G6" s="158">
        <f t="shared" si="1"/>
        <v>-21628.205061314235</v>
      </c>
      <c r="H6" s="155" t="s">
        <v>306</v>
      </c>
      <c r="I6" s="154">
        <v>1.0900000000000001</v>
      </c>
      <c r="J6" s="204" t="s">
        <v>143</v>
      </c>
      <c r="K6" s="154"/>
      <c r="L6" s="154"/>
      <c r="M6" s="154"/>
      <c r="N6" s="154"/>
      <c r="O6" s="154"/>
      <c r="P6" s="154"/>
      <c r="Q6" s="154"/>
      <c r="R6" s="154"/>
      <c r="S6" s="154"/>
      <c r="T6" s="154"/>
      <c r="U6" s="154"/>
      <c r="V6" s="154"/>
      <c r="W6" s="154"/>
      <c r="X6" s="154"/>
      <c r="Y6" s="154"/>
    </row>
    <row r="7" spans="1:26" ht="14.4">
      <c r="A7" s="154" t="s">
        <v>307</v>
      </c>
      <c r="B7" s="154"/>
      <c r="C7" s="158">
        <f>-C6/(1+$I$9)</f>
        <v>1678.8412559204817</v>
      </c>
      <c r="D7" s="158">
        <f t="shared" ref="D7:G7" si="2">-D6/(1+$I$9)</f>
        <v>3342.3551582722525</v>
      </c>
      <c r="E7" s="158">
        <f t="shared" si="2"/>
        <v>6214.8184792588718</v>
      </c>
      <c r="F7" s="158">
        <f t="shared" si="2"/>
        <v>11219.823074034579</v>
      </c>
      <c r="G7" s="158">
        <f t="shared" si="2"/>
        <v>20038.175810732602</v>
      </c>
      <c r="H7" s="155" t="s">
        <v>308</v>
      </c>
      <c r="I7" s="159">
        <v>1.9400000000000001E-2</v>
      </c>
      <c r="J7" s="154"/>
      <c r="K7" s="154"/>
      <c r="L7" s="154"/>
      <c r="M7" s="154"/>
      <c r="N7" s="154"/>
      <c r="O7" s="154"/>
      <c r="P7" s="154"/>
      <c r="Q7" s="154"/>
      <c r="R7" s="154"/>
      <c r="S7" s="154"/>
      <c r="T7" s="154"/>
      <c r="U7" s="154"/>
      <c r="V7" s="154"/>
      <c r="W7" s="154"/>
      <c r="X7" s="154"/>
      <c r="Y7" s="154"/>
    </row>
    <row r="8" spans="1:26" ht="14.4">
      <c r="A8" s="154" t="s">
        <v>309</v>
      </c>
      <c r="B8" s="154"/>
      <c r="C8" s="160">
        <f>SUM(C7:G7)</f>
        <v>42494.013778218789</v>
      </c>
      <c r="D8" s="161"/>
      <c r="E8" s="161"/>
      <c r="F8" s="161"/>
      <c r="G8" s="161"/>
      <c r="H8" s="155" t="s">
        <v>310</v>
      </c>
      <c r="I8" s="159">
        <v>5.5E-2</v>
      </c>
      <c r="J8" s="154"/>
      <c r="K8" s="154"/>
      <c r="L8" s="154"/>
      <c r="M8" s="154"/>
      <c r="N8" s="154"/>
      <c r="O8" s="154"/>
      <c r="P8" s="154"/>
      <c r="Q8" s="154"/>
      <c r="R8" s="154"/>
      <c r="S8" s="154"/>
      <c r="T8" s="154"/>
      <c r="U8" s="154"/>
      <c r="V8" s="154"/>
      <c r="W8" s="154"/>
      <c r="X8" s="154"/>
      <c r="Y8" s="154"/>
    </row>
    <row r="9" spans="1:26" ht="14.4">
      <c r="A9" s="154" t="s">
        <v>311</v>
      </c>
      <c r="B9" s="154"/>
      <c r="C9" s="160">
        <f>-(G4*(1+I5)-I9*'Forecast Balance Sheet'!I33)</f>
        <v>38891.780332544993</v>
      </c>
      <c r="D9" s="161"/>
      <c r="E9" s="161"/>
      <c r="F9" s="161"/>
      <c r="G9" s="161"/>
      <c r="H9" s="162" t="s">
        <v>312</v>
      </c>
      <c r="I9" s="163">
        <f>I7+I6*I8</f>
        <v>7.9350000000000004E-2</v>
      </c>
      <c r="J9" s="154"/>
      <c r="K9" s="154"/>
      <c r="L9" s="154"/>
      <c r="M9" s="154"/>
      <c r="N9" s="154"/>
      <c r="O9" s="154"/>
      <c r="P9" s="154"/>
      <c r="Q9" s="154"/>
      <c r="R9" s="154"/>
      <c r="S9" s="154"/>
      <c r="T9" s="154"/>
      <c r="U9" s="154"/>
      <c r="V9" s="154"/>
      <c r="W9" s="154"/>
      <c r="X9" s="154"/>
      <c r="Y9" s="154"/>
    </row>
    <row r="10" spans="1:26" ht="14.4">
      <c r="A10" s="154" t="s">
        <v>313</v>
      </c>
      <c r="B10" s="154"/>
      <c r="C10" s="160">
        <f>C9/(I9-I5)</f>
        <v>715580.13491343125</v>
      </c>
      <c r="D10" s="161"/>
      <c r="E10" s="161"/>
      <c r="F10" s="161"/>
      <c r="G10" s="161"/>
      <c r="H10" s="154"/>
      <c r="I10" s="154"/>
      <c r="J10" s="154"/>
      <c r="K10" s="154"/>
      <c r="L10" s="154"/>
      <c r="M10" s="154"/>
      <c r="N10" s="154"/>
      <c r="O10" s="154"/>
      <c r="P10" s="154"/>
      <c r="Q10" s="154"/>
      <c r="R10" s="154"/>
      <c r="S10" s="154"/>
      <c r="T10" s="154"/>
      <c r="U10" s="154"/>
      <c r="V10" s="154"/>
      <c r="W10" s="154"/>
      <c r="X10" s="154"/>
      <c r="Y10" s="154"/>
    </row>
    <row r="11" spans="1:26" ht="14.4">
      <c r="A11" s="154" t="s">
        <v>314</v>
      </c>
      <c r="B11" s="154"/>
      <c r="C11" s="160">
        <f>C10/(1+I9)^G1</f>
        <v>488480.01061282202</v>
      </c>
      <c r="D11" s="161"/>
      <c r="E11" s="161"/>
      <c r="F11" s="161"/>
      <c r="G11" s="161"/>
      <c r="H11" s="154"/>
      <c r="I11" s="154"/>
      <c r="J11" s="154"/>
      <c r="K11" s="154"/>
      <c r="L11" s="154"/>
      <c r="M11" s="154"/>
      <c r="N11" s="154"/>
      <c r="O11" s="154"/>
      <c r="P11" s="154"/>
      <c r="Q11" s="154"/>
      <c r="R11" s="154"/>
      <c r="S11" s="154"/>
      <c r="T11" s="154"/>
      <c r="U11" s="154"/>
      <c r="V11" s="154"/>
      <c r="W11" s="154"/>
      <c r="X11" s="154"/>
      <c r="Y11" s="154"/>
    </row>
    <row r="12" spans="1:26" ht="14.4">
      <c r="A12" s="154" t="s">
        <v>315</v>
      </c>
      <c r="B12" s="154"/>
      <c r="C12" s="160">
        <f>C8+C11</f>
        <v>530974.02439104079</v>
      </c>
      <c r="D12" s="161"/>
      <c r="E12" s="161"/>
      <c r="F12" s="161"/>
      <c r="G12" s="161"/>
      <c r="H12" s="154"/>
      <c r="I12" s="154"/>
      <c r="J12" s="154"/>
      <c r="K12" s="154"/>
      <c r="L12" s="154"/>
      <c r="M12" s="154"/>
      <c r="N12" s="154"/>
      <c r="O12" s="154"/>
      <c r="P12" s="154"/>
      <c r="Q12" s="154"/>
      <c r="R12" s="154"/>
      <c r="S12" s="154"/>
      <c r="T12" s="154"/>
      <c r="U12" s="154"/>
      <c r="V12" s="154"/>
      <c r="W12" s="154"/>
      <c r="X12" s="154"/>
      <c r="Y12" s="154"/>
    </row>
    <row r="13" spans="1:26" ht="14.4">
      <c r="A13" s="154" t="s">
        <v>316</v>
      </c>
      <c r="B13" s="154"/>
      <c r="C13" s="160">
        <f>C12*(1+I9/2)</f>
        <v>552040.41880875523</v>
      </c>
      <c r="D13" s="161"/>
      <c r="E13" s="161"/>
      <c r="F13" s="161"/>
      <c r="G13" s="161"/>
      <c r="H13" s="154"/>
      <c r="I13" s="154"/>
      <c r="J13" s="154"/>
      <c r="K13" s="154"/>
      <c r="L13" s="154"/>
      <c r="M13" s="154"/>
      <c r="N13" s="154"/>
      <c r="O13" s="154"/>
      <c r="P13" s="154"/>
      <c r="Q13" s="154"/>
      <c r="R13" s="154"/>
      <c r="S13" s="154"/>
      <c r="T13" s="154"/>
      <c r="U13" s="154"/>
      <c r="V13" s="154"/>
      <c r="W13" s="154"/>
      <c r="X13" s="154"/>
      <c r="Y13" s="154"/>
    </row>
    <row r="14" spans="1:26" ht="14.4">
      <c r="A14" s="206" t="s">
        <v>288</v>
      </c>
      <c r="B14" s="206"/>
      <c r="C14" s="207">
        <f>C13/I4</f>
        <v>593.59184818145729</v>
      </c>
      <c r="D14" s="154"/>
      <c r="E14" s="154"/>
      <c r="F14" s="154"/>
      <c r="G14" s="154"/>
      <c r="H14" s="154"/>
      <c r="I14" s="154"/>
      <c r="J14" s="154"/>
      <c r="K14" s="154"/>
      <c r="L14" s="154"/>
      <c r="M14" s="154"/>
      <c r="N14" s="154"/>
      <c r="O14" s="154"/>
      <c r="P14" s="154"/>
      <c r="Q14" s="154"/>
      <c r="R14" s="154"/>
      <c r="S14" s="154"/>
      <c r="T14" s="154"/>
      <c r="U14" s="154"/>
      <c r="V14" s="154"/>
      <c r="W14" s="154"/>
      <c r="X14" s="154"/>
      <c r="Y14" s="154"/>
    </row>
    <row r="15" spans="1:26" ht="14.4">
      <c r="A15" s="154"/>
      <c r="B15" s="154"/>
      <c r="C15" s="154"/>
      <c r="D15" s="154"/>
      <c r="E15" s="154"/>
      <c r="F15" s="154"/>
      <c r="G15" s="154"/>
      <c r="H15" s="154"/>
      <c r="I15" s="154"/>
      <c r="J15" s="154"/>
      <c r="K15" s="154"/>
      <c r="L15" s="154"/>
      <c r="M15" s="154"/>
      <c r="N15" s="154"/>
      <c r="O15" s="154"/>
      <c r="P15" s="154"/>
      <c r="Q15" s="154"/>
      <c r="R15" s="154"/>
      <c r="S15" s="154"/>
      <c r="T15" s="154"/>
      <c r="U15" s="154"/>
      <c r="V15" s="154"/>
      <c r="W15" s="154"/>
      <c r="X15" s="154"/>
      <c r="Y15" s="154"/>
      <c r="Z15" s="154"/>
    </row>
    <row r="16" spans="1:26" ht="14.4">
      <c r="A16" s="210" t="s">
        <v>317</v>
      </c>
      <c r="B16" s="210">
        <v>2017</v>
      </c>
      <c r="C16" s="210">
        <v>2018</v>
      </c>
      <c r="D16" s="210">
        <v>2019</v>
      </c>
      <c r="E16" s="210">
        <v>2020</v>
      </c>
      <c r="F16" s="210">
        <v>2021</v>
      </c>
      <c r="G16" s="154"/>
      <c r="H16" s="154"/>
      <c r="I16" s="154"/>
      <c r="J16" s="154"/>
      <c r="K16" s="154"/>
      <c r="L16" s="154"/>
      <c r="M16" s="154"/>
      <c r="N16" s="154"/>
      <c r="O16" s="154"/>
      <c r="P16" s="154"/>
      <c r="Q16" s="154"/>
      <c r="R16" s="154"/>
      <c r="S16" s="154"/>
      <c r="T16" s="154"/>
      <c r="U16" s="154"/>
      <c r="V16" s="154"/>
      <c r="W16" s="154"/>
      <c r="X16" s="154"/>
      <c r="Y16" s="154"/>
      <c r="Z16" s="154"/>
    </row>
    <row r="17" spans="1:26" ht="15" customHeight="1">
      <c r="A17" s="164" t="s">
        <v>318</v>
      </c>
      <c r="B17" s="165">
        <v>708</v>
      </c>
      <c r="C17" s="165">
        <v>730</v>
      </c>
      <c r="D17" s="165">
        <v>770</v>
      </c>
      <c r="E17" s="166">
        <v>893</v>
      </c>
      <c r="F17" s="165">
        <v>919</v>
      </c>
      <c r="G17" s="167"/>
      <c r="H17" s="168"/>
      <c r="I17" s="154"/>
      <c r="J17" s="154"/>
      <c r="K17" s="154"/>
      <c r="L17" s="154"/>
      <c r="M17" s="154"/>
      <c r="N17" s="154"/>
      <c r="O17" s="154"/>
      <c r="P17" s="154"/>
      <c r="Q17" s="154"/>
      <c r="R17" s="154"/>
      <c r="S17" s="154"/>
      <c r="T17" s="154"/>
      <c r="U17" s="154"/>
      <c r="V17" s="154"/>
      <c r="W17" s="154"/>
      <c r="X17" s="154"/>
      <c r="Y17" s="154"/>
      <c r="Z17" s="154"/>
    </row>
    <row r="18" spans="1:26" ht="15" customHeight="1">
      <c r="A18" s="164"/>
      <c r="B18" s="169"/>
      <c r="C18" s="169"/>
      <c r="D18" s="169"/>
      <c r="E18" s="169"/>
      <c r="F18" s="169"/>
      <c r="G18" s="167"/>
      <c r="H18" s="168"/>
      <c r="I18" s="154"/>
      <c r="J18" s="154"/>
      <c r="K18" s="154"/>
      <c r="L18" s="154"/>
      <c r="M18" s="154"/>
      <c r="N18" s="154"/>
      <c r="O18" s="154"/>
      <c r="P18" s="154"/>
      <c r="Q18" s="154"/>
      <c r="R18" s="154"/>
      <c r="S18" s="154"/>
      <c r="T18" s="154"/>
      <c r="U18" s="154"/>
      <c r="V18" s="154"/>
      <c r="W18" s="154"/>
      <c r="X18" s="154"/>
      <c r="Y18" s="154"/>
      <c r="Z18" s="154"/>
    </row>
    <row r="19" spans="1:26" ht="15" customHeight="1">
      <c r="A19" s="164" t="s">
        <v>319</v>
      </c>
      <c r="B19" s="169"/>
      <c r="C19" s="169"/>
      <c r="D19" s="169"/>
      <c r="E19" s="169"/>
      <c r="F19" s="169"/>
      <c r="G19" s="167"/>
      <c r="H19" s="168"/>
      <c r="I19" s="154"/>
      <c r="J19" s="154"/>
      <c r="K19" s="154"/>
      <c r="L19" s="154"/>
      <c r="M19" s="154"/>
      <c r="N19" s="154"/>
      <c r="O19" s="154"/>
      <c r="P19" s="154"/>
      <c r="Q19" s="154"/>
      <c r="R19" s="154"/>
      <c r="S19" s="154"/>
      <c r="T19" s="154"/>
      <c r="U19" s="154"/>
      <c r="V19" s="154"/>
      <c r="W19" s="154"/>
      <c r="X19" s="154"/>
      <c r="Y19" s="154"/>
      <c r="Z19" s="154"/>
    </row>
    <row r="20" spans="1:26" ht="15" customHeight="1">
      <c r="A20" s="164" t="s">
        <v>320</v>
      </c>
      <c r="B20" s="169">
        <f>'OperationStat Rate Projection'!B33/Valuation!B17</f>
        <v>0.25282485875706212</v>
      </c>
      <c r="C20" s="169">
        <f>'OperationStat Rate Projection'!C33/Valuation!C17</f>
        <v>0.17397260273972603</v>
      </c>
      <c r="D20" s="169">
        <f>'OperationStat Rate Projection'!D33/Valuation!D17</f>
        <v>1.4415584415584415</v>
      </c>
      <c r="E20" s="169">
        <f>'OperationStat Rate Projection'!E33/Valuation!E17</f>
        <v>0.14109742441209405</v>
      </c>
      <c r="F20" s="169">
        <f>'OperationStat Rate Projection'!F33/Valuation!F17</f>
        <v>4.4309031556039171</v>
      </c>
      <c r="G20" s="167"/>
      <c r="H20" s="168"/>
      <c r="I20" s="154"/>
      <c r="J20" s="154"/>
      <c r="K20" s="154"/>
      <c r="L20" s="154"/>
      <c r="M20" s="154"/>
      <c r="N20" s="154"/>
      <c r="O20" s="154"/>
      <c r="P20" s="154"/>
      <c r="Q20" s="154"/>
      <c r="R20" s="154"/>
      <c r="S20" s="154"/>
      <c r="T20" s="154"/>
      <c r="U20" s="154"/>
      <c r="V20" s="154"/>
      <c r="W20" s="154"/>
      <c r="X20" s="154"/>
      <c r="Y20" s="154"/>
      <c r="Z20" s="154"/>
    </row>
    <row r="21" spans="1:26" ht="15" customHeight="1">
      <c r="A21" s="164" t="s">
        <v>321</v>
      </c>
      <c r="B21" s="169"/>
      <c r="C21" s="169"/>
      <c r="D21" s="169"/>
      <c r="E21" s="169"/>
      <c r="F21" s="169"/>
      <c r="G21" s="167"/>
      <c r="H21" s="168"/>
      <c r="I21" s="154"/>
      <c r="J21" s="154"/>
      <c r="K21" s="154"/>
      <c r="L21" s="154"/>
      <c r="M21" s="154"/>
      <c r="N21" s="154"/>
      <c r="O21" s="154"/>
      <c r="P21" s="154"/>
      <c r="Q21" s="154"/>
      <c r="R21" s="154"/>
      <c r="S21" s="154"/>
      <c r="T21" s="154"/>
      <c r="U21" s="154"/>
      <c r="V21" s="154"/>
      <c r="W21" s="154"/>
      <c r="X21" s="154"/>
      <c r="Y21" s="154"/>
      <c r="Z21" s="154"/>
    </row>
    <row r="22" spans="1:26" ht="15" customHeight="1">
      <c r="A22" s="164" t="s">
        <v>322</v>
      </c>
      <c r="B22" s="169"/>
      <c r="C22" s="169">
        <f>(('OperationStat Rate Projection'!B33+(1-Valuation!$I$3)*-'OperationStat Rate Projection'!B23))/(AVERAGE('BalanceStat Rate Projection'!B34:C34))</f>
        <v>1.2221688695696127E-2</v>
      </c>
      <c r="D22" s="169">
        <f>(('OperationStat Rate Projection'!C33+(1-Valuation!$I$3)*-'OperationStat Rate Projection'!C23))/(AVERAGE('BalanceStat Rate Projection'!C34:D34))</f>
        <v>6.9023728684964245E-3</v>
      </c>
      <c r="E22" s="169">
        <f>(('OperationStat Rate Projection'!D33+(1-Valuation!$I$3)*-'OperationStat Rate Projection'!D23))/(AVERAGE('BalanceStat Rate Projection'!D34:E34))</f>
        <v>2.7573925905221106E-2</v>
      </c>
      <c r="F22" s="169">
        <f>(('OperationStat Rate Projection'!E33+(1-Valuation!$I$3)*-'OperationStat Rate Projection'!E23))/(AVERAGE('BalanceStat Rate Projection'!E34:F34))</f>
        <v>2.308053398338096E-3</v>
      </c>
      <c r="G22" s="167"/>
      <c r="H22" s="168"/>
      <c r="I22" s="154"/>
      <c r="J22" s="154"/>
      <c r="K22" s="154"/>
      <c r="L22" s="154"/>
      <c r="M22" s="154"/>
      <c r="N22" s="154"/>
      <c r="O22" s="154"/>
      <c r="P22" s="154"/>
      <c r="Q22" s="154"/>
      <c r="R22" s="154"/>
      <c r="S22" s="154"/>
      <c r="T22" s="154"/>
      <c r="U22" s="154"/>
      <c r="V22" s="154"/>
      <c r="W22" s="154"/>
      <c r="X22" s="154"/>
      <c r="Y22" s="154"/>
      <c r="Z22" s="154"/>
    </row>
    <row r="23" spans="1:26" ht="15" customHeight="1">
      <c r="A23" s="164" t="s">
        <v>323</v>
      </c>
      <c r="B23" s="169"/>
      <c r="C23" s="169">
        <f>2*'OperationStat Rate Projection'!C33/('BalanceStat Rate Projection'!B34+'BalanceStat Rate Projection'!C34)</f>
        <v>6.4191665192448637E-3</v>
      </c>
      <c r="D23" s="169">
        <f>2*'OperationStat Rate Projection'!D33/('BalanceStat Rate Projection'!C34+'BalanceStat Rate Projection'!D34)</f>
        <v>4.2108457730316191E-2</v>
      </c>
      <c r="E23" s="169">
        <f>2*'OperationStat Rate Projection'!E33/('BalanceStat Rate Projection'!D34+'BalanceStat Rate Projection'!E34)</f>
        <v>2.9349079347332379E-3</v>
      </c>
      <c r="F23" s="169">
        <f>2*'OperationStat Rate Projection'!F33/('BalanceStat Rate Projection'!E34+'BalanceStat Rate Projection'!F34)</f>
        <v>6.7069103247218487E-2</v>
      </c>
      <c r="G23" s="169"/>
      <c r="H23" s="168"/>
      <c r="I23" s="154"/>
      <c r="J23" s="154"/>
      <c r="K23" s="154"/>
      <c r="L23" s="154"/>
      <c r="M23" s="154"/>
      <c r="N23" s="154"/>
      <c r="O23" s="154"/>
      <c r="P23" s="154"/>
      <c r="Q23" s="154"/>
      <c r="R23" s="154"/>
      <c r="S23" s="154"/>
      <c r="T23" s="154"/>
      <c r="U23" s="154"/>
      <c r="V23" s="154"/>
      <c r="W23" s="154"/>
      <c r="X23" s="154"/>
      <c r="Y23" s="154"/>
      <c r="Z23" s="154"/>
    </row>
    <row r="24" spans="1:26" ht="14.4">
      <c r="B24" s="169"/>
      <c r="C24" s="169"/>
      <c r="D24" s="169"/>
      <c r="E24" s="169"/>
      <c r="F24" s="169"/>
      <c r="G24" s="170"/>
      <c r="H24" s="168"/>
      <c r="I24" s="154"/>
      <c r="J24" s="154"/>
      <c r="K24" s="154"/>
      <c r="L24" s="154"/>
      <c r="M24" s="154"/>
      <c r="N24" s="154"/>
      <c r="O24" s="154"/>
      <c r="P24" s="154"/>
      <c r="Q24" s="154"/>
      <c r="R24" s="154"/>
      <c r="S24" s="154"/>
      <c r="T24" s="154"/>
      <c r="U24" s="154"/>
      <c r="V24" s="154"/>
      <c r="W24" s="154"/>
      <c r="X24" s="154"/>
      <c r="Y24" s="154"/>
      <c r="Z24" s="154"/>
    </row>
    <row r="25" spans="1:26" ht="14.4">
      <c r="A25" s="164" t="s">
        <v>324</v>
      </c>
      <c r="B25" s="171"/>
      <c r="C25" s="171"/>
      <c r="D25" s="171"/>
      <c r="E25" s="171"/>
      <c r="F25" s="171"/>
      <c r="G25" s="170"/>
      <c r="H25" s="168"/>
      <c r="I25" s="154"/>
      <c r="J25" s="154"/>
      <c r="K25" s="154"/>
      <c r="L25" s="154"/>
      <c r="M25" s="154"/>
      <c r="N25" s="154"/>
      <c r="O25" s="154"/>
      <c r="P25" s="154"/>
      <c r="Q25" s="154"/>
      <c r="R25" s="154"/>
      <c r="S25" s="154"/>
      <c r="T25" s="154"/>
      <c r="U25" s="154"/>
      <c r="V25" s="154"/>
      <c r="W25" s="154"/>
      <c r="X25" s="154"/>
      <c r="Y25" s="154"/>
      <c r="Z25" s="154"/>
    </row>
    <row r="26" spans="1:26" ht="14.4">
      <c r="A26" s="164" t="s">
        <v>325</v>
      </c>
      <c r="B26" s="169"/>
      <c r="C26" s="169"/>
      <c r="D26" s="169"/>
      <c r="E26" s="169"/>
      <c r="F26" s="169"/>
      <c r="G26" s="170"/>
      <c r="H26" s="168"/>
      <c r="I26" s="154"/>
      <c r="J26" s="154"/>
      <c r="K26" s="154"/>
      <c r="L26" s="154"/>
      <c r="M26" s="154"/>
      <c r="N26" s="154"/>
      <c r="O26" s="154"/>
      <c r="P26" s="154"/>
      <c r="Q26" s="154"/>
      <c r="R26" s="154"/>
      <c r="S26" s="154"/>
      <c r="T26" s="154"/>
      <c r="U26" s="154"/>
      <c r="V26" s="154"/>
      <c r="W26" s="154"/>
      <c r="X26" s="154"/>
      <c r="Y26" s="154"/>
      <c r="Z26" s="154"/>
    </row>
    <row r="27" spans="1:26" ht="14.4">
      <c r="A27" s="164" t="s">
        <v>326</v>
      </c>
      <c r="B27" s="169">
        <f>'[3]Balence Sheet'!F10/'[3]Balence Sheet'!F26</f>
        <v>2.299577884456216</v>
      </c>
      <c r="C27" s="211"/>
      <c r="D27" s="169"/>
      <c r="E27" s="169"/>
      <c r="F27" s="169"/>
      <c r="G27" s="170"/>
      <c r="H27" s="168"/>
      <c r="I27" s="154"/>
      <c r="J27" s="154"/>
      <c r="K27" s="154"/>
      <c r="L27" s="154"/>
      <c r="M27" s="154"/>
      <c r="N27" s="154"/>
      <c r="O27" s="154"/>
      <c r="P27" s="154"/>
      <c r="Q27" s="154"/>
      <c r="R27" s="154"/>
      <c r="S27" s="154"/>
      <c r="T27" s="154"/>
      <c r="U27" s="154"/>
      <c r="V27" s="154"/>
      <c r="W27" s="154"/>
      <c r="X27" s="154"/>
      <c r="Y27" s="154"/>
      <c r="Z27" s="154"/>
    </row>
    <row r="28" spans="1:26" ht="14.4">
      <c r="A28" s="164" t="s">
        <v>327</v>
      </c>
      <c r="B28" s="169">
        <f>('BalanceStat Rate Projection'!F4+'BalanceStat Rate Projection'!F8)/'BalanceStat Rate Projection'!F42</f>
        <v>0.78863944043321299</v>
      </c>
      <c r="C28" s="211"/>
      <c r="D28" s="169"/>
      <c r="E28" s="169"/>
      <c r="F28" s="169"/>
      <c r="G28" s="172"/>
      <c r="H28" s="168"/>
      <c r="I28" s="154"/>
      <c r="J28" s="154"/>
      <c r="K28" s="154"/>
      <c r="L28" s="154"/>
      <c r="M28" s="154"/>
      <c r="N28" s="154"/>
      <c r="O28" s="154"/>
      <c r="P28" s="154"/>
      <c r="Q28" s="154"/>
      <c r="R28" s="154"/>
      <c r="S28" s="154"/>
      <c r="T28" s="154"/>
      <c r="U28" s="154"/>
      <c r="V28" s="154"/>
      <c r="W28" s="154"/>
      <c r="X28" s="154"/>
      <c r="Y28" s="154"/>
      <c r="Z28" s="154"/>
    </row>
    <row r="29" spans="1:26" ht="14.4">
      <c r="A29" s="164" t="s">
        <v>328</v>
      </c>
      <c r="B29" s="209">
        <f>'BalanceStat Rate Projection'!F49/'BalanceStat Rate Projection'!F60</f>
        <v>0.597883980430434</v>
      </c>
      <c r="C29" s="211"/>
      <c r="D29" s="174"/>
      <c r="E29" s="174"/>
      <c r="F29" s="174"/>
      <c r="G29" s="174"/>
      <c r="H29" s="168"/>
      <c r="I29" s="154"/>
      <c r="J29" s="154"/>
      <c r="K29" s="154"/>
      <c r="L29" s="154"/>
      <c r="M29" s="154"/>
      <c r="N29" s="154"/>
      <c r="O29" s="154"/>
      <c r="P29" s="154"/>
      <c r="Q29" s="154"/>
      <c r="R29" s="154"/>
      <c r="S29" s="154"/>
      <c r="T29" s="154"/>
      <c r="U29" s="154"/>
      <c r="V29" s="154"/>
      <c r="W29" s="154"/>
      <c r="X29" s="154"/>
      <c r="Y29" s="154"/>
      <c r="Z29" s="154"/>
    </row>
    <row r="30" spans="1:26" ht="14.4">
      <c r="A30" s="175"/>
      <c r="B30" s="173"/>
      <c r="C30" s="173"/>
      <c r="D30" s="174"/>
      <c r="E30" s="174"/>
      <c r="F30" s="174"/>
      <c r="G30" s="174"/>
      <c r="H30" s="168"/>
      <c r="I30" s="154"/>
      <c r="J30" s="154"/>
      <c r="K30" s="154"/>
      <c r="L30" s="154"/>
      <c r="M30" s="154"/>
      <c r="N30" s="154"/>
      <c r="O30" s="154"/>
      <c r="P30" s="154"/>
      <c r="Q30" s="154"/>
      <c r="R30" s="154"/>
      <c r="S30" s="154"/>
      <c r="T30" s="154"/>
      <c r="U30" s="154"/>
      <c r="V30" s="154"/>
      <c r="W30" s="154"/>
      <c r="X30" s="154"/>
      <c r="Y30" s="154"/>
      <c r="Z30" s="154"/>
    </row>
    <row r="31" spans="1:26" ht="14.4">
      <c r="A31" s="176"/>
      <c r="B31" s="177"/>
      <c r="C31" s="177"/>
      <c r="D31" s="178"/>
      <c r="E31" s="178"/>
      <c r="F31" s="178"/>
      <c r="G31" s="178"/>
      <c r="H31" s="168"/>
      <c r="I31" s="154"/>
      <c r="J31" s="154"/>
      <c r="K31" s="154"/>
      <c r="L31" s="154"/>
      <c r="M31" s="154"/>
      <c r="N31" s="154"/>
      <c r="O31" s="154"/>
      <c r="P31" s="154"/>
      <c r="Q31" s="154"/>
      <c r="R31" s="154"/>
      <c r="S31" s="154"/>
      <c r="T31" s="154"/>
      <c r="U31" s="154"/>
      <c r="V31" s="154"/>
      <c r="W31" s="154"/>
      <c r="X31" s="154"/>
      <c r="Y31" s="154"/>
      <c r="Z31" s="154"/>
    </row>
    <row r="32" spans="1:26" ht="14.4">
      <c r="A32" s="179"/>
      <c r="B32" s="179"/>
      <c r="C32" s="179"/>
      <c r="D32" s="179"/>
      <c r="E32" s="179"/>
      <c r="F32" s="179"/>
      <c r="G32" s="179"/>
      <c r="H32" s="168"/>
      <c r="I32" s="154"/>
      <c r="J32" s="154"/>
      <c r="K32" s="154"/>
      <c r="L32" s="154"/>
      <c r="M32" s="154"/>
      <c r="N32" s="154"/>
      <c r="O32" s="154"/>
      <c r="P32" s="154"/>
      <c r="Q32" s="154"/>
      <c r="R32" s="154"/>
      <c r="S32" s="154"/>
      <c r="T32" s="154"/>
      <c r="U32" s="154"/>
      <c r="V32" s="154"/>
      <c r="W32" s="154"/>
      <c r="X32" s="154"/>
      <c r="Y32" s="154"/>
      <c r="Z32" s="154"/>
    </row>
    <row r="33" spans="1:26" ht="14.4">
      <c r="A33" s="176" t="s">
        <v>341</v>
      </c>
      <c r="B33" s="177"/>
      <c r="C33" s="177"/>
      <c r="D33" s="180"/>
      <c r="E33" s="180"/>
      <c r="F33" s="180"/>
      <c r="G33" s="180"/>
      <c r="H33" s="168"/>
      <c r="I33" s="154"/>
      <c r="J33" s="154"/>
      <c r="K33" s="154"/>
      <c r="L33" s="154"/>
      <c r="M33" s="154"/>
      <c r="N33" s="154"/>
      <c r="O33" s="154"/>
      <c r="P33" s="154"/>
      <c r="Q33" s="154"/>
      <c r="R33" s="154"/>
      <c r="S33" s="154"/>
      <c r="T33" s="154"/>
      <c r="U33" s="154"/>
      <c r="V33" s="154"/>
      <c r="W33" s="154"/>
      <c r="X33" s="154"/>
      <c r="Y33" s="154"/>
      <c r="Z33" s="154"/>
    </row>
    <row r="34" spans="1:26" ht="14.4">
      <c r="A34" s="176"/>
      <c r="B34" s="177"/>
      <c r="C34" s="177"/>
      <c r="D34" s="170"/>
      <c r="E34" s="170"/>
      <c r="F34" s="170"/>
      <c r="G34" s="170"/>
      <c r="H34" s="168"/>
      <c r="I34" s="154"/>
      <c r="J34" s="154"/>
      <c r="K34" s="154"/>
      <c r="L34" s="154"/>
      <c r="M34" s="154"/>
      <c r="N34" s="154"/>
      <c r="O34" s="154"/>
      <c r="P34" s="154"/>
      <c r="Q34" s="154"/>
      <c r="R34" s="154"/>
      <c r="S34" s="154"/>
      <c r="T34" s="154"/>
      <c r="U34" s="154"/>
      <c r="V34" s="154"/>
      <c r="W34" s="154"/>
      <c r="X34" s="154"/>
      <c r="Y34" s="154"/>
      <c r="Z34" s="154"/>
    </row>
    <row r="35" spans="1:26" ht="14.4">
      <c r="A35" s="175"/>
      <c r="B35" s="181"/>
      <c r="C35" s="181"/>
      <c r="D35" s="182"/>
      <c r="E35" s="182"/>
      <c r="F35" s="182"/>
      <c r="G35" s="182"/>
      <c r="H35" s="168"/>
      <c r="I35" s="154"/>
      <c r="J35" s="154"/>
      <c r="K35" s="154"/>
      <c r="L35" s="154"/>
      <c r="M35" s="154"/>
      <c r="N35" s="154"/>
      <c r="O35" s="154"/>
      <c r="P35" s="154"/>
      <c r="Q35" s="154"/>
      <c r="R35" s="154"/>
      <c r="S35" s="154"/>
      <c r="T35" s="154"/>
      <c r="U35" s="154"/>
      <c r="V35" s="154"/>
      <c r="W35" s="154"/>
      <c r="X35" s="154"/>
      <c r="Y35" s="154"/>
      <c r="Z35" s="154"/>
    </row>
    <row r="36" spans="1:26" ht="14.4">
      <c r="A36" s="179"/>
      <c r="B36" s="183"/>
      <c r="C36" s="183"/>
      <c r="D36" s="179"/>
      <c r="E36" s="184"/>
      <c r="F36" s="179"/>
      <c r="G36" s="179"/>
      <c r="H36" s="168"/>
      <c r="I36" s="154"/>
      <c r="J36" s="154"/>
      <c r="K36" s="154"/>
      <c r="L36" s="154"/>
      <c r="M36" s="154"/>
      <c r="N36" s="154"/>
      <c r="O36" s="154"/>
      <c r="P36" s="154"/>
      <c r="Q36" s="154"/>
      <c r="R36" s="154"/>
      <c r="S36" s="154"/>
      <c r="T36" s="154"/>
      <c r="U36" s="154"/>
      <c r="V36" s="154"/>
      <c r="W36" s="154"/>
      <c r="X36" s="154"/>
      <c r="Y36" s="154"/>
      <c r="Z36" s="154"/>
    </row>
    <row r="37" spans="1:26" ht="14.4">
      <c r="A37" s="222"/>
      <c r="B37" s="223"/>
      <c r="C37" s="223"/>
      <c r="D37" s="185"/>
      <c r="E37" s="186"/>
      <c r="F37" s="179"/>
      <c r="G37" s="179"/>
      <c r="H37" s="168"/>
      <c r="I37" s="154"/>
      <c r="J37" s="154"/>
      <c r="K37" s="154"/>
      <c r="L37" s="154"/>
      <c r="M37" s="154"/>
      <c r="N37" s="154"/>
      <c r="O37" s="154"/>
      <c r="P37" s="154"/>
      <c r="Q37" s="154"/>
      <c r="R37" s="154"/>
      <c r="S37" s="154"/>
      <c r="T37" s="154"/>
      <c r="U37" s="154"/>
      <c r="V37" s="154"/>
      <c r="W37" s="154"/>
      <c r="X37" s="154"/>
      <c r="Y37" s="154"/>
      <c r="Z37" s="154"/>
    </row>
    <row r="38" spans="1:26" ht="14.4">
      <c r="A38" s="179"/>
      <c r="B38" s="179"/>
      <c r="C38" s="179"/>
      <c r="D38" s="179"/>
      <c r="E38" s="187"/>
      <c r="F38" s="187"/>
      <c r="G38" s="187"/>
      <c r="H38" s="168"/>
      <c r="I38" s="154"/>
      <c r="J38" s="154"/>
      <c r="K38" s="154"/>
      <c r="L38" s="154"/>
      <c r="M38" s="154"/>
      <c r="N38" s="154"/>
      <c r="O38" s="154"/>
      <c r="P38" s="154"/>
      <c r="Q38" s="154"/>
      <c r="R38" s="154"/>
      <c r="S38" s="154"/>
      <c r="T38" s="154"/>
      <c r="U38" s="154"/>
      <c r="V38" s="154"/>
      <c r="W38" s="154"/>
      <c r="X38" s="154"/>
      <c r="Y38" s="154"/>
      <c r="Z38" s="154"/>
    </row>
    <row r="39" spans="1:26" ht="14.4">
      <c r="A39" s="179"/>
      <c r="B39" s="179"/>
      <c r="C39" s="179"/>
      <c r="D39" s="179"/>
      <c r="E39" s="188"/>
      <c r="F39" s="188"/>
      <c r="G39" s="188"/>
      <c r="H39" s="168"/>
      <c r="I39" s="154"/>
      <c r="J39" s="154"/>
      <c r="K39" s="154"/>
      <c r="L39" s="154"/>
      <c r="M39" s="154"/>
      <c r="N39" s="154"/>
      <c r="O39" s="154"/>
      <c r="P39" s="154"/>
      <c r="Q39" s="154"/>
      <c r="R39" s="154"/>
      <c r="S39" s="154"/>
      <c r="T39" s="154"/>
      <c r="U39" s="154"/>
      <c r="V39" s="154"/>
      <c r="W39" s="154"/>
      <c r="X39" s="154"/>
      <c r="Y39" s="154"/>
      <c r="Z39" s="154"/>
    </row>
    <row r="40" spans="1:26" ht="14.4">
      <c r="A40" s="179"/>
      <c r="B40" s="183"/>
      <c r="C40" s="183"/>
      <c r="D40" s="179"/>
      <c r="E40" s="189"/>
      <c r="F40" s="189"/>
      <c r="G40" s="189"/>
      <c r="H40" s="168"/>
      <c r="I40" s="154"/>
      <c r="J40" s="154"/>
      <c r="K40" s="154"/>
      <c r="L40" s="154"/>
      <c r="M40" s="154"/>
      <c r="N40" s="154"/>
      <c r="O40" s="154"/>
      <c r="P40" s="154"/>
      <c r="Q40" s="154"/>
      <c r="R40" s="154"/>
      <c r="S40" s="154"/>
      <c r="T40" s="154"/>
      <c r="U40" s="154"/>
      <c r="V40" s="154"/>
      <c r="W40" s="154"/>
      <c r="X40" s="154"/>
      <c r="Y40" s="154"/>
      <c r="Z40" s="154"/>
    </row>
    <row r="41" spans="1:26" ht="14.4">
      <c r="A41" s="179"/>
      <c r="B41" s="183"/>
      <c r="C41" s="183"/>
      <c r="D41" s="179"/>
      <c r="E41" s="189"/>
      <c r="F41" s="189"/>
      <c r="G41" s="189"/>
      <c r="H41" s="168"/>
      <c r="I41" s="154"/>
      <c r="J41" s="154"/>
      <c r="K41" s="154"/>
      <c r="L41" s="154"/>
      <c r="M41" s="154"/>
      <c r="N41" s="154"/>
      <c r="O41" s="154"/>
      <c r="P41" s="154"/>
      <c r="Q41" s="154"/>
      <c r="R41" s="154"/>
      <c r="S41" s="154"/>
      <c r="T41" s="154"/>
      <c r="U41" s="154"/>
      <c r="V41" s="154"/>
      <c r="W41" s="154"/>
      <c r="X41" s="154"/>
      <c r="Y41" s="154"/>
      <c r="Z41" s="154"/>
    </row>
    <row r="42" spans="1:26" ht="14.4">
      <c r="A42" s="179"/>
      <c r="B42" s="183"/>
      <c r="C42" s="183"/>
      <c r="D42" s="179"/>
      <c r="E42" s="189"/>
      <c r="F42" s="190"/>
      <c r="G42" s="190"/>
      <c r="H42" s="168"/>
      <c r="I42" s="154"/>
      <c r="J42" s="154"/>
      <c r="K42" s="154"/>
      <c r="L42" s="154"/>
      <c r="M42" s="154"/>
      <c r="N42" s="154"/>
      <c r="O42" s="154"/>
      <c r="P42" s="154"/>
      <c r="Q42" s="154"/>
      <c r="R42" s="154"/>
      <c r="S42" s="154"/>
      <c r="T42" s="154"/>
      <c r="U42" s="154"/>
      <c r="V42" s="154"/>
      <c r="W42" s="154"/>
      <c r="X42" s="154"/>
      <c r="Y42" s="154"/>
      <c r="Z42" s="154"/>
    </row>
    <row r="43" spans="1:26" ht="14.4">
      <c r="A43" s="179"/>
      <c r="B43" s="183"/>
      <c r="C43" s="183"/>
      <c r="D43" s="179"/>
      <c r="E43" s="191"/>
      <c r="F43" s="190"/>
      <c r="G43" s="190"/>
      <c r="H43" s="168"/>
      <c r="I43" s="154"/>
      <c r="J43" s="154"/>
      <c r="K43" s="154"/>
      <c r="L43" s="154"/>
      <c r="M43" s="154"/>
      <c r="N43" s="154"/>
      <c r="O43" s="154"/>
      <c r="P43" s="154"/>
      <c r="Q43" s="154"/>
      <c r="R43" s="154"/>
      <c r="S43" s="154"/>
      <c r="T43" s="154"/>
      <c r="U43" s="154"/>
      <c r="V43" s="154"/>
      <c r="W43" s="154"/>
      <c r="X43" s="154"/>
      <c r="Y43" s="154"/>
      <c r="Z43" s="154"/>
    </row>
    <row r="44" spans="1:26" ht="14.4">
      <c r="A44" s="179"/>
      <c r="B44" s="183"/>
      <c r="C44" s="183"/>
      <c r="D44" s="179"/>
      <c r="E44" s="191"/>
      <c r="F44" s="190"/>
      <c r="G44" s="190"/>
      <c r="H44" s="168"/>
      <c r="I44" s="154"/>
      <c r="J44" s="154"/>
      <c r="K44" s="154"/>
      <c r="L44" s="154"/>
      <c r="M44" s="154"/>
      <c r="N44" s="154"/>
      <c r="O44" s="154"/>
      <c r="P44" s="154"/>
      <c r="Q44" s="154"/>
      <c r="R44" s="154"/>
      <c r="S44" s="154"/>
      <c r="T44" s="154"/>
      <c r="U44" s="154"/>
      <c r="V44" s="154"/>
      <c r="W44" s="154"/>
      <c r="X44" s="154"/>
      <c r="Y44" s="154"/>
      <c r="Z44" s="154"/>
    </row>
    <row r="45" spans="1:26" ht="14.4">
      <c r="A45" s="179"/>
      <c r="B45" s="183"/>
      <c r="C45" s="183"/>
      <c r="D45" s="179"/>
      <c r="E45" s="191"/>
      <c r="F45" s="190"/>
      <c r="G45" s="190"/>
      <c r="H45" s="168"/>
      <c r="I45" s="154"/>
      <c r="J45" s="154"/>
      <c r="K45" s="154"/>
      <c r="L45" s="154"/>
      <c r="M45" s="154"/>
      <c r="N45" s="154"/>
      <c r="O45" s="154"/>
      <c r="P45" s="154"/>
      <c r="Q45" s="154"/>
      <c r="R45" s="154"/>
      <c r="S45" s="154"/>
      <c r="T45" s="154"/>
      <c r="U45" s="154"/>
      <c r="V45" s="154"/>
      <c r="W45" s="154"/>
      <c r="X45" s="154"/>
      <c r="Y45" s="154"/>
      <c r="Z45" s="154"/>
    </row>
    <row r="46" spans="1:26" ht="14.4">
      <c r="A46" s="179"/>
      <c r="B46" s="183"/>
      <c r="C46" s="183"/>
      <c r="D46" s="179"/>
      <c r="E46" s="191"/>
      <c r="F46" s="190"/>
      <c r="G46" s="190"/>
      <c r="H46" s="168"/>
      <c r="I46" s="154"/>
      <c r="J46" s="154"/>
      <c r="K46" s="154"/>
      <c r="L46" s="154"/>
      <c r="M46" s="154"/>
      <c r="N46" s="154"/>
      <c r="O46" s="154"/>
      <c r="P46" s="154"/>
      <c r="Q46" s="154"/>
      <c r="R46" s="154"/>
      <c r="S46" s="154"/>
      <c r="T46" s="154"/>
      <c r="U46" s="154"/>
      <c r="V46" s="154"/>
      <c r="W46" s="154"/>
      <c r="X46" s="154"/>
      <c r="Y46" s="154"/>
      <c r="Z46" s="154"/>
    </row>
    <row r="47" spans="1:26" ht="14.4">
      <c r="A47" s="179"/>
      <c r="B47" s="183"/>
      <c r="C47" s="183"/>
      <c r="D47" s="179"/>
      <c r="E47" s="192"/>
      <c r="F47" s="190"/>
      <c r="G47" s="190"/>
      <c r="H47" s="168"/>
      <c r="I47" s="154"/>
      <c r="J47" s="154"/>
      <c r="K47" s="154"/>
      <c r="L47" s="154"/>
      <c r="M47" s="154"/>
      <c r="N47" s="154"/>
      <c r="O47" s="154"/>
      <c r="P47" s="154"/>
      <c r="Q47" s="154"/>
      <c r="R47" s="154"/>
      <c r="S47" s="154"/>
      <c r="T47" s="154"/>
      <c r="U47" s="154"/>
      <c r="V47" s="154"/>
      <c r="W47" s="154"/>
      <c r="X47" s="154"/>
      <c r="Y47" s="154"/>
      <c r="Z47" s="154"/>
    </row>
    <row r="48" spans="1:26" ht="14.4">
      <c r="A48" s="222"/>
      <c r="B48" s="223"/>
      <c r="C48" s="223"/>
      <c r="D48" s="185"/>
      <c r="E48" s="184"/>
      <c r="F48" s="190"/>
      <c r="G48" s="190"/>
      <c r="H48" s="168"/>
      <c r="I48" s="154"/>
      <c r="J48" s="154"/>
      <c r="K48" s="154"/>
      <c r="L48" s="154"/>
      <c r="M48" s="154"/>
      <c r="N48" s="154"/>
      <c r="O48" s="154"/>
      <c r="P48" s="154"/>
      <c r="Q48" s="154"/>
      <c r="R48" s="154"/>
      <c r="S48" s="154"/>
      <c r="T48" s="154"/>
      <c r="U48" s="154"/>
      <c r="V48" s="154"/>
      <c r="W48" s="154"/>
      <c r="X48" s="154"/>
      <c r="Y48" s="154"/>
      <c r="Z48" s="154"/>
    </row>
    <row r="49" spans="1:26" ht="14.4">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row>
    <row r="50" spans="1:26" ht="14.4">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row>
    <row r="51" spans="1:26" ht="14.4">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row>
    <row r="52" spans="1:26" ht="14.4">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row>
    <row r="53" spans="1:26" ht="14.4">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row>
    <row r="54" spans="1:26" ht="14.4">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row>
    <row r="55" spans="1:26" ht="14.4">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row>
    <row r="56" spans="1:26" ht="14.4">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row>
    <row r="57" spans="1:26" ht="14.4">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row>
    <row r="58" spans="1:26" ht="14.4">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row>
    <row r="59" spans="1:26" ht="14.4">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row>
    <row r="60" spans="1:26" ht="14.4">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row>
    <row r="61" spans="1:26" ht="14.4">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row>
    <row r="62" spans="1:26" ht="14.4">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row>
    <row r="63" spans="1:26" ht="14.4">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row>
    <row r="64" spans="1:26" ht="14.4">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row>
    <row r="65" spans="1:26" ht="14.4">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row>
    <row r="66" spans="1:26" ht="14.4">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row>
    <row r="67" spans="1:26" ht="14.4">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row>
    <row r="68" spans="1:26" ht="14.4">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row>
    <row r="69" spans="1:26" ht="14.4">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row>
    <row r="70" spans="1:26" ht="14.4">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row>
    <row r="71" spans="1:26" ht="14.4">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row>
    <row r="72" spans="1:26" ht="14.4">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row>
    <row r="73" spans="1:26" ht="14.4">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row>
    <row r="74" spans="1:26" ht="14.4">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row>
    <row r="75" spans="1:26" ht="14.4">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row>
    <row r="76" spans="1:26" ht="14.4">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row>
    <row r="77" spans="1:26" ht="14.4">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row>
    <row r="78" spans="1:26" ht="14.4">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row>
    <row r="79" spans="1:26" ht="14.4">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row>
    <row r="80" spans="1:26" ht="14.4">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row>
    <row r="81" spans="1:26" ht="14.4">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row>
    <row r="82" spans="1:26" ht="14.4">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row>
    <row r="83" spans="1:26" ht="14.4">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row>
    <row r="84" spans="1:26" ht="14.4">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row>
    <row r="85" spans="1:26" ht="14.4">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row>
    <row r="86" spans="1:26" ht="14.4">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row>
    <row r="87" spans="1:26" ht="14.4">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row>
    <row r="88" spans="1:26" ht="14.4">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row>
    <row r="89" spans="1:26" ht="14.4">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row>
    <row r="90" spans="1:26" ht="14.4">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row>
    <row r="91" spans="1:26" ht="14.4">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row>
    <row r="92" spans="1:26" ht="14.4">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row>
    <row r="93" spans="1:26" ht="14.4">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row>
    <row r="94" spans="1:26" ht="14.4">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row>
    <row r="95" spans="1:26" ht="14.4">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row>
    <row r="96" spans="1:26" ht="14.4">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row>
    <row r="97" spans="1:26" ht="14.4">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row>
    <row r="98" spans="1:26" ht="14.4">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row>
    <row r="99" spans="1:26" ht="14.4">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row>
    <row r="100" spans="1:26" ht="14.4">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row>
    <row r="101" spans="1:26" ht="14.4">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row>
    <row r="102" spans="1:26" ht="14.4">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row>
    <row r="103" spans="1:26" ht="14.4">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row>
    <row r="104" spans="1:26" ht="14.4">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row>
    <row r="105" spans="1:26" ht="14.4">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row>
    <row r="106" spans="1:26" ht="14.4">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row>
    <row r="107" spans="1:26" ht="14.4">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row>
    <row r="108" spans="1:26" ht="14.4">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row>
    <row r="109" spans="1:26" ht="14.4">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row>
    <row r="110" spans="1:26" ht="14.4">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row>
    <row r="111" spans="1:26" ht="14.4">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row>
    <row r="112" spans="1:26" ht="14.4">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row>
    <row r="113" spans="1:26" ht="14.4">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row>
    <row r="114" spans="1:26" ht="14.4">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row>
    <row r="115" spans="1:26" ht="14.4">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row>
    <row r="116" spans="1:26" ht="14.4">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row>
    <row r="117" spans="1:26" ht="14.4">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row>
    <row r="118" spans="1:26" ht="14.4">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row>
    <row r="119" spans="1:26" ht="14.4">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row>
    <row r="120" spans="1:26" ht="14.4">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row>
    <row r="121" spans="1:26" ht="14.4">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row>
    <row r="122" spans="1:26" ht="14.4">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row>
    <row r="123" spans="1:26" ht="14.4">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row>
    <row r="124" spans="1:26" ht="14.4">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row>
    <row r="125" spans="1:26" ht="14.4">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row>
    <row r="126" spans="1:26" ht="14.4">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row>
    <row r="127" spans="1:26" ht="14.4">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row>
    <row r="128" spans="1:26" ht="14.4">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row>
    <row r="129" spans="1:26" ht="14.4">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row>
    <row r="130" spans="1:26" ht="14.4">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row>
    <row r="131" spans="1:26" ht="14.4">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row>
    <row r="132" spans="1:26" ht="14.4">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row>
    <row r="133" spans="1:26" ht="14.4">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row>
    <row r="134" spans="1:26" ht="14.4">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row>
    <row r="135" spans="1:26" ht="14.4">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row>
    <row r="136" spans="1:26" ht="14.4">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row>
    <row r="137" spans="1:26" ht="14.4">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row>
    <row r="138" spans="1:26" ht="14.4">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row>
    <row r="139" spans="1:26" ht="14.4">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row>
    <row r="140" spans="1:26" ht="14.4">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row>
    <row r="141" spans="1:26" ht="14.4">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row>
    <row r="142" spans="1:26" ht="14.4">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row>
    <row r="143" spans="1:26" ht="14.4">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row>
    <row r="144" spans="1:26" ht="14.4">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row>
    <row r="145" spans="1:26" ht="14.4">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row>
    <row r="146" spans="1:26" ht="14.4">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row>
    <row r="147" spans="1:26" ht="14.4">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row>
    <row r="148" spans="1:26" ht="14.4">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row>
    <row r="149" spans="1:26" ht="14.4">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row>
    <row r="150" spans="1:26" ht="14.4">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row>
    <row r="151" spans="1:26" ht="14.4">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row>
    <row r="152" spans="1:26" ht="14.4">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row>
    <row r="153" spans="1:26" ht="14.4">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row>
    <row r="154" spans="1:26" ht="14.4">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row>
    <row r="155" spans="1:26" ht="14.4">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row>
    <row r="156" spans="1:26" ht="14.4">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row>
    <row r="157" spans="1:26" ht="14.4">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row>
    <row r="158" spans="1:26" ht="14.4">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row>
    <row r="159" spans="1:26" ht="14.4">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row>
    <row r="160" spans="1:26" ht="14.4">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row>
    <row r="161" spans="1:26" ht="14.4">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row>
    <row r="162" spans="1:26" ht="14.4">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row>
    <row r="163" spans="1:26" ht="14.4">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row>
    <row r="164" spans="1:26" ht="14.4">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row>
    <row r="165" spans="1:26" ht="14.4">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row>
    <row r="166" spans="1:26" ht="14.4">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row>
    <row r="167" spans="1:26" ht="14.4">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row>
    <row r="168" spans="1:26" ht="14.4">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row>
    <row r="169" spans="1:26" ht="14.4">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row>
    <row r="170" spans="1:26" ht="14.4">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row>
    <row r="171" spans="1:26" ht="14.4">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row>
    <row r="172" spans="1:26" ht="14.4">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row>
    <row r="173" spans="1:26" ht="14.4">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row>
    <row r="174" spans="1:26" ht="14.4">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row>
    <row r="175" spans="1:26" ht="14.4">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row>
    <row r="176" spans="1:26" ht="14.4">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row>
    <row r="177" spans="1:26" ht="14.4">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row>
    <row r="178" spans="1:26" ht="14.4">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row>
    <row r="179" spans="1:26" ht="14.4">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row>
    <row r="180" spans="1:26" ht="14.4">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row>
    <row r="181" spans="1:26" ht="14.4">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row>
    <row r="182" spans="1:26" ht="14.4">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row>
    <row r="183" spans="1:26" ht="14.4">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row>
    <row r="184" spans="1:26" ht="14.4">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row>
    <row r="185" spans="1:26" ht="14.4">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row>
    <row r="186" spans="1:26" ht="14.4">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row>
    <row r="187" spans="1:26" ht="14.4">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row>
    <row r="188" spans="1:26" ht="14.4">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row>
    <row r="189" spans="1:26" ht="14.4">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row>
    <row r="190" spans="1:26" ht="14.4">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row>
    <row r="191" spans="1:26" ht="14.4">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row>
    <row r="192" spans="1:26" ht="14.4">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row>
    <row r="193" spans="1:26" ht="14.4">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row>
    <row r="194" spans="1:26" ht="14.4">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row>
    <row r="195" spans="1:26" ht="14.4">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row>
    <row r="196" spans="1:26" ht="14.4">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row>
    <row r="197" spans="1:26" ht="14.4">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row>
    <row r="198" spans="1:26" ht="14.4">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row>
    <row r="199" spans="1:26" ht="14.4">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row>
    <row r="200" spans="1:26" ht="14.4">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row>
    <row r="201" spans="1:26" ht="14.4">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row>
    <row r="202" spans="1:26" ht="14.4">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row>
    <row r="203" spans="1:26" ht="14.4">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row>
    <row r="204" spans="1:26" ht="14.4">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row>
    <row r="205" spans="1:26" ht="14.4">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row>
    <row r="206" spans="1:26" ht="14.4">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row>
    <row r="207" spans="1:26" ht="14.4">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row>
    <row r="208" spans="1:26" ht="14.4">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row>
    <row r="209" spans="1:26" ht="14.4">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row>
    <row r="210" spans="1:26" ht="14.4">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row>
    <row r="211" spans="1:26" ht="14.4">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row>
    <row r="212" spans="1:26" ht="14.4">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row>
    <row r="213" spans="1:26" ht="14.4">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row>
    <row r="214" spans="1:26" ht="14.4">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row>
    <row r="215" spans="1:26" ht="14.4">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row>
    <row r="216" spans="1:26" ht="14.4">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row>
    <row r="217" spans="1:26" ht="14.4">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row>
    <row r="218" spans="1:26" ht="14.4">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row>
    <row r="219" spans="1:26" ht="14.4">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row>
    <row r="220" spans="1:26" ht="14.4">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row>
    <row r="221" spans="1:26" ht="14.4">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row>
    <row r="222" spans="1:26" ht="14.4">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row>
    <row r="223" spans="1:26" ht="14.4">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row>
    <row r="224" spans="1:26" ht="14.4">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row>
    <row r="225" spans="1:26" ht="14.4">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row>
    <row r="226" spans="1:26" ht="14.4">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row>
    <row r="227" spans="1:26" ht="14.4">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row>
    <row r="228" spans="1:26" ht="14.4">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row>
    <row r="229" spans="1:26" ht="14.4">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row>
    <row r="230" spans="1:26" ht="14.4">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row>
    <row r="231" spans="1:26" ht="14.4">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row>
    <row r="232" spans="1:26" ht="14.4">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row>
    <row r="233" spans="1:26" ht="14.4">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row>
    <row r="234" spans="1:26" ht="14.4">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row>
    <row r="235" spans="1:26" ht="14.4">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row>
    <row r="236" spans="1:26" ht="14.4">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row>
    <row r="237" spans="1:26" ht="14.4">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row>
    <row r="238" spans="1:26" ht="14.4">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row>
    <row r="239" spans="1:26" ht="14.4">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row>
    <row r="240" spans="1:26" ht="14.4">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row>
    <row r="241" spans="1:26" ht="14.4">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row>
    <row r="242" spans="1:26" ht="14.4">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row>
    <row r="243" spans="1:26" ht="14.4">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row>
    <row r="244" spans="1:26" ht="14.4">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row>
    <row r="245" spans="1:26" ht="14.4">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row>
    <row r="246" spans="1:26" ht="14.4">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row>
    <row r="247" spans="1:26" ht="14.4">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row>
    <row r="248" spans="1:26" ht="14.4">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row>
    <row r="249" spans="1:26" ht="14.4">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row>
    <row r="250" spans="1:26" ht="14.4">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row>
    <row r="251" spans="1:26" ht="14.4">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row>
    <row r="252" spans="1:26" ht="14.4">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row>
    <row r="253" spans="1:26" ht="14.4">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row>
    <row r="254" spans="1:26" ht="14.4">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row>
    <row r="255" spans="1:26" ht="14.4">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row>
    <row r="256" spans="1:26" ht="14.4">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row>
    <row r="257" spans="1:26" ht="14.4">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row>
    <row r="258" spans="1:26" ht="14.4">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row>
    <row r="259" spans="1:26" ht="14.4">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row>
    <row r="260" spans="1:26" ht="14.4">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row>
    <row r="261" spans="1:26" ht="14.4">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row>
    <row r="262" spans="1:26" ht="14.4">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row>
    <row r="263" spans="1:26" ht="14.4">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row>
    <row r="264" spans="1:26" ht="14.4">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row>
    <row r="265" spans="1:26" ht="14.4">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row>
    <row r="266" spans="1:26" ht="14.4">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row>
    <row r="267" spans="1:26" ht="14.4">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row>
    <row r="268" spans="1:26" ht="14.4">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row>
    <row r="269" spans="1:26" ht="14.4">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row>
    <row r="270" spans="1:26" ht="14.4">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row>
    <row r="271" spans="1:26" ht="14.4">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row>
    <row r="272" spans="1:26" ht="14.4">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row>
    <row r="273" spans="1:26" ht="14.4">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row>
    <row r="274" spans="1:26" ht="14.4">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row>
    <row r="275" spans="1:26" ht="14.4">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row>
    <row r="276" spans="1:26" ht="14.4">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row>
    <row r="277" spans="1:26" ht="14.4">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row>
    <row r="278" spans="1:26" ht="14.4">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row>
    <row r="279" spans="1:26" ht="14.4">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row>
    <row r="280" spans="1:26" ht="14.4">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row>
    <row r="281" spans="1:26" ht="14.4">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row>
    <row r="282" spans="1:26" ht="14.4">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row>
    <row r="283" spans="1:26" ht="14.4">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row>
    <row r="284" spans="1:26" ht="14.4">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row>
    <row r="285" spans="1:26" ht="14.4">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row>
    <row r="286" spans="1:26" ht="14.4">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row>
    <row r="287" spans="1:26" ht="14.4">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row>
    <row r="288" spans="1:26" ht="14.4">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row>
    <row r="289" spans="1:26" ht="14.4">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row>
    <row r="290" spans="1:26" ht="14.4">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row>
    <row r="291" spans="1:26" ht="14.4">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row>
    <row r="292" spans="1:26" ht="14.4">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row>
    <row r="293" spans="1:26" ht="14.4">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row>
    <row r="294" spans="1:26" ht="14.4">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row>
    <row r="295" spans="1:26" ht="14.4">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row>
    <row r="296" spans="1:26" ht="14.4">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row>
    <row r="297" spans="1:26" ht="14.4">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row>
    <row r="298" spans="1:26" ht="14.4">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row>
    <row r="299" spans="1:26" ht="14.4">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row>
    <row r="300" spans="1:26" ht="14.4">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row>
    <row r="301" spans="1:26" ht="14.4">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row>
    <row r="302" spans="1:26" ht="14.4">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row>
    <row r="303" spans="1:26" ht="14.4">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row>
    <row r="304" spans="1:26" ht="14.4">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row>
    <row r="305" spans="1:26" ht="14.4">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row>
    <row r="306" spans="1:26" ht="14.4">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row>
    <row r="307" spans="1:26" ht="14.4">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row>
    <row r="308" spans="1:26" ht="14.4">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row>
    <row r="309" spans="1:26" ht="14.4">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row>
    <row r="310" spans="1:26" ht="14.4">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row>
    <row r="311" spans="1:26" ht="14.4">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row>
    <row r="312" spans="1:26" ht="14.4">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row>
    <row r="313" spans="1:26" ht="14.4">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row>
    <row r="314" spans="1:26" ht="14.4">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row>
    <row r="315" spans="1:26" ht="14.4">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row>
    <row r="316" spans="1:26" ht="14.4">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row>
    <row r="317" spans="1:26" ht="14.4">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row>
    <row r="318" spans="1:26" ht="14.4">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row>
    <row r="319" spans="1:26" ht="14.4">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row>
    <row r="320" spans="1:26" ht="14.4">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row>
    <row r="321" spans="1:26" ht="14.4">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row>
    <row r="322" spans="1:26" ht="14.4">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row>
    <row r="323" spans="1:26" ht="14.4">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row>
    <row r="324" spans="1:26" ht="14.4">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row>
    <row r="325" spans="1:26" ht="14.4">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row>
    <row r="326" spans="1:26" ht="14.4">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row>
    <row r="327" spans="1:26" ht="14.4">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row>
    <row r="328" spans="1:26" ht="14.4">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row>
    <row r="329" spans="1:26" ht="14.4">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row>
    <row r="330" spans="1:26" ht="14.4">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row>
    <row r="331" spans="1:26" ht="14.4">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row>
    <row r="332" spans="1:26" ht="14.4">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row>
    <row r="333" spans="1:26" ht="14.4">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row>
    <row r="334" spans="1:26" ht="14.4">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row>
    <row r="335" spans="1:26" ht="14.4">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row>
    <row r="336" spans="1:26" ht="14.4">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row>
    <row r="337" spans="1:26" ht="14.4">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row>
    <row r="338" spans="1:26" ht="14.4">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row>
    <row r="339" spans="1:26" ht="14.4">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row>
    <row r="340" spans="1:26" ht="14.4">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row>
    <row r="341" spans="1:26" ht="14.4">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row>
    <row r="342" spans="1:26" ht="14.4">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row>
    <row r="343" spans="1:26" ht="14.4">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row>
    <row r="344" spans="1:26" ht="14.4">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row>
    <row r="345" spans="1:26" ht="14.4">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row>
    <row r="346" spans="1:26" ht="14.4">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row>
    <row r="347" spans="1:26" ht="14.4">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row>
    <row r="348" spans="1:26" ht="14.4">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row>
    <row r="349" spans="1:26" ht="14.4">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row>
    <row r="350" spans="1:26" ht="14.4">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row>
    <row r="351" spans="1:26" ht="14.4">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row>
    <row r="352" spans="1:26" ht="14.4">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row>
    <row r="353" spans="1:26" ht="14.4">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row>
    <row r="354" spans="1:26" ht="14.4">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row>
    <row r="355" spans="1:26" ht="14.4">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row>
    <row r="356" spans="1:26" ht="14.4">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row>
    <row r="357" spans="1:26" ht="14.4">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row>
    <row r="358" spans="1:26" ht="14.4">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row>
    <row r="359" spans="1:26" ht="14.4">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row>
    <row r="360" spans="1:26" ht="14.4">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row>
    <row r="361" spans="1:26" ht="14.4">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row>
    <row r="362" spans="1:26" ht="14.4">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row>
    <row r="363" spans="1:26" ht="14.4">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row>
    <row r="364" spans="1:26" ht="14.4">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row>
    <row r="365" spans="1:26" ht="14.4">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row>
    <row r="366" spans="1:26" ht="14.4">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row>
    <row r="367" spans="1:26" ht="14.4">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row>
    <row r="368" spans="1:26" ht="14.4">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row>
    <row r="369" spans="1:26" ht="14.4">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row>
    <row r="370" spans="1:26" ht="14.4">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row>
    <row r="371" spans="1:26" ht="14.4">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row>
    <row r="372" spans="1:26" ht="14.4">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row>
    <row r="373" spans="1:26" ht="14.4">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row>
    <row r="374" spans="1:26" ht="14.4">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row>
    <row r="375" spans="1:26" ht="14.4">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row>
    <row r="376" spans="1:26" ht="14.4">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row>
    <row r="377" spans="1:26" ht="14.4">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row>
    <row r="378" spans="1:26" ht="14.4">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row>
    <row r="379" spans="1:26" ht="14.4">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row>
    <row r="380" spans="1:26" ht="14.4">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row>
    <row r="381" spans="1:26" ht="14.4">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row>
    <row r="382" spans="1:26" ht="14.4">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row>
    <row r="383" spans="1:26" ht="14.4">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row>
    <row r="384" spans="1:26" ht="14.4">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row>
    <row r="385" spans="1:26" ht="14.4">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row>
    <row r="386" spans="1:26" ht="14.4">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row>
    <row r="387" spans="1:26" ht="14.4">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row>
    <row r="388" spans="1:26" ht="14.4">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row>
    <row r="389" spans="1:26" ht="14.4">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row>
    <row r="390" spans="1:26" ht="14.4">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row>
    <row r="391" spans="1:26" ht="14.4">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row>
    <row r="392" spans="1:26" ht="14.4">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row>
    <row r="393" spans="1:26" ht="14.4">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row>
    <row r="394" spans="1:26" ht="14.4">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row>
    <row r="395" spans="1:26" ht="14.4">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row>
    <row r="396" spans="1:26" ht="14.4">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row>
    <row r="397" spans="1:26" ht="14.4">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row>
    <row r="398" spans="1:26" ht="14.4">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row>
    <row r="399" spans="1:26" ht="14.4">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row>
    <row r="400" spans="1:26" ht="14.4">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row>
    <row r="401" spans="1:26" ht="14.4">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row>
    <row r="402" spans="1:26" ht="14.4">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row>
    <row r="403" spans="1:26" ht="14.4">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row>
    <row r="404" spans="1:26" ht="14.4">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row>
    <row r="405" spans="1:26" ht="14.4">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row>
    <row r="406" spans="1:26" ht="14.4">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row>
    <row r="407" spans="1:26" ht="14.4">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row>
    <row r="408" spans="1:26" ht="14.4">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row>
    <row r="409" spans="1:26" ht="14.4">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row>
    <row r="410" spans="1:26" ht="14.4">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row>
    <row r="411" spans="1:26" ht="14.4">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row>
    <row r="412" spans="1:26" ht="14.4">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row>
    <row r="413" spans="1:26" ht="14.4">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row>
    <row r="414" spans="1:26" ht="14.4">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row>
    <row r="415" spans="1:26" ht="14.4">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row>
    <row r="416" spans="1:26" ht="14.4">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row>
    <row r="417" spans="1:26" ht="14.4">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row>
    <row r="418" spans="1:26" ht="14.4">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row>
    <row r="419" spans="1:26" ht="14.4">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row>
    <row r="420" spans="1:26" ht="14.4">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row>
    <row r="421" spans="1:26" ht="14.4">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row>
    <row r="422" spans="1:26" ht="14.4">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row>
    <row r="423" spans="1:26" ht="14.4">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row>
    <row r="424" spans="1:26" ht="14.4">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row>
    <row r="425" spans="1:26" ht="14.4">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row>
    <row r="426" spans="1:26" ht="14.4">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row>
    <row r="427" spans="1:26" ht="14.4">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row>
    <row r="428" spans="1:26" ht="14.4">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row>
    <row r="429" spans="1:26" ht="14.4">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row>
    <row r="430" spans="1:26" ht="14.4">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row>
    <row r="431" spans="1:26" ht="14.4">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row>
    <row r="432" spans="1:26" ht="14.4">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row>
    <row r="433" spans="1:26" ht="14.4">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row>
    <row r="434" spans="1:26" ht="14.4">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row>
    <row r="435" spans="1:26" ht="14.4">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row>
    <row r="436" spans="1:26" ht="14.4">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row>
    <row r="437" spans="1:26" ht="14.4">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row>
    <row r="438" spans="1:26" ht="14.4">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row>
    <row r="439" spans="1:26" ht="14.4">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row>
    <row r="440" spans="1:26" ht="14.4">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row>
    <row r="441" spans="1:26" ht="14.4">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row>
    <row r="442" spans="1:26" ht="14.4">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row>
    <row r="443" spans="1:26" ht="14.4">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row>
    <row r="444" spans="1:26" ht="14.4">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row>
    <row r="445" spans="1:26" ht="14.4">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row>
    <row r="446" spans="1:26" ht="14.4">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row>
    <row r="447" spans="1:26" ht="14.4">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row>
    <row r="448" spans="1:26" ht="14.4">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row>
    <row r="449" spans="1:26" ht="14.4">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row>
    <row r="450" spans="1:26" ht="14.4">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row>
    <row r="451" spans="1:26" ht="14.4">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row>
    <row r="452" spans="1:26" ht="14.4">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row>
    <row r="453" spans="1:26" ht="14.4">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row>
    <row r="454" spans="1:26" ht="14.4">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row>
    <row r="455" spans="1:26" ht="14.4">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row>
    <row r="456" spans="1:26" ht="14.4">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row>
    <row r="457" spans="1:26" ht="14.4">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row>
    <row r="458" spans="1:26" ht="14.4">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row>
    <row r="459" spans="1:26" ht="14.4">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row>
    <row r="460" spans="1:26" ht="14.4">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row>
    <row r="461" spans="1:26" ht="14.4">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row>
    <row r="462" spans="1:26" ht="14.4">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row>
    <row r="463" spans="1:26" ht="14.4">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row>
    <row r="464" spans="1:26" ht="14.4">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row>
    <row r="465" spans="1:26" ht="14.4">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row>
    <row r="466" spans="1:26" ht="14.4">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row>
    <row r="467" spans="1:26" ht="14.4">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row>
    <row r="468" spans="1:26" ht="14.4">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row>
    <row r="469" spans="1:26" ht="14.4">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row>
    <row r="470" spans="1:26" ht="14.4">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row>
    <row r="471" spans="1:26" ht="14.4">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row>
    <row r="472" spans="1:26" ht="14.4">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row>
    <row r="473" spans="1:26" ht="14.4">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row>
    <row r="474" spans="1:26" ht="14.4">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row>
    <row r="475" spans="1:26" ht="14.4">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row>
    <row r="476" spans="1:26" ht="14.4">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row>
    <row r="477" spans="1:26" ht="14.4">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row>
    <row r="478" spans="1:26" ht="14.4">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row>
    <row r="479" spans="1:26" ht="14.4">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row>
    <row r="480" spans="1:26" ht="14.4">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row>
    <row r="481" spans="1:26" ht="14.4">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row>
    <row r="482" spans="1:26" ht="14.4">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row>
    <row r="483" spans="1:26" ht="14.4">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row>
    <row r="484" spans="1:26" ht="14.4">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row>
    <row r="485" spans="1:26" ht="14.4">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row>
    <row r="486" spans="1:26" ht="14.4">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row>
    <row r="487" spans="1:26" ht="14.4">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row>
    <row r="488" spans="1:26" ht="14.4">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row>
    <row r="489" spans="1:26" ht="14.4">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row>
    <row r="490" spans="1:26" ht="14.4">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row>
    <row r="491" spans="1:26" ht="14.4">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row>
    <row r="492" spans="1:26" ht="14.4">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row>
    <row r="493" spans="1:26" ht="14.4">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row>
    <row r="494" spans="1:26" ht="14.4">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row>
    <row r="495" spans="1:26" ht="14.4">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row>
    <row r="496" spans="1:26" ht="14.4">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row>
    <row r="497" spans="1:26" ht="14.4">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row>
    <row r="498" spans="1:26" ht="14.4">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row>
    <row r="499" spans="1:26" ht="14.4">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row>
    <row r="500" spans="1:26" ht="14.4">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row>
    <row r="501" spans="1:26" ht="14.4">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row>
    <row r="502" spans="1:26" ht="14.4">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row>
    <row r="503" spans="1:26" ht="14.4">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row>
    <row r="504" spans="1:26" ht="14.4">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row>
    <row r="505" spans="1:26" ht="14.4">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row>
    <row r="506" spans="1:26" ht="14.4">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row>
    <row r="507" spans="1:26" ht="14.4">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row>
    <row r="508" spans="1:26" ht="14.4">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row>
    <row r="509" spans="1:26" ht="14.4">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row>
    <row r="510" spans="1:26" ht="14.4">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row>
    <row r="511" spans="1:26" ht="14.4">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row>
    <row r="512" spans="1:26" ht="14.4">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row>
    <row r="513" spans="1:26" ht="14.4">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row>
    <row r="514" spans="1:26" ht="14.4">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row>
    <row r="515" spans="1:26" ht="14.4">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row>
    <row r="516" spans="1:26" ht="14.4">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row>
    <row r="517" spans="1:26" ht="14.4">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row>
    <row r="518" spans="1:26" ht="14.4">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row>
    <row r="519" spans="1:26" ht="14.4">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row>
    <row r="520" spans="1:26" ht="14.4">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row>
    <row r="521" spans="1:26" ht="14.4">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row>
    <row r="522" spans="1:26" ht="14.4">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row>
    <row r="523" spans="1:26" ht="14.4">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row>
    <row r="524" spans="1:26" ht="14.4">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row>
    <row r="525" spans="1:26" ht="14.4">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row>
    <row r="526" spans="1:26" ht="14.4">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row>
    <row r="527" spans="1:26" ht="14.4">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row>
    <row r="528" spans="1:26" ht="14.4">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row>
    <row r="529" spans="1:26" ht="14.4">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row>
    <row r="530" spans="1:26" ht="14.4">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row>
    <row r="531" spans="1:26" ht="14.4">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row>
    <row r="532" spans="1:26" ht="14.4">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row>
    <row r="533" spans="1:26" ht="14.4">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row>
    <row r="534" spans="1:26" ht="14.4">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row>
    <row r="535" spans="1:26" ht="14.4">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row>
    <row r="536" spans="1:26" ht="14.4">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row>
    <row r="537" spans="1:26" ht="14.4">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row>
    <row r="538" spans="1:26" ht="14.4">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row>
    <row r="539" spans="1:26" ht="14.4">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row>
    <row r="540" spans="1:26" ht="14.4">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row>
    <row r="541" spans="1:26" ht="14.4">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row>
    <row r="542" spans="1:26" ht="14.4">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row>
    <row r="543" spans="1:26" ht="14.4">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row>
    <row r="544" spans="1:26" ht="14.4">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row>
    <row r="545" spans="1:26" ht="14.4">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row>
    <row r="546" spans="1:26" ht="14.4">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row>
    <row r="547" spans="1:26" ht="14.4">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row>
    <row r="548" spans="1:26" ht="14.4">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row>
    <row r="549" spans="1:26" ht="14.4">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row>
    <row r="550" spans="1:26" ht="14.4">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row>
    <row r="551" spans="1:26" ht="14.4">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row>
    <row r="552" spans="1:26" ht="14.4">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row>
    <row r="553" spans="1:26" ht="14.4">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row>
    <row r="554" spans="1:26" ht="14.4">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row>
    <row r="555" spans="1:26" ht="14.4">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row>
    <row r="556" spans="1:26" ht="14.4">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row>
    <row r="557" spans="1:26" ht="14.4">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row>
    <row r="558" spans="1:26" ht="14.4">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row>
    <row r="559" spans="1:26" ht="14.4">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row>
    <row r="560" spans="1:26" ht="14.4">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row>
    <row r="561" spans="1:26" ht="14.4">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row>
    <row r="562" spans="1:26" ht="14.4">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row>
    <row r="563" spans="1:26" ht="14.4">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row>
    <row r="564" spans="1:26" ht="14.4">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row>
    <row r="565" spans="1:26" ht="14.4">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row>
    <row r="566" spans="1:26" ht="14.4">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row>
    <row r="567" spans="1:26" ht="14.4">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row>
    <row r="568" spans="1:26" ht="14.4">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row>
    <row r="569" spans="1:26" ht="14.4">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row>
    <row r="570" spans="1:26" ht="14.4">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row>
    <row r="571" spans="1:26" ht="14.4">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row>
    <row r="572" spans="1:26" ht="14.4">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row>
    <row r="573" spans="1:26" ht="14.4">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row>
    <row r="574" spans="1:26" ht="14.4">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row>
    <row r="575" spans="1:26" ht="14.4">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row>
    <row r="576" spans="1:26" ht="14.4">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row>
    <row r="577" spans="1:26" ht="14.4">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row>
    <row r="578" spans="1:26" ht="14.4">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row>
    <row r="579" spans="1:26" ht="14.4">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row>
    <row r="580" spans="1:26" ht="14.4">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row>
    <row r="581" spans="1:26" ht="14.4">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row>
    <row r="582" spans="1:26" ht="14.4">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row>
    <row r="583" spans="1:26" ht="14.4">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row>
    <row r="584" spans="1:26" ht="14.4">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row>
    <row r="585" spans="1:26" ht="14.4">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row>
    <row r="586" spans="1:26" ht="14.4">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row>
    <row r="587" spans="1:26" ht="14.4">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row>
    <row r="588" spans="1:26" ht="14.4">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row>
    <row r="589" spans="1:26" ht="14.4">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row>
    <row r="590" spans="1:26" ht="14.4">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row>
    <row r="591" spans="1:26" ht="14.4">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row>
    <row r="592" spans="1:26" ht="14.4">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row>
    <row r="593" spans="1:26" ht="14.4">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row>
    <row r="594" spans="1:26" ht="14.4">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row>
    <row r="595" spans="1:26" ht="14.4">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row>
    <row r="596" spans="1:26" ht="14.4">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row>
    <row r="597" spans="1:26" ht="14.4">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row>
    <row r="598" spans="1:26" ht="14.4">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row>
    <row r="599" spans="1:26" ht="14.4">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row>
    <row r="600" spans="1:26" ht="14.4">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row>
    <row r="601" spans="1:26" ht="14.4">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row>
    <row r="602" spans="1:26" ht="14.4">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row>
    <row r="603" spans="1:26" ht="14.4">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row>
    <row r="604" spans="1:26" ht="14.4">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row>
    <row r="605" spans="1:26" ht="14.4">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row>
    <row r="606" spans="1:26" ht="14.4">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row>
    <row r="607" spans="1:26" ht="14.4">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row>
    <row r="608" spans="1:26" ht="14.4">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row>
    <row r="609" spans="1:26" ht="14.4">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row>
    <row r="610" spans="1:26" ht="14.4">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row>
    <row r="611" spans="1:26" ht="14.4">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row>
    <row r="612" spans="1:26" ht="14.4">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row>
    <row r="613" spans="1:26" ht="14.4">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row>
    <row r="614" spans="1:26" ht="14.4">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row>
    <row r="615" spans="1:26" ht="14.4">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row>
    <row r="616" spans="1:26" ht="14.4">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row>
    <row r="617" spans="1:26" ht="14.4">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row>
    <row r="618" spans="1:26" ht="14.4">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row>
    <row r="619" spans="1:26" ht="14.4">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row>
    <row r="620" spans="1:26" ht="14.4">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row>
    <row r="621" spans="1:26" ht="14.4">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row>
    <row r="622" spans="1:26" ht="14.4">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row>
    <row r="623" spans="1:26" ht="14.4">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row>
    <row r="624" spans="1:26" ht="14.4">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row>
    <row r="625" spans="1:26" ht="14.4">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row>
    <row r="626" spans="1:26" ht="14.4">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row>
    <row r="627" spans="1:26" ht="14.4">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row>
    <row r="628" spans="1:26" ht="14.4">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row>
    <row r="629" spans="1:26" ht="14.4">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row>
    <row r="630" spans="1:26" ht="14.4">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row>
    <row r="631" spans="1:26" ht="14.4">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row>
    <row r="632" spans="1:26" ht="14.4">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row>
    <row r="633" spans="1:26" ht="14.4">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row>
    <row r="634" spans="1:26" ht="14.4">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row>
    <row r="635" spans="1:26" ht="14.4">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row>
    <row r="636" spans="1:26" ht="14.4">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row>
    <row r="637" spans="1:26" ht="14.4">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row>
    <row r="638" spans="1:26" ht="14.4">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row>
    <row r="639" spans="1:26" ht="14.4">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row>
    <row r="640" spans="1:26" ht="14.4">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row>
    <row r="641" spans="1:26" ht="14.4">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row>
    <row r="642" spans="1:26" ht="14.4">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row>
    <row r="643" spans="1:26" ht="14.4">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row>
    <row r="644" spans="1:26" ht="14.4">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row>
    <row r="645" spans="1:26" ht="14.4">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row>
    <row r="646" spans="1:26" ht="14.4">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row>
    <row r="647" spans="1:26" ht="14.4">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row>
    <row r="648" spans="1:26" ht="14.4">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row>
    <row r="649" spans="1:26" ht="14.4">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row>
    <row r="650" spans="1:26" ht="14.4">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row>
    <row r="651" spans="1:26" ht="14.4">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row>
    <row r="652" spans="1:26" ht="14.4">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row>
    <row r="653" spans="1:26" ht="14.4">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row>
    <row r="654" spans="1:26" ht="14.4">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row>
    <row r="655" spans="1:26" ht="14.4">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row>
    <row r="656" spans="1:26" ht="14.4">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row>
    <row r="657" spans="1:26" ht="14.4">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row>
    <row r="658" spans="1:26" ht="14.4">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row>
    <row r="659" spans="1:26" ht="14.4">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row>
    <row r="660" spans="1:26" ht="14.4">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row>
    <row r="661" spans="1:26" ht="14.4">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row>
    <row r="662" spans="1:26" ht="14.4">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row>
    <row r="663" spans="1:26" ht="14.4">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row>
    <row r="664" spans="1:26" ht="14.4">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row>
    <row r="665" spans="1:26" ht="14.4">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row>
    <row r="666" spans="1:26" ht="14.4">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row>
    <row r="667" spans="1:26" ht="14.4">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row>
    <row r="668" spans="1:26" ht="14.4">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row>
    <row r="669" spans="1:26" ht="14.4">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row>
    <row r="670" spans="1:26" ht="14.4">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row>
    <row r="671" spans="1:26" ht="14.4">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row>
    <row r="672" spans="1:26" ht="14.4">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row>
    <row r="673" spans="1:26" ht="14.4">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row>
    <row r="674" spans="1:26" ht="14.4">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row>
    <row r="675" spans="1:26" ht="14.4">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row>
    <row r="676" spans="1:26" ht="14.4">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row>
    <row r="677" spans="1:26" ht="14.4">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row>
    <row r="678" spans="1:26" ht="14.4">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row>
    <row r="679" spans="1:26" ht="14.4">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row>
    <row r="680" spans="1:26" ht="14.4">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row>
    <row r="681" spans="1:26" ht="14.4">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row>
    <row r="682" spans="1:26" ht="14.4">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row>
    <row r="683" spans="1:26" ht="14.4">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row>
    <row r="684" spans="1:26" ht="14.4">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row>
    <row r="685" spans="1:26" ht="14.4">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row>
    <row r="686" spans="1:26" ht="14.4">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row>
    <row r="687" spans="1:26" ht="14.4">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row>
    <row r="688" spans="1:26" ht="14.4">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row>
    <row r="689" spans="1:26" ht="14.4">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row>
    <row r="690" spans="1:26" ht="14.4">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row>
    <row r="691" spans="1:26" ht="14.4">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row>
    <row r="692" spans="1:26" ht="14.4">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row>
    <row r="693" spans="1:26" ht="14.4">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row>
    <row r="694" spans="1:26" ht="14.4">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row>
    <row r="695" spans="1:26" ht="14.4">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row>
    <row r="696" spans="1:26" ht="14.4">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row>
    <row r="697" spans="1:26" ht="14.4">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row>
    <row r="698" spans="1:26" ht="14.4">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row>
    <row r="699" spans="1:26" ht="14.4">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row>
    <row r="700" spans="1:26" ht="14.4">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row>
    <row r="701" spans="1:26" ht="14.4">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row>
    <row r="702" spans="1:26" ht="14.4">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row>
    <row r="703" spans="1:26" ht="14.4">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row>
    <row r="704" spans="1:26" ht="14.4">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row>
    <row r="705" spans="1:26" ht="14.4">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row>
    <row r="706" spans="1:26" ht="14.4">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row>
    <row r="707" spans="1:26" ht="14.4">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row>
    <row r="708" spans="1:26" ht="14.4">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row>
    <row r="709" spans="1:26" ht="14.4">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row>
    <row r="710" spans="1:26" ht="14.4">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row>
    <row r="711" spans="1:26" ht="14.4">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row>
    <row r="712" spans="1:26" ht="14.4">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row>
    <row r="713" spans="1:26" ht="14.4">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row>
    <row r="714" spans="1:26" ht="14.4">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row>
    <row r="715" spans="1:26" ht="14.4">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row>
    <row r="716" spans="1:26" ht="14.4">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row>
    <row r="717" spans="1:26" ht="14.4">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row>
    <row r="718" spans="1:26" ht="14.4">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row>
    <row r="719" spans="1:26" ht="14.4">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row>
    <row r="720" spans="1:26" ht="14.4">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row>
    <row r="721" spans="1:26" ht="14.4">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row>
    <row r="722" spans="1:26" ht="14.4">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row>
    <row r="723" spans="1:26" ht="14.4">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row>
    <row r="724" spans="1:26" ht="14.4">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row>
    <row r="725" spans="1:26" ht="14.4">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row>
    <row r="726" spans="1:26" ht="14.4">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row>
    <row r="727" spans="1:26" ht="14.4">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row>
    <row r="728" spans="1:26" ht="14.4">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row>
    <row r="729" spans="1:26" ht="14.4">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row>
    <row r="730" spans="1:26" ht="14.4">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row>
    <row r="731" spans="1:26" ht="14.4">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row>
    <row r="732" spans="1:26" ht="14.4">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row>
    <row r="733" spans="1:26" ht="14.4">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row>
    <row r="734" spans="1:26" ht="14.4">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row>
    <row r="735" spans="1:26" ht="14.4">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row>
    <row r="736" spans="1:26" ht="14.4">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row>
    <row r="737" spans="1:26" ht="14.4">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row>
    <row r="738" spans="1:26" ht="14.4">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row>
    <row r="739" spans="1:26" ht="14.4">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row>
    <row r="740" spans="1:26" ht="14.4">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row>
    <row r="741" spans="1:26" ht="14.4">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row>
    <row r="742" spans="1:26" ht="14.4">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row>
    <row r="743" spans="1:26" ht="14.4">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row>
    <row r="744" spans="1:26" ht="14.4">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row>
    <row r="745" spans="1:26" ht="14.4">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row>
    <row r="746" spans="1:26" ht="14.4">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row>
    <row r="747" spans="1:26" ht="14.4">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row>
    <row r="748" spans="1:26" ht="14.4">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row>
    <row r="749" spans="1:26" ht="14.4">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row>
    <row r="750" spans="1:26" ht="14.4">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row>
    <row r="751" spans="1:26" ht="14.4">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row>
    <row r="752" spans="1:26" ht="14.4">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row>
    <row r="753" spans="1:26" ht="14.4">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row>
    <row r="754" spans="1:26" ht="14.4">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row>
    <row r="755" spans="1:26" ht="14.4">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row>
    <row r="756" spans="1:26" ht="14.4">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row>
    <row r="757" spans="1:26" ht="14.4">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row>
    <row r="758" spans="1:26" ht="14.4">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row>
    <row r="759" spans="1:26" ht="14.4">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row>
    <row r="760" spans="1:26" ht="14.4">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row>
    <row r="761" spans="1:26" ht="14.4">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row>
    <row r="762" spans="1:26" ht="14.4">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row>
    <row r="763" spans="1:26" ht="14.4">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row>
    <row r="764" spans="1:26" ht="14.4">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row>
    <row r="765" spans="1:26" ht="14.4">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row>
    <row r="766" spans="1:26" ht="14.4">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row>
    <row r="767" spans="1:26" ht="14.4">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row>
    <row r="768" spans="1:26" ht="14.4">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row>
    <row r="769" spans="1:26" ht="14.4">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row>
    <row r="770" spans="1:26" ht="14.4">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row>
    <row r="771" spans="1:26" ht="14.4">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row>
    <row r="772" spans="1:26" ht="14.4">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row>
    <row r="773" spans="1:26" ht="14.4">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row>
    <row r="774" spans="1:26" ht="14.4">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row>
    <row r="775" spans="1:26" ht="14.4">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row>
    <row r="776" spans="1:26" ht="14.4">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row>
    <row r="777" spans="1:26" ht="14.4">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row>
    <row r="778" spans="1:26" ht="14.4">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row>
    <row r="779" spans="1:26" ht="14.4">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row>
    <row r="780" spans="1:26" ht="14.4">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row>
    <row r="781" spans="1:26" ht="14.4">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row>
    <row r="782" spans="1:26" ht="14.4">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row>
    <row r="783" spans="1:26" ht="14.4">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row>
    <row r="784" spans="1:26" ht="14.4">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row>
    <row r="785" spans="1:26" ht="14.4">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row>
    <row r="786" spans="1:26" ht="14.4">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row>
    <row r="787" spans="1:26" ht="14.4">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row>
    <row r="788" spans="1:26" ht="14.4">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row>
    <row r="789" spans="1:26" ht="14.4">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row>
    <row r="790" spans="1:26" ht="14.4">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row>
    <row r="791" spans="1:26" ht="14.4">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row>
    <row r="792" spans="1:26" ht="14.4">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row>
    <row r="793" spans="1:26" ht="14.4">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row>
    <row r="794" spans="1:26" ht="14.4">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row>
    <row r="795" spans="1:26" ht="14.4">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row>
    <row r="796" spans="1:26" ht="14.4">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row>
    <row r="797" spans="1:26" ht="14.4">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row>
    <row r="798" spans="1:26" ht="14.4">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row>
    <row r="799" spans="1:26" ht="14.4">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row>
    <row r="800" spans="1:26" ht="14.4">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row>
    <row r="801" spans="1:26" ht="14.4">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row>
    <row r="802" spans="1:26" ht="14.4">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row>
    <row r="803" spans="1:26" ht="14.4">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row>
    <row r="804" spans="1:26" ht="14.4">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row>
    <row r="805" spans="1:26" ht="14.4">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row>
    <row r="806" spans="1:26" ht="14.4">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row>
    <row r="807" spans="1:26" ht="14.4">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row>
    <row r="808" spans="1:26" ht="14.4">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row>
    <row r="809" spans="1:26" ht="14.4">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row>
    <row r="810" spans="1:26" ht="14.4">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row>
    <row r="811" spans="1:26" ht="14.4">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row>
    <row r="812" spans="1:26" ht="14.4">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row>
    <row r="813" spans="1:26" ht="14.4">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row>
    <row r="814" spans="1:26" ht="14.4">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row>
    <row r="815" spans="1:26" ht="14.4">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row>
    <row r="816" spans="1:26" ht="14.4">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row>
    <row r="817" spans="1:26" ht="14.4">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row>
    <row r="818" spans="1:26" ht="14.4">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row>
    <row r="819" spans="1:26" ht="14.4">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row>
    <row r="820" spans="1:26" ht="14.4">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row>
    <row r="821" spans="1:26" ht="14.4">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row>
    <row r="822" spans="1:26" ht="14.4">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row>
    <row r="823" spans="1:26" ht="14.4">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row>
    <row r="824" spans="1:26" ht="14.4">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row>
    <row r="825" spans="1:26" ht="14.4">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row>
    <row r="826" spans="1:26" ht="14.4">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row>
    <row r="827" spans="1:26" ht="14.4">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row>
    <row r="828" spans="1:26" ht="14.4">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row>
    <row r="829" spans="1:26" ht="14.4">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row>
    <row r="830" spans="1:26" ht="14.4">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row>
    <row r="831" spans="1:26" ht="14.4">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row>
    <row r="832" spans="1:26" ht="14.4">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row>
    <row r="833" spans="1:26" ht="14.4">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row>
    <row r="834" spans="1:26" ht="14.4">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row>
    <row r="835" spans="1:26" ht="14.4">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row>
    <row r="836" spans="1:26" ht="14.4">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row>
    <row r="837" spans="1:26" ht="14.4">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row>
    <row r="838" spans="1:26" ht="14.4">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row>
    <row r="839" spans="1:26" ht="14.4">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row>
    <row r="840" spans="1:26" ht="14.4">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row>
    <row r="841" spans="1:26" ht="14.4">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row>
    <row r="842" spans="1:26" ht="14.4">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row>
    <row r="843" spans="1:26" ht="14.4">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row>
    <row r="844" spans="1:26" ht="14.4">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row>
    <row r="845" spans="1:26" ht="14.4">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row>
    <row r="846" spans="1:26" ht="14.4">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row>
    <row r="847" spans="1:26" ht="14.4">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row>
    <row r="848" spans="1:26" ht="14.4">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row>
    <row r="849" spans="1:26" ht="14.4">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row>
    <row r="850" spans="1:26" ht="14.4">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row>
    <row r="851" spans="1:26" ht="14.4">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row>
    <row r="852" spans="1:26" ht="14.4">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row>
    <row r="853" spans="1:26" ht="14.4">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row>
    <row r="854" spans="1:26" ht="14.4">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row>
    <row r="855" spans="1:26" ht="14.4">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row>
    <row r="856" spans="1:26" ht="14.4">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row>
    <row r="857" spans="1:26" ht="14.4">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row>
    <row r="858" spans="1:26" ht="14.4">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row>
    <row r="859" spans="1:26" ht="14.4">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row>
    <row r="860" spans="1:26" ht="14.4">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row>
    <row r="861" spans="1:26" ht="14.4">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row>
    <row r="862" spans="1:26" ht="14.4">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row>
    <row r="863" spans="1:26" ht="14.4">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row>
    <row r="864" spans="1:26" ht="14.4">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row>
    <row r="865" spans="1:26" ht="14.4">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row>
    <row r="866" spans="1:26" ht="14.4">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row>
    <row r="867" spans="1:26" ht="14.4">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row>
    <row r="868" spans="1:26" ht="14.4">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row>
    <row r="869" spans="1:26" ht="14.4">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row>
    <row r="870" spans="1:26" ht="14.4">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row>
    <row r="871" spans="1:26" ht="14.4">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row>
    <row r="872" spans="1:26" ht="14.4">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row>
    <row r="873" spans="1:26" ht="14.4">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row>
    <row r="874" spans="1:26" ht="14.4">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row>
    <row r="875" spans="1:26" ht="14.4">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row>
    <row r="876" spans="1:26" ht="14.4">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row>
    <row r="877" spans="1:26" ht="14.4">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row>
    <row r="878" spans="1:26" ht="14.4">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row>
    <row r="879" spans="1:26" ht="14.4">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row>
    <row r="880" spans="1:26" ht="14.4">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row>
    <row r="881" spans="1:26" ht="14.4">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row>
    <row r="882" spans="1:26" ht="14.4">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row>
    <row r="883" spans="1:26" ht="14.4">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row>
    <row r="884" spans="1:26" ht="14.4">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row>
    <row r="885" spans="1:26" ht="14.4">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row>
    <row r="886" spans="1:26" ht="14.4">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row>
    <row r="887" spans="1:26" ht="14.4">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row>
    <row r="888" spans="1:26" ht="14.4">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row>
    <row r="889" spans="1:26" ht="14.4">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row>
    <row r="890" spans="1:26" ht="14.4">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row>
    <row r="891" spans="1:26" ht="14.4">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row>
    <row r="892" spans="1:26" ht="14.4">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row>
    <row r="893" spans="1:26" ht="14.4">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row>
    <row r="894" spans="1:26" ht="14.4">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row>
    <row r="895" spans="1:26" ht="14.4">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row>
    <row r="896" spans="1:26" ht="14.4">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row>
    <row r="897" spans="1:26" ht="14.4">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row>
    <row r="898" spans="1:26" ht="14.4">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row>
    <row r="899" spans="1:26" ht="14.4">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row>
    <row r="900" spans="1:26" ht="14.4">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row>
    <row r="901" spans="1:26" ht="14.4">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row>
    <row r="902" spans="1:26" ht="14.4">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row>
    <row r="903" spans="1:26" ht="14.4">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row>
    <row r="904" spans="1:26" ht="14.4">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row>
    <row r="905" spans="1:26" ht="14.4">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row>
    <row r="906" spans="1:26" ht="14.4">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row>
    <row r="907" spans="1:26" ht="14.4">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row>
    <row r="908" spans="1:26" ht="14.4">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row>
    <row r="909" spans="1:26" ht="14.4">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row>
    <row r="910" spans="1:26" ht="14.4">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row>
    <row r="911" spans="1:26" ht="14.4">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row>
    <row r="912" spans="1:26" ht="14.4">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row>
    <row r="913" spans="1:26" ht="14.4">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row>
    <row r="914" spans="1:26" ht="14.4">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row>
    <row r="915" spans="1:26" ht="14.4">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row>
    <row r="916" spans="1:26" ht="14.4">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row>
    <row r="917" spans="1:26" ht="14.4">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row>
    <row r="918" spans="1:26" ht="14.4">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row>
    <row r="919" spans="1:26" ht="14.4">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row>
    <row r="920" spans="1:26" ht="14.4">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row>
    <row r="921" spans="1:26" ht="14.4">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row>
    <row r="922" spans="1:26" ht="14.4">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row>
    <row r="923" spans="1:26" ht="14.4">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row>
    <row r="924" spans="1:26" ht="14.4">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row>
    <row r="925" spans="1:26" ht="14.4">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row>
    <row r="926" spans="1:26" ht="14.4">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row>
    <row r="927" spans="1:26" ht="14.4">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row>
    <row r="928" spans="1:26" ht="14.4">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row>
    <row r="929" spans="1:26" ht="14.4">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row>
    <row r="930" spans="1:26" ht="14.4">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row>
    <row r="931" spans="1:26" ht="14.4">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row>
    <row r="932" spans="1:26" ht="14.4">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row>
    <row r="933" spans="1:26" ht="14.4">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row>
    <row r="934" spans="1:26" ht="14.4">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row>
    <row r="935" spans="1:26" ht="14.4">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row>
    <row r="936" spans="1:26" ht="14.4">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row>
    <row r="937" spans="1:26" ht="14.4">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row>
    <row r="938" spans="1:26" ht="14.4">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row>
    <row r="939" spans="1:26" ht="14.4">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row>
    <row r="940" spans="1:26" ht="14.4">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row>
    <row r="941" spans="1:26" ht="14.4">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row>
    <row r="942" spans="1:26" ht="14.4">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row>
    <row r="943" spans="1:26" ht="14.4">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row>
    <row r="944" spans="1:26" ht="14.4">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row>
    <row r="945" spans="1:26" ht="14.4">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row>
    <row r="946" spans="1:26" ht="14.4">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row>
    <row r="947" spans="1:26" ht="14.4">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row>
    <row r="948" spans="1:26" ht="14.4">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row>
    <row r="949" spans="1:26" ht="14.4">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row>
    <row r="950" spans="1:26" ht="14.4">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row>
    <row r="951" spans="1:26" ht="14.4">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row>
    <row r="952" spans="1:26" ht="14.4">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row>
    <row r="953" spans="1:26" ht="14.4">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row>
    <row r="954" spans="1:26" ht="14.4">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row>
    <row r="955" spans="1:26" ht="14.4">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row>
    <row r="956" spans="1:26" ht="14.4">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row>
    <row r="957" spans="1:26" ht="14.4">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row>
    <row r="958" spans="1:26" ht="14.4">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row>
    <row r="959" spans="1:26" ht="14.4">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row>
    <row r="960" spans="1:26" ht="14.4">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row>
    <row r="961" spans="1:26" ht="14.4">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row>
    <row r="962" spans="1:26" ht="14.4">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row>
    <row r="963" spans="1:26" ht="14.4">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row>
    <row r="964" spans="1:26" ht="14.4">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row>
    <row r="965" spans="1:26" ht="14.4">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row>
    <row r="966" spans="1:26" ht="14.4">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row>
    <row r="967" spans="1:26" ht="14.4">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row>
    <row r="968" spans="1:26" ht="14.4">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row>
    <row r="969" spans="1:26" ht="14.4">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row>
    <row r="970" spans="1:26" ht="14.4">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row>
    <row r="971" spans="1:26" ht="14.4">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row>
    <row r="972" spans="1:26" ht="14.4">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row>
    <row r="973" spans="1:26" ht="14.4">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row>
    <row r="974" spans="1:26" ht="14.4">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row>
    <row r="975" spans="1:26" ht="14.4">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row>
    <row r="976" spans="1:26" ht="14.4">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row>
    <row r="977" spans="1:26" ht="14.4">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row>
    <row r="978" spans="1:26" ht="14.4">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row>
    <row r="979" spans="1:26" ht="14.4">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row>
    <row r="980" spans="1:26" ht="14.4">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row>
    <row r="981" spans="1:26" ht="14.4">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row>
    <row r="982" spans="1:26" ht="14.4">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row>
    <row r="983" spans="1:26" ht="14.4">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row>
    <row r="984" spans="1:26" ht="14.4">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row>
    <row r="985" spans="1:26" ht="14.4">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row>
    <row r="986" spans="1:26" ht="14.4">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row>
    <row r="987" spans="1:26" ht="14.4">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row>
    <row r="988" spans="1:26" ht="14.4">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row>
    <row r="989" spans="1:26" ht="14.4">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row>
    <row r="990" spans="1:26" ht="14.4">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row>
    <row r="991" spans="1:26" ht="14.4">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row>
    <row r="992" spans="1:26" ht="14.4">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row>
    <row r="993" spans="1:26" ht="14.4">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row>
    <row r="994" spans="1:26" ht="14.4">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row>
    <row r="995" spans="1:26" ht="14.4">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row>
    <row r="996" spans="1:26" ht="14.4">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row>
    <row r="997" spans="1:26" ht="14.4">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row>
    <row r="998" spans="1:26" ht="14.4">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row>
    <row r="999" spans="1:26" ht="14.4">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row>
    <row r="1000" spans="1:26" ht="14.4">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row>
    <row r="1001" spans="1:26" ht="14.4">
      <c r="A1001" s="154"/>
      <c r="B1001" s="154"/>
      <c r="C1001" s="154"/>
      <c r="D1001" s="154"/>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row>
    <row r="1002" spans="1:26" ht="14.4">
      <c r="A1002" s="154"/>
      <c r="B1002" s="154"/>
      <c r="C1002" s="154"/>
      <c r="D1002" s="154"/>
      <c r="E1002" s="154"/>
      <c r="F1002" s="154"/>
      <c r="G1002" s="154"/>
      <c r="H1002" s="154"/>
      <c r="I1002" s="154"/>
      <c r="J1002" s="154"/>
      <c r="K1002" s="154"/>
      <c r="L1002" s="154"/>
      <c r="M1002" s="154"/>
      <c r="N1002" s="154"/>
      <c r="O1002" s="154"/>
      <c r="P1002" s="154"/>
      <c r="Q1002" s="154"/>
      <c r="R1002" s="154"/>
      <c r="S1002" s="154"/>
      <c r="T1002" s="154"/>
      <c r="U1002" s="154"/>
      <c r="V1002" s="154"/>
      <c r="W1002" s="154"/>
      <c r="X1002" s="154"/>
      <c r="Y1002" s="154"/>
      <c r="Z1002" s="154"/>
    </row>
    <row r="1003" spans="1:26" ht="14.4">
      <c r="A1003" s="154"/>
      <c r="B1003" s="154"/>
      <c r="C1003" s="154"/>
      <c r="D1003" s="154"/>
      <c r="E1003" s="154"/>
      <c r="F1003" s="154"/>
      <c r="G1003" s="154"/>
      <c r="H1003" s="154"/>
      <c r="I1003" s="154"/>
      <c r="J1003" s="154"/>
      <c r="K1003" s="154"/>
      <c r="L1003" s="154"/>
      <c r="M1003" s="154"/>
      <c r="N1003" s="154"/>
      <c r="O1003" s="154"/>
      <c r="P1003" s="154"/>
      <c r="Q1003" s="154"/>
      <c r="R1003" s="154"/>
      <c r="S1003" s="154"/>
      <c r="T1003" s="154"/>
      <c r="U1003" s="154"/>
      <c r="V1003" s="154"/>
      <c r="W1003" s="154"/>
      <c r="X1003" s="154"/>
      <c r="Y1003" s="154"/>
      <c r="Z1003" s="154"/>
    </row>
    <row r="1004" spans="1:26" ht="14.4">
      <c r="A1004" s="154"/>
      <c r="B1004" s="154"/>
      <c r="C1004" s="154"/>
      <c r="D1004" s="154"/>
      <c r="E1004" s="154"/>
      <c r="F1004" s="154"/>
      <c r="G1004" s="154"/>
      <c r="H1004" s="154"/>
      <c r="I1004" s="154"/>
      <c r="J1004" s="154"/>
      <c r="K1004" s="154"/>
      <c r="L1004" s="154"/>
      <c r="M1004" s="154"/>
      <c r="N1004" s="154"/>
      <c r="O1004" s="154"/>
      <c r="P1004" s="154"/>
      <c r="Q1004" s="154"/>
      <c r="R1004" s="154"/>
      <c r="S1004" s="154"/>
      <c r="T1004" s="154"/>
      <c r="U1004" s="154"/>
      <c r="V1004" s="154"/>
      <c r="W1004" s="154"/>
      <c r="X1004" s="154"/>
      <c r="Y1004" s="154"/>
      <c r="Z1004" s="154"/>
    </row>
    <row r="1005" spans="1:26" ht="14.4">
      <c r="A1005" s="154"/>
      <c r="B1005" s="154"/>
      <c r="C1005" s="154"/>
      <c r="D1005" s="154"/>
      <c r="E1005" s="154"/>
      <c r="F1005" s="154"/>
      <c r="G1005" s="154"/>
      <c r="H1005" s="154"/>
      <c r="I1005" s="154"/>
      <c r="J1005" s="154"/>
      <c r="K1005" s="154"/>
      <c r="L1005" s="154"/>
      <c r="M1005" s="154"/>
      <c r="N1005" s="154"/>
      <c r="O1005" s="154"/>
      <c r="P1005" s="154"/>
      <c r="Q1005" s="154"/>
      <c r="R1005" s="154"/>
      <c r="S1005" s="154"/>
      <c r="T1005" s="154"/>
      <c r="U1005" s="154"/>
      <c r="V1005" s="154"/>
      <c r="W1005" s="154"/>
      <c r="X1005" s="154"/>
      <c r="Y1005" s="154"/>
      <c r="Z1005" s="154"/>
    </row>
    <row r="1006" spans="1:26" ht="14.4">
      <c r="A1006" s="154"/>
      <c r="B1006" s="154"/>
      <c r="C1006" s="154"/>
      <c r="D1006" s="154"/>
      <c r="E1006" s="154"/>
      <c r="F1006" s="154"/>
      <c r="G1006" s="154"/>
      <c r="H1006" s="154"/>
      <c r="I1006" s="154"/>
      <c r="J1006" s="154"/>
      <c r="K1006" s="154"/>
      <c r="L1006" s="154"/>
      <c r="M1006" s="154"/>
      <c r="N1006" s="154"/>
      <c r="O1006" s="154"/>
      <c r="P1006" s="154"/>
      <c r="Q1006" s="154"/>
      <c r="R1006" s="154"/>
      <c r="S1006" s="154"/>
      <c r="T1006" s="154"/>
      <c r="U1006" s="154"/>
      <c r="V1006" s="154"/>
      <c r="W1006" s="154"/>
      <c r="X1006" s="154"/>
      <c r="Y1006" s="154"/>
      <c r="Z1006" s="154"/>
    </row>
    <row r="1007" spans="1:26" ht="14.4">
      <c r="A1007" s="154"/>
      <c r="B1007" s="154"/>
      <c r="C1007" s="154"/>
      <c r="D1007" s="154"/>
      <c r="E1007" s="154"/>
      <c r="F1007" s="154"/>
      <c r="G1007" s="154"/>
      <c r="H1007" s="154"/>
      <c r="I1007" s="154"/>
      <c r="J1007" s="154"/>
      <c r="K1007" s="154"/>
      <c r="L1007" s="154"/>
      <c r="M1007" s="154"/>
      <c r="N1007" s="154"/>
      <c r="O1007" s="154"/>
      <c r="P1007" s="154"/>
      <c r="Q1007" s="154"/>
      <c r="R1007" s="154"/>
      <c r="S1007" s="154"/>
      <c r="T1007" s="154"/>
      <c r="U1007" s="154"/>
      <c r="V1007" s="154"/>
      <c r="W1007" s="154"/>
      <c r="X1007" s="154"/>
      <c r="Y1007" s="154"/>
      <c r="Z1007" s="154"/>
    </row>
    <row r="1008" spans="1:26" ht="14.4">
      <c r="A1008" s="154"/>
      <c r="B1008" s="154"/>
      <c r="C1008" s="154"/>
      <c r="D1008" s="154"/>
      <c r="E1008" s="154"/>
      <c r="F1008" s="154"/>
      <c r="G1008" s="154"/>
      <c r="H1008" s="154"/>
      <c r="I1008" s="154"/>
      <c r="J1008" s="154"/>
      <c r="K1008" s="154"/>
      <c r="L1008" s="154"/>
      <c r="M1008" s="154"/>
      <c r="N1008" s="154"/>
      <c r="O1008" s="154"/>
      <c r="P1008" s="154"/>
      <c r="Q1008" s="154"/>
      <c r="R1008" s="154"/>
      <c r="S1008" s="154"/>
      <c r="T1008" s="154"/>
      <c r="U1008" s="154"/>
      <c r="V1008" s="154"/>
      <c r="W1008" s="154"/>
      <c r="X1008" s="154"/>
      <c r="Y1008" s="154"/>
      <c r="Z1008" s="154"/>
    </row>
    <row r="1009" spans="1:26" ht="14.4">
      <c r="A1009" s="154"/>
      <c r="B1009" s="154"/>
      <c r="C1009" s="154"/>
      <c r="D1009" s="154"/>
      <c r="E1009" s="154"/>
      <c r="F1009" s="154"/>
      <c r="G1009" s="154"/>
      <c r="H1009" s="154"/>
      <c r="I1009" s="154"/>
      <c r="J1009" s="154"/>
      <c r="K1009" s="154"/>
      <c r="L1009" s="154"/>
      <c r="M1009" s="154"/>
      <c r="N1009" s="154"/>
      <c r="O1009" s="154"/>
      <c r="P1009" s="154"/>
      <c r="Q1009" s="154"/>
      <c r="R1009" s="154"/>
      <c r="S1009" s="154"/>
      <c r="T1009" s="154"/>
      <c r="U1009" s="154"/>
      <c r="V1009" s="154"/>
      <c r="W1009" s="154"/>
      <c r="X1009" s="154"/>
      <c r="Y1009" s="154"/>
      <c r="Z1009" s="154"/>
    </row>
    <row r="1010" spans="1:26" ht="14.4">
      <c r="A1010" s="154"/>
      <c r="B1010" s="154"/>
      <c r="C1010" s="154"/>
      <c r="D1010" s="154"/>
      <c r="E1010" s="154"/>
      <c r="F1010" s="154"/>
      <c r="G1010" s="154"/>
      <c r="H1010" s="154"/>
      <c r="I1010" s="154"/>
      <c r="J1010" s="154"/>
      <c r="K1010" s="154"/>
      <c r="L1010" s="154"/>
      <c r="M1010" s="154"/>
      <c r="N1010" s="154"/>
      <c r="O1010" s="154"/>
      <c r="P1010" s="154"/>
      <c r="Q1010" s="154"/>
      <c r="R1010" s="154"/>
      <c r="S1010" s="154"/>
      <c r="T1010" s="154"/>
      <c r="U1010" s="154"/>
      <c r="V1010" s="154"/>
      <c r="W1010" s="154"/>
      <c r="X1010" s="154"/>
      <c r="Y1010" s="154"/>
      <c r="Z1010" s="154"/>
    </row>
  </sheetData>
  <mergeCells count="2">
    <mergeCell ref="A37:C37"/>
    <mergeCell ref="A48:C48"/>
  </mergeCells>
  <phoneticPr fontId="2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8"/>
  <sheetViews>
    <sheetView topLeftCell="A22" workbookViewId="0">
      <selection activeCell="C3" sqref="C3"/>
    </sheetView>
  </sheetViews>
  <sheetFormatPr defaultRowHeight="14.4"/>
  <cols>
    <col min="1" max="1" width="80" customWidth="1"/>
    <col min="2" max="2" width="80" hidden="1" customWidth="1"/>
    <col min="3" max="3" width="16" customWidth="1"/>
    <col min="4" max="5" width="14" customWidth="1"/>
  </cols>
  <sheetData>
    <row r="1" spans="1:5">
      <c r="A1" s="214" t="s">
        <v>190</v>
      </c>
      <c r="B1" s="214"/>
      <c r="C1" s="217" t="s">
        <v>1</v>
      </c>
      <c r="D1" s="215"/>
      <c r="E1" s="215"/>
    </row>
    <row r="2" spans="1:5">
      <c r="A2" s="214"/>
      <c r="B2" s="214"/>
      <c r="C2" s="2" t="s">
        <v>2</v>
      </c>
      <c r="D2" s="2" t="s">
        <v>68</v>
      </c>
      <c r="E2" s="2" t="s">
        <v>114</v>
      </c>
    </row>
    <row r="3" spans="1:5">
      <c r="A3" s="3" t="s">
        <v>191</v>
      </c>
    </row>
    <row r="4" spans="1:5">
      <c r="A4" s="4" t="s">
        <v>134</v>
      </c>
      <c r="C4" s="7">
        <v>4072</v>
      </c>
      <c r="D4" s="7">
        <v>126</v>
      </c>
      <c r="E4" s="7">
        <v>1110</v>
      </c>
    </row>
    <row r="5" spans="1:5">
      <c r="A5" s="62" t="s">
        <v>192</v>
      </c>
      <c r="B5" s="63"/>
      <c r="C5" s="63"/>
      <c r="D5" s="63"/>
      <c r="E5" s="63"/>
    </row>
    <row r="6" spans="1:5">
      <c r="A6" s="62" t="s">
        <v>193</v>
      </c>
      <c r="B6" s="63"/>
      <c r="C6" s="64">
        <v>2846</v>
      </c>
      <c r="D6" s="64">
        <v>2135</v>
      </c>
      <c r="E6" s="64">
        <v>982</v>
      </c>
    </row>
    <row r="7" spans="1:5">
      <c r="A7" s="4" t="s">
        <v>194</v>
      </c>
      <c r="C7" s="6">
        <v>1058</v>
      </c>
      <c r="D7" s="6">
        <v>876</v>
      </c>
      <c r="E7" s="6">
        <v>737</v>
      </c>
    </row>
    <row r="8" spans="1:5">
      <c r="A8" s="4" t="s">
        <v>195</v>
      </c>
      <c r="C8" s="6">
        <v>2190</v>
      </c>
      <c r="D8" s="6">
        <v>1785</v>
      </c>
      <c r="E8" s="6">
        <v>1283</v>
      </c>
    </row>
    <row r="9" spans="1:5">
      <c r="A9" s="4" t="s">
        <v>125</v>
      </c>
      <c r="B9" s="4" t="s">
        <v>119</v>
      </c>
      <c r="C9" s="6">
        <v>0</v>
      </c>
      <c r="D9" s="6">
        <v>166</v>
      </c>
      <c r="E9" s="6">
        <v>0</v>
      </c>
    </row>
    <row r="10" spans="1:5">
      <c r="A10" s="4" t="s">
        <v>128</v>
      </c>
      <c r="B10" s="4" t="s">
        <v>129</v>
      </c>
      <c r="C10" s="6">
        <v>-2170</v>
      </c>
      <c r="D10" s="6">
        <v>-427</v>
      </c>
      <c r="E10" s="6">
        <v>-542</v>
      </c>
    </row>
    <row r="11" spans="1:5">
      <c r="A11" s="4" t="s">
        <v>196</v>
      </c>
      <c r="C11" s="6">
        <v>-2003</v>
      </c>
      <c r="D11" s="6">
        <v>0</v>
      </c>
      <c r="E11" s="6">
        <v>0</v>
      </c>
    </row>
    <row r="12" spans="1:5">
      <c r="A12" s="3" t="s">
        <v>197</v>
      </c>
    </row>
    <row r="13" spans="1:5">
      <c r="A13" s="4" t="s">
        <v>72</v>
      </c>
      <c r="C13" s="6">
        <v>-1556</v>
      </c>
      <c r="D13" s="6">
        <v>-1000</v>
      </c>
      <c r="E13" s="6">
        <v>-923</v>
      </c>
    </row>
    <row r="14" spans="1:5">
      <c r="A14" s="4" t="s">
        <v>73</v>
      </c>
      <c r="C14" s="6">
        <v>-1645</v>
      </c>
      <c r="D14" s="6">
        <v>-1130</v>
      </c>
      <c r="E14" s="6">
        <v>-981</v>
      </c>
    </row>
    <row r="15" spans="1:5">
      <c r="A15" s="4" t="s">
        <v>198</v>
      </c>
      <c r="C15" s="6">
        <v>-133</v>
      </c>
      <c r="D15" s="6">
        <v>-119</v>
      </c>
      <c r="E15" s="6">
        <v>-58</v>
      </c>
    </row>
    <row r="16" spans="1:5">
      <c r="A16" s="4" t="s">
        <v>199</v>
      </c>
      <c r="C16" s="6">
        <v>1100</v>
      </c>
      <c r="D16" s="6">
        <v>982</v>
      </c>
      <c r="E16" s="6">
        <v>287</v>
      </c>
    </row>
    <row r="17" spans="1:5">
      <c r="A17" s="4" t="s">
        <v>200</v>
      </c>
      <c r="C17" s="6">
        <v>-830</v>
      </c>
      <c r="D17" s="6">
        <v>-728</v>
      </c>
      <c r="E17" s="6">
        <v>0</v>
      </c>
    </row>
    <row r="18" spans="1:5">
      <c r="A18" s="4" t="s">
        <v>87</v>
      </c>
      <c r="C18" s="6">
        <v>1872</v>
      </c>
      <c r="D18" s="6">
        <v>1665</v>
      </c>
      <c r="E18" s="6">
        <v>1503</v>
      </c>
    </row>
    <row r="19" spans="1:5">
      <c r="A19" s="4" t="s">
        <v>201</v>
      </c>
      <c r="C19" s="6">
        <v>4801</v>
      </c>
      <c r="D19" s="6">
        <v>4331</v>
      </c>
      <c r="E19" s="6">
        <v>3398</v>
      </c>
    </row>
    <row r="20" spans="1:5">
      <c r="A20" s="3" t="s">
        <v>202</v>
      </c>
    </row>
    <row r="21" spans="1:5">
      <c r="A21" s="4" t="s">
        <v>203</v>
      </c>
      <c r="C21" s="6">
        <v>-1281</v>
      </c>
      <c r="D21" s="6">
        <v>-369</v>
      </c>
      <c r="E21" s="6">
        <v>-5115</v>
      </c>
    </row>
    <row r="22" spans="1:5">
      <c r="A22" s="4" t="s">
        <v>204</v>
      </c>
      <c r="C22" s="6">
        <v>-1069</v>
      </c>
      <c r="D22" s="6">
        <v>-768</v>
      </c>
      <c r="E22" s="6">
        <v>-362</v>
      </c>
    </row>
    <row r="23" spans="1:5">
      <c r="A23" s="4" t="s">
        <v>205</v>
      </c>
      <c r="C23" s="6">
        <v>1051</v>
      </c>
      <c r="D23" s="6">
        <v>434</v>
      </c>
      <c r="E23" s="6">
        <v>260</v>
      </c>
    </row>
    <row r="24" spans="1:5">
      <c r="A24" s="4" t="s">
        <v>206</v>
      </c>
      <c r="C24" s="6">
        <v>-4833</v>
      </c>
      <c r="D24" s="6">
        <v>-3857</v>
      </c>
      <c r="E24" s="6">
        <v>-1068</v>
      </c>
    </row>
    <row r="25" spans="1:5">
      <c r="A25" s="4" t="s">
        <v>207</v>
      </c>
      <c r="C25" s="6">
        <v>1836</v>
      </c>
      <c r="D25" s="6">
        <v>1444</v>
      </c>
      <c r="E25" s="6">
        <v>1426</v>
      </c>
    </row>
    <row r="26" spans="1:5">
      <c r="A26" s="4" t="s">
        <v>208</v>
      </c>
      <c r="C26" s="6">
        <v>1035</v>
      </c>
      <c r="D26" s="6">
        <v>779</v>
      </c>
      <c r="E26" s="6">
        <v>146</v>
      </c>
    </row>
    <row r="27" spans="1:5">
      <c r="A27" s="4" t="s">
        <v>209</v>
      </c>
      <c r="C27" s="6">
        <v>-710</v>
      </c>
      <c r="D27" s="6">
        <v>-643</v>
      </c>
      <c r="E27" s="6">
        <v>-595</v>
      </c>
    </row>
    <row r="28" spans="1:5">
      <c r="A28" s="4" t="s">
        <v>210</v>
      </c>
      <c r="C28" s="6">
        <v>-3971</v>
      </c>
      <c r="D28" s="6">
        <v>-2980</v>
      </c>
      <c r="E28" s="6">
        <v>-5308</v>
      </c>
    </row>
    <row r="29" spans="1:5">
      <c r="A29" s="3" t="s">
        <v>211</v>
      </c>
    </row>
    <row r="30" spans="1:5">
      <c r="A30" s="4" t="s">
        <v>212</v>
      </c>
      <c r="C30" s="6">
        <v>-20</v>
      </c>
      <c r="D30" s="6">
        <v>0</v>
      </c>
      <c r="E30" s="6">
        <v>2966</v>
      </c>
    </row>
    <row r="31" spans="1:5">
      <c r="A31" s="4" t="s">
        <v>213</v>
      </c>
      <c r="C31" s="6">
        <v>1321</v>
      </c>
      <c r="D31" s="6">
        <v>840</v>
      </c>
      <c r="E31" s="6">
        <v>704</v>
      </c>
    </row>
    <row r="32" spans="1:5">
      <c r="A32" s="4" t="s">
        <v>214</v>
      </c>
      <c r="C32" s="6">
        <v>-103</v>
      </c>
      <c r="D32" s="6">
        <v>-173</v>
      </c>
      <c r="E32" s="6">
        <v>-131</v>
      </c>
    </row>
    <row r="33" spans="1:5">
      <c r="A33" s="4" t="s">
        <v>215</v>
      </c>
      <c r="C33" s="6">
        <v>-4</v>
      </c>
      <c r="D33" s="6">
        <v>-503</v>
      </c>
      <c r="E33" s="6">
        <v>-1529</v>
      </c>
    </row>
    <row r="34" spans="1:5">
      <c r="A34" s="4" t="s">
        <v>216</v>
      </c>
      <c r="C34" s="6">
        <v>1194</v>
      </c>
      <c r="D34" s="6">
        <v>164</v>
      </c>
      <c r="E34" s="6">
        <v>2010</v>
      </c>
    </row>
    <row r="35" spans="1:5">
      <c r="A35" s="4" t="s">
        <v>217</v>
      </c>
      <c r="C35" s="6">
        <v>26</v>
      </c>
      <c r="D35" s="6">
        <v>-39</v>
      </c>
      <c r="E35" s="6">
        <v>26</v>
      </c>
    </row>
    <row r="36" spans="1:5">
      <c r="A36" s="4" t="s">
        <v>218</v>
      </c>
      <c r="C36" s="6">
        <v>2050</v>
      </c>
      <c r="D36" s="6">
        <v>1476</v>
      </c>
      <c r="E36" s="6">
        <v>126</v>
      </c>
    </row>
    <row r="37" spans="1:5">
      <c r="A37" s="4" t="s">
        <v>219</v>
      </c>
      <c r="C37" s="6">
        <v>4145</v>
      </c>
      <c r="D37" s="6">
        <v>2669</v>
      </c>
      <c r="E37" s="6">
        <v>2543</v>
      </c>
    </row>
    <row r="38" spans="1:5">
      <c r="A38" s="4" t="s">
        <v>220</v>
      </c>
      <c r="C38" s="6">
        <v>6195</v>
      </c>
      <c r="D38" s="6">
        <v>4145</v>
      </c>
      <c r="E38" s="6">
        <v>2669</v>
      </c>
    </row>
    <row r="39" spans="1:5">
      <c r="A39" s="3" t="s">
        <v>221</v>
      </c>
    </row>
    <row r="40" spans="1:5">
      <c r="A40" s="4" t="s">
        <v>222</v>
      </c>
      <c r="C40" s="6">
        <v>96</v>
      </c>
      <c r="D40" s="6">
        <v>106</v>
      </c>
      <c r="E40" s="6">
        <v>94</v>
      </c>
    </row>
    <row r="41" spans="1:5">
      <c r="A41" s="4" t="s">
        <v>223</v>
      </c>
      <c r="C41" s="6">
        <v>216</v>
      </c>
      <c r="D41" s="6">
        <v>129</v>
      </c>
      <c r="E41" s="6">
        <v>83</v>
      </c>
    </row>
    <row r="42" spans="1:5">
      <c r="A42" s="3" t="s">
        <v>224</v>
      </c>
    </row>
    <row r="43" spans="1:5">
      <c r="A43" s="4" t="s">
        <v>225</v>
      </c>
      <c r="C43" s="6">
        <v>6</v>
      </c>
      <c r="D43" s="6">
        <v>373</v>
      </c>
      <c r="E43" s="6">
        <v>480</v>
      </c>
    </row>
    <row r="44" spans="1:5">
      <c r="A44" s="4" t="s">
        <v>226</v>
      </c>
      <c r="C44" s="7">
        <v>0</v>
      </c>
      <c r="D44" s="7">
        <v>15215</v>
      </c>
      <c r="E44" s="7">
        <v>1715</v>
      </c>
    </row>
    <row r="45" spans="1:5">
      <c r="A45" s="215"/>
      <c r="B45" s="215"/>
      <c r="C45" s="215"/>
      <c r="D45" s="215"/>
    </row>
    <row r="46" spans="1:5">
      <c r="A46" s="4" t="s">
        <v>141</v>
      </c>
      <c r="B46" s="216" t="s">
        <v>142</v>
      </c>
      <c r="C46" s="215"/>
      <c r="D46" s="215"/>
    </row>
    <row r="47" spans="1:5">
      <c r="A47" s="4" t="s">
        <v>143</v>
      </c>
      <c r="B47" s="216" t="s">
        <v>144</v>
      </c>
      <c r="C47" s="215"/>
      <c r="D47" s="215"/>
    </row>
    <row r="48" spans="1:5">
      <c r="A48" s="4" t="s">
        <v>129</v>
      </c>
      <c r="B48" s="216" t="s">
        <v>145</v>
      </c>
      <c r="C48" s="215"/>
      <c r="D48" s="215"/>
    </row>
  </sheetData>
  <mergeCells count="6">
    <mergeCell ref="B48:D48"/>
    <mergeCell ref="A1:B2"/>
    <mergeCell ref="C1:E1"/>
    <mergeCell ref="A45:D45"/>
    <mergeCell ref="B46:D46"/>
    <mergeCell ref="B47:D4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Document and Entity Information</vt:lpstr>
      <vt:lpstr>Consolidated Balance Sheets</vt:lpstr>
      <vt:lpstr>Consolidated Statements of Oper</vt:lpstr>
      <vt:lpstr>Forecast Balance Sheet</vt:lpstr>
      <vt:lpstr>Forecast Income Statement</vt:lpstr>
      <vt:lpstr>BalanceStat Rate Projection</vt:lpstr>
      <vt:lpstr>OperationStat Rate Projection</vt:lpstr>
      <vt:lpstr>Valuation</vt:lpstr>
      <vt:lpstr>Consolidated Statements of Cash</vt:lpstr>
      <vt:lpstr>Consolidated Balance Sheets (Pa</vt:lpstr>
      <vt:lpstr>Consolidated Statements of Op_2</vt:lpstr>
      <vt:lpstr>Condensed Consolidated Statemen</vt:lpstr>
      <vt:lpstr>Consolidated Statements of Comp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tiffa</cp:lastModifiedBy>
  <dcterms:created xsi:type="dcterms:W3CDTF">2021-03-17T16:50:57Z</dcterms:created>
  <dcterms:modified xsi:type="dcterms:W3CDTF">2021-12-09T18:35:56Z</dcterms:modified>
</cp:coreProperties>
</file>