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showInkAnnotation="0" updateLinks="never" autoCompressPictures="0"/>
  <mc:AlternateContent xmlns:mc="http://schemas.openxmlformats.org/markup-compatibility/2006">
    <mc:Choice Requires="x15">
      <x15ac:absPath xmlns:x15ac="http://schemas.microsoft.com/office/spreadsheetml/2010/11/ac" url="https://mitprod-my.sharepoint.com/personal/tigerb_mit_edu/Documents/Documents/GitHub/U_Th_dating/mad_test_3/"/>
    </mc:Choice>
  </mc:AlternateContent>
  <xr:revisionPtr revIDLastSave="33" documentId="13_ncr:1_{7A807CF7-B9A6-419F-A534-2A04A4174124}" xr6:coauthVersionLast="47" xr6:coauthVersionMax="47" xr10:uidLastSave="{18E99531-3335-4D5B-ACCE-2048C1CA5E54}"/>
  <bookViews>
    <workbookView xWindow="38280" yWindow="-120" windowWidth="29040" windowHeight="15720" tabRatio="500" activeTab="1" xr2:uid="{00000000-000D-0000-FFFF-FFFF00000000}"/>
  </bookViews>
  <sheets>
    <sheet name="Summary" sheetId="5" r:id="rId1"/>
    <sheet name="U-Th data" sheetId="9" r:id="rId2"/>
    <sheet name="U data" sheetId="1" r:id="rId3"/>
    <sheet name="Th data" sheetId="3" r:id="rId4"/>
    <sheet name="Constants" sheetId="2" r:id="rId5"/>
    <sheet name="Instructions" sheetId="10" r:id="rId6"/>
    <sheet name="Version" sheetId="11" r:id="rId7"/>
    <sheet name="U" sheetId="12" r:id="rId8"/>
    <sheet name="Th" sheetId="13" r:id="rId9"/>
  </sheets>
  <definedNames>
    <definedName name="solver_adj" localSheetId="1" hidden="1">'U-Th data'!#REF!</definedName>
    <definedName name="solver_cvg" localSheetId="1" hidden="1">0.0001</definedName>
    <definedName name="solver_drv" localSheetId="1" hidden="1">1</definedName>
    <definedName name="solver_eng" localSheetId="1" hidden="1">1</definedName>
    <definedName name="solver_itr" localSheetId="1" hidden="1">2147483647</definedName>
    <definedName name="solver_lin" localSheetId="1" hidden="1">2</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0</definedName>
    <definedName name="solver_opt" localSheetId="1" hidden="1">'U-Th data'!#REF!</definedName>
    <definedName name="solver_pre" localSheetId="1" hidden="1">0.000001</definedName>
    <definedName name="solver_rbv" localSheetId="1" hidden="1">1</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3</definedName>
    <definedName name="solver_val" localSheetId="1" hidden="1">0</definedName>
    <definedName name="solver_ver" localSheetId="1" hidden="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P4" i="9" l="1"/>
  <c r="P5" i="9" s="1"/>
  <c r="D7" i="5"/>
  <c r="D8" i="5"/>
  <c r="D9" i="5"/>
  <c r="D10" i="5"/>
  <c r="D11" i="5"/>
  <c r="D12" i="5"/>
  <c r="D13" i="5"/>
  <c r="D14" i="5"/>
  <c r="D6" i="5"/>
  <c r="C7" i="5"/>
  <c r="C8" i="5"/>
  <c r="C9" i="5"/>
  <c r="C10" i="5"/>
  <c r="C11" i="5"/>
  <c r="C12" i="5"/>
  <c r="C13" i="5"/>
  <c r="C14" i="5"/>
  <c r="C6" i="5"/>
  <c r="M7" i="5"/>
  <c r="M8" i="5"/>
  <c r="M9" i="5"/>
  <c r="M10" i="5"/>
  <c r="M11" i="5"/>
  <c r="M12" i="5"/>
  <c r="M13" i="5"/>
  <c r="M14" i="5"/>
  <c r="M6" i="5"/>
  <c r="N7" i="5"/>
  <c r="N8" i="5"/>
  <c r="N9" i="5"/>
  <c r="N10" i="5"/>
  <c r="N11" i="5"/>
  <c r="N12" i="5"/>
  <c r="N13" i="5"/>
  <c r="N14" i="5"/>
  <c r="N6" i="5"/>
  <c r="P7" i="5"/>
  <c r="P8" i="5"/>
  <c r="P9" i="5"/>
  <c r="P10" i="5"/>
  <c r="P11" i="5"/>
  <c r="P12" i="5"/>
  <c r="P13" i="5"/>
  <c r="P14" i="5"/>
  <c r="P6" i="5"/>
  <c r="O7" i="5"/>
  <c r="O8" i="5"/>
  <c r="O9" i="5"/>
  <c r="O10" i="5"/>
  <c r="O11" i="5"/>
  <c r="O12" i="5"/>
  <c r="O13" i="5"/>
  <c r="O14" i="5"/>
  <c r="O6" i="5"/>
  <c r="Q7" i="5"/>
  <c r="Q8" i="5"/>
  <c r="Q9" i="5"/>
  <c r="Q10" i="5"/>
  <c r="Q11" i="5"/>
  <c r="Q12" i="5"/>
  <c r="Q13" i="5"/>
  <c r="Q6" i="5"/>
  <c r="R7" i="5"/>
  <c r="R8" i="5"/>
  <c r="R9" i="5"/>
  <c r="R10" i="5"/>
  <c r="R11" i="5"/>
  <c r="R12" i="5"/>
  <c r="R13" i="5"/>
  <c r="R14" i="5"/>
  <c r="R6" i="5"/>
  <c r="S7" i="5"/>
  <c r="S8" i="5"/>
  <c r="S9" i="5"/>
  <c r="S10" i="5"/>
  <c r="S11" i="5"/>
  <c r="S12" i="5"/>
  <c r="S13" i="5"/>
  <c r="S14" i="5"/>
  <c r="S6" i="5"/>
  <c r="T7" i="5"/>
  <c r="T8" i="5"/>
  <c r="T9" i="5"/>
  <c r="T10" i="5"/>
  <c r="T11" i="5"/>
  <c r="T12" i="5"/>
  <c r="T13" i="5"/>
  <c r="T14" i="5"/>
  <c r="T6" i="5"/>
  <c r="E62" i="9"/>
  <c r="E61" i="9"/>
  <c r="E60" i="9"/>
  <c r="E59" i="9"/>
  <c r="E58" i="9"/>
  <c r="E57" i="9"/>
  <c r="E56" i="9"/>
  <c r="E55" i="9"/>
  <c r="E54" i="9"/>
  <c r="E53" i="9"/>
  <c r="D62" i="9"/>
  <c r="D61" i="9"/>
  <c r="D60" i="9"/>
  <c r="D59" i="9"/>
  <c r="D58" i="9"/>
  <c r="D57" i="9"/>
  <c r="D56" i="9"/>
  <c r="D55" i="9"/>
  <c r="D54" i="9"/>
  <c r="F13" i="9" l="1" a="1"/>
  <c r="F13" i="9" s="1"/>
  <c r="F12" i="9" a="1"/>
  <c r="F12" i="9" s="1"/>
  <c r="F11" i="9" a="1"/>
  <c r="F11" i="9" s="1"/>
  <c r="F10" i="9" a="1"/>
  <c r="F10" i="9" s="1"/>
  <c r="F9" i="9" a="1"/>
  <c r="F9" i="9" s="1"/>
  <c r="F8" i="9" a="1"/>
  <c r="F8" i="9" s="1"/>
  <c r="F7" i="9" a="1"/>
  <c r="F7" i="9" s="1"/>
  <c r="F6" i="9" a="1"/>
  <c r="F6" i="9" s="1"/>
  <c r="F5" i="9" a="1"/>
  <c r="F5" i="9" s="1"/>
  <c r="F4" i="9" a="1"/>
  <c r="F4" i="9" s="1"/>
  <c r="AV5" i="1"/>
  <c r="BC5" i="1"/>
  <c r="BB5" i="1"/>
  <c r="AY5" i="1" s="1"/>
  <c r="BG5" i="1" s="1"/>
  <c r="BS5" i="1" s="1"/>
  <c r="CK5" i="1" s="1"/>
  <c r="CM5" i="1" s="1"/>
  <c r="G5" i="1" s="1"/>
  <c r="AB24" i="1" l="1" a="1"/>
  <c r="AB24" i="1" s="1"/>
  <c r="AB22" i="1" a="1"/>
  <c r="AB22" i="1" s="1"/>
  <c r="AB20" i="1" a="1"/>
  <c r="AB20" i="1" s="1"/>
  <c r="AB18" i="1" a="1"/>
  <c r="AB18" i="1" s="1"/>
  <c r="AB16" i="1" a="1"/>
  <c r="AB16" i="1" s="1"/>
  <c r="AB14" i="1" a="1"/>
  <c r="AB14" i="1" s="1"/>
  <c r="AB12" i="1" a="1"/>
  <c r="AB12" i="1" s="1"/>
  <c r="AB10" i="1" a="1"/>
  <c r="AB10" i="1" s="1"/>
  <c r="AB8" i="1" a="1"/>
  <c r="AB8" i="1" s="1"/>
  <c r="AB6" i="1" a="1"/>
  <c r="AB6" i="1" s="1"/>
  <c r="AB4" i="1" a="1"/>
  <c r="AB4" i="1" s="1"/>
  <c r="W27" i="10"/>
  <c r="H14" i="2"/>
  <c r="AR7" i="1"/>
  <c r="AR8" i="1"/>
  <c r="AR9" i="1"/>
  <c r="AR10" i="1"/>
  <c r="AR11" i="1"/>
  <c r="AR12" i="1"/>
  <c r="AR13" i="1"/>
  <c r="AR14" i="1"/>
  <c r="AR15" i="1"/>
  <c r="AR16" i="1"/>
  <c r="AR17" i="1"/>
  <c r="AR18" i="1"/>
  <c r="AR19" i="1"/>
  <c r="AR20" i="1"/>
  <c r="AR21" i="1"/>
  <c r="AR22" i="1"/>
  <c r="AR23" i="1"/>
  <c r="AR24" i="1"/>
  <c r="AR25" i="1"/>
  <c r="AR26" i="1"/>
  <c r="AR27" i="1"/>
  <c r="AR28" i="1"/>
  <c r="AR29" i="1"/>
  <c r="AR30" i="1"/>
  <c r="AR31" i="1"/>
  <c r="AR32" i="1"/>
  <c r="AR33" i="1"/>
  <c r="AR34" i="1"/>
  <c r="AR35" i="1"/>
  <c r="AR36" i="1"/>
  <c r="AR37" i="1"/>
  <c r="AR38" i="1"/>
  <c r="AR39" i="1"/>
  <c r="AR40" i="1"/>
  <c r="AR41" i="1"/>
  <c r="AR42" i="1"/>
  <c r="AR43" i="1"/>
  <c r="AR44" i="1"/>
  <c r="AR45" i="1"/>
  <c r="AR46" i="1"/>
  <c r="AR47" i="1"/>
  <c r="AR48" i="1"/>
  <c r="AR49" i="1"/>
  <c r="AR50" i="1"/>
  <c r="AR51" i="1"/>
  <c r="AR52" i="1"/>
  <c r="AR53" i="1"/>
  <c r="AR54" i="1"/>
  <c r="AR55" i="1"/>
  <c r="AR56" i="1"/>
  <c r="AR57" i="1"/>
  <c r="AR58" i="1"/>
  <c r="AR59" i="1"/>
  <c r="AR60" i="1"/>
  <c r="AR61" i="1"/>
  <c r="AR62" i="1"/>
  <c r="AR63" i="1"/>
  <c r="AR64" i="1"/>
  <c r="AR65" i="1"/>
  <c r="AR66" i="1"/>
  <c r="AR67" i="1"/>
  <c r="AR68" i="1"/>
  <c r="AR69" i="1"/>
  <c r="AR70" i="1"/>
  <c r="AR71" i="1"/>
  <c r="AR72" i="1"/>
  <c r="AR73" i="1"/>
  <c r="AR74" i="1"/>
  <c r="AR75" i="1"/>
  <c r="AR76" i="1"/>
  <c r="AR77" i="1"/>
  <c r="AR78" i="1"/>
  <c r="AR79" i="1"/>
  <c r="AR80" i="1"/>
  <c r="AR81" i="1"/>
  <c r="AR82" i="1"/>
  <c r="AR83" i="1"/>
  <c r="AR84" i="1"/>
  <c r="AR85" i="1"/>
  <c r="AR86" i="1"/>
  <c r="AR87" i="1"/>
  <c r="AR88" i="1"/>
  <c r="AR89" i="1"/>
  <c r="AR90" i="1"/>
  <c r="AR6" i="1"/>
  <c r="AR5" i="1"/>
  <c r="AR4" i="1"/>
  <c r="D21" i="2"/>
  <c r="C21" i="2"/>
  <c r="D20" i="2"/>
  <c r="C20" i="2"/>
  <c r="AK43" i="3" s="1"/>
  <c r="AL43" i="3" s="1"/>
  <c r="F43" i="3" s="1"/>
  <c r="E22" i="10"/>
  <c r="E23" i="10"/>
  <c r="E21" i="10"/>
  <c r="A22" i="10"/>
  <c r="D22" i="10" s="1"/>
  <c r="B22" i="10"/>
  <c r="C22" i="10"/>
  <c r="A23" i="10"/>
  <c r="B23" i="10"/>
  <c r="D23" i="10" s="1"/>
  <c r="C23" i="10"/>
  <c r="C21" i="10"/>
  <c r="B21" i="10"/>
  <c r="A21" i="10"/>
  <c r="D43" i="3"/>
  <c r="C43" i="3"/>
  <c r="B43" i="3"/>
  <c r="D41" i="3"/>
  <c r="C41" i="3"/>
  <c r="B41" i="3"/>
  <c r="D39" i="3"/>
  <c r="C39" i="3"/>
  <c r="B39" i="3"/>
  <c r="D37" i="3"/>
  <c r="C37" i="3"/>
  <c r="B37" i="3"/>
  <c r="D35" i="3"/>
  <c r="C35" i="3"/>
  <c r="B35" i="3"/>
  <c r="D33" i="3"/>
  <c r="C33" i="3"/>
  <c r="B33" i="3"/>
  <c r="D31" i="3"/>
  <c r="C31" i="3"/>
  <c r="B31" i="3"/>
  <c r="D29" i="3"/>
  <c r="C29" i="3"/>
  <c r="B29" i="3"/>
  <c r="D27" i="3"/>
  <c r="C27" i="3"/>
  <c r="B27" i="3"/>
  <c r="D25" i="3"/>
  <c r="C25" i="3"/>
  <c r="B25" i="3"/>
  <c r="D23" i="3"/>
  <c r="C23" i="3"/>
  <c r="B23" i="3"/>
  <c r="D21" i="3"/>
  <c r="C21" i="3"/>
  <c r="B21" i="3"/>
  <c r="D19" i="3"/>
  <c r="C19" i="3"/>
  <c r="B19" i="3"/>
  <c r="D17" i="3"/>
  <c r="C17" i="3"/>
  <c r="B17" i="3"/>
  <c r="D15" i="3"/>
  <c r="C15" i="3"/>
  <c r="B15" i="3"/>
  <c r="D13" i="3"/>
  <c r="C13" i="3"/>
  <c r="B13" i="3"/>
  <c r="D11" i="3"/>
  <c r="C11" i="3"/>
  <c r="B11" i="3"/>
  <c r="D9" i="3"/>
  <c r="C9" i="3"/>
  <c r="B9" i="3"/>
  <c r="D7" i="3"/>
  <c r="C7" i="3"/>
  <c r="B7" i="3"/>
  <c r="D5" i="3"/>
  <c r="C5" i="3"/>
  <c r="B5" i="3"/>
  <c r="AB5" i="1"/>
  <c r="AC5" i="1"/>
  <c r="AD5" i="1"/>
  <c r="AE5" i="1"/>
  <c r="AB7" i="1"/>
  <c r="AC7" i="1"/>
  <c r="AD7" i="1"/>
  <c r="AE7" i="1"/>
  <c r="AB9" i="1"/>
  <c r="AC9" i="1"/>
  <c r="AD9" i="1"/>
  <c r="AE9" i="1"/>
  <c r="AB11" i="1"/>
  <c r="AC11" i="1"/>
  <c r="AD11" i="1"/>
  <c r="AE11" i="1"/>
  <c r="AB13" i="1"/>
  <c r="AC13" i="1"/>
  <c r="AD13" i="1"/>
  <c r="AE13" i="1"/>
  <c r="AB15" i="1"/>
  <c r="AC15" i="1"/>
  <c r="AD15" i="1"/>
  <c r="AE15" i="1"/>
  <c r="AB17" i="1"/>
  <c r="AC17" i="1"/>
  <c r="AD17" i="1"/>
  <c r="AE17" i="1"/>
  <c r="AB19" i="1"/>
  <c r="AC19" i="1"/>
  <c r="AD19" i="1"/>
  <c r="AE19" i="1"/>
  <c r="AB21" i="1"/>
  <c r="AC21" i="1"/>
  <c r="AD21" i="1"/>
  <c r="AE21" i="1"/>
  <c r="AB23" i="1"/>
  <c r="AC23" i="1"/>
  <c r="AD23" i="1"/>
  <c r="AE23" i="1"/>
  <c r="AB25" i="1"/>
  <c r="AC25" i="1"/>
  <c r="AD25" i="1"/>
  <c r="AE25" i="1"/>
  <c r="AB27" i="1"/>
  <c r="AC27" i="1"/>
  <c r="AD27" i="1"/>
  <c r="AE27" i="1"/>
  <c r="AB29" i="1"/>
  <c r="AC29" i="1"/>
  <c r="AD29" i="1"/>
  <c r="AE29" i="1"/>
  <c r="AB31" i="1"/>
  <c r="AC31" i="1"/>
  <c r="AD31" i="1"/>
  <c r="AE31" i="1"/>
  <c r="D89" i="1"/>
  <c r="C89" i="1"/>
  <c r="B89" i="1"/>
  <c r="D87" i="1"/>
  <c r="C87" i="1"/>
  <c r="B87" i="1"/>
  <c r="D85" i="1"/>
  <c r="C85" i="1"/>
  <c r="B85" i="1"/>
  <c r="D83" i="1"/>
  <c r="C83" i="1"/>
  <c r="B83" i="1"/>
  <c r="D81" i="1"/>
  <c r="C81" i="1"/>
  <c r="B81" i="1"/>
  <c r="D79" i="1"/>
  <c r="C79" i="1"/>
  <c r="B79" i="1"/>
  <c r="D77" i="1"/>
  <c r="C77" i="1"/>
  <c r="B77" i="1"/>
  <c r="D75" i="1"/>
  <c r="C75" i="1"/>
  <c r="B75" i="1"/>
  <c r="D73" i="1"/>
  <c r="C73" i="1"/>
  <c r="B73" i="1"/>
  <c r="D71" i="1"/>
  <c r="C71" i="1"/>
  <c r="B71" i="1"/>
  <c r="D69" i="1"/>
  <c r="C69" i="1"/>
  <c r="B69" i="1"/>
  <c r="D67" i="1"/>
  <c r="C67" i="1"/>
  <c r="B67" i="1"/>
  <c r="D65" i="1"/>
  <c r="C65" i="1"/>
  <c r="B65" i="1"/>
  <c r="D63" i="1"/>
  <c r="C63" i="1"/>
  <c r="B63" i="1"/>
  <c r="D61" i="1"/>
  <c r="C61" i="1"/>
  <c r="B61" i="1"/>
  <c r="D59" i="1"/>
  <c r="C59" i="1"/>
  <c r="B59" i="1"/>
  <c r="D57" i="1"/>
  <c r="C57" i="1"/>
  <c r="B57" i="1"/>
  <c r="D55" i="1"/>
  <c r="C55" i="1"/>
  <c r="B55" i="1"/>
  <c r="D53" i="1"/>
  <c r="C53" i="1"/>
  <c r="B53" i="1"/>
  <c r="D51" i="1"/>
  <c r="C51" i="1"/>
  <c r="B51" i="1"/>
  <c r="D49" i="1"/>
  <c r="C49" i="1"/>
  <c r="B49" i="1"/>
  <c r="D47" i="1"/>
  <c r="C47" i="1"/>
  <c r="B47" i="1"/>
  <c r="D45" i="1"/>
  <c r="C45" i="1"/>
  <c r="B45" i="1"/>
  <c r="D43" i="1"/>
  <c r="C43" i="1"/>
  <c r="B43" i="1"/>
  <c r="D41" i="1"/>
  <c r="C41" i="1"/>
  <c r="B41" i="1"/>
  <c r="D39" i="1"/>
  <c r="C39" i="1"/>
  <c r="B39" i="1"/>
  <c r="D37" i="1"/>
  <c r="C37" i="1"/>
  <c r="B37" i="1"/>
  <c r="D35" i="1"/>
  <c r="C35" i="1"/>
  <c r="B35" i="1"/>
  <c r="D33" i="1"/>
  <c r="C33" i="1"/>
  <c r="B33" i="1"/>
  <c r="D31" i="1"/>
  <c r="C31" i="1"/>
  <c r="B31" i="1"/>
  <c r="D29" i="1"/>
  <c r="C29" i="1"/>
  <c r="B29" i="1"/>
  <c r="D27" i="1"/>
  <c r="C27" i="1"/>
  <c r="B27" i="1"/>
  <c r="D25" i="1"/>
  <c r="C25" i="1"/>
  <c r="B25" i="1"/>
  <c r="D23" i="1"/>
  <c r="C23" i="1"/>
  <c r="B23" i="1"/>
  <c r="D21" i="1"/>
  <c r="C21" i="1"/>
  <c r="B21" i="1"/>
  <c r="D19" i="1"/>
  <c r="C19" i="1"/>
  <c r="B19" i="1"/>
  <c r="D17" i="1"/>
  <c r="C17" i="1"/>
  <c r="B17" i="1"/>
  <c r="D15" i="1"/>
  <c r="C15" i="1"/>
  <c r="B15" i="1"/>
  <c r="D13" i="1"/>
  <c r="C13" i="1"/>
  <c r="B13" i="1"/>
  <c r="D11" i="1"/>
  <c r="C11" i="1"/>
  <c r="B11" i="1"/>
  <c r="D9" i="1"/>
  <c r="C9" i="1"/>
  <c r="B9" i="1"/>
  <c r="D7" i="1"/>
  <c r="C7" i="1"/>
  <c r="B7" i="1"/>
  <c r="D5" i="1"/>
  <c r="C5" i="1"/>
  <c r="B5" i="1"/>
  <c r="D21" i="10"/>
  <c r="B26" i="2" s="1"/>
  <c r="AE2" i="3" s="1"/>
  <c r="AD4" i="3" s="1"/>
  <c r="AE4" i="3" s="1"/>
  <c r="AT5" i="1"/>
  <c r="AZ5" i="1" s="1"/>
  <c r="B12" i="5"/>
  <c r="B13" i="5"/>
  <c r="B14" i="5"/>
  <c r="Q14" i="5"/>
  <c r="AB33" i="1"/>
  <c r="AH33" i="1"/>
  <c r="AI33" i="1" s="1"/>
  <c r="AC33" i="1"/>
  <c r="AD33" i="1"/>
  <c r="AE33" i="1"/>
  <c r="AF33" i="1"/>
  <c r="AG33" i="1"/>
  <c r="AJ33" i="1"/>
  <c r="AK33" i="1" s="1"/>
  <c r="AB35" i="1"/>
  <c r="AF35" i="1" s="1"/>
  <c r="AC35" i="1"/>
  <c r="AD35" i="1"/>
  <c r="AE35" i="1"/>
  <c r="CT89" i="1"/>
  <c r="AT89" i="1"/>
  <c r="AZ89" i="1"/>
  <c r="AB89" i="1"/>
  <c r="AF89" i="1"/>
  <c r="AS89" i="1"/>
  <c r="AV89" i="1"/>
  <c r="AX89" i="1"/>
  <c r="BD88" i="1"/>
  <c r="AS88" i="1"/>
  <c r="AT88" i="1"/>
  <c r="AZ88" i="1"/>
  <c r="AX88" i="1"/>
  <c r="AT90" i="1"/>
  <c r="AZ90" i="1"/>
  <c r="BD90" i="1"/>
  <c r="AS90" i="1"/>
  <c r="AX90" i="1"/>
  <c r="CT87" i="1"/>
  <c r="AT87" i="1"/>
  <c r="AZ87" i="1" s="1"/>
  <c r="AB87" i="1"/>
  <c r="AS87" i="1"/>
  <c r="AV87" i="1" s="1"/>
  <c r="AX87" i="1"/>
  <c r="BD86" i="1"/>
  <c r="AS86" i="1"/>
  <c r="AV86" i="1"/>
  <c r="BA86" i="1" s="1"/>
  <c r="AT86" i="1"/>
  <c r="AZ86" i="1" s="1"/>
  <c r="AX86" i="1"/>
  <c r="CT85" i="1"/>
  <c r="AT85" i="1"/>
  <c r="AZ85" i="1" s="1"/>
  <c r="AB85" i="1"/>
  <c r="AL85" i="1" s="1"/>
  <c r="AM85" i="1" s="1"/>
  <c r="AS85" i="1"/>
  <c r="AV85" i="1" s="1"/>
  <c r="AX85" i="1"/>
  <c r="BD84" i="1"/>
  <c r="AS84" i="1"/>
  <c r="AV84" i="1"/>
  <c r="AT84" i="1"/>
  <c r="AZ84" i="1"/>
  <c r="AX84" i="1"/>
  <c r="CT83" i="1"/>
  <c r="AT83" i="1"/>
  <c r="AZ83" i="1"/>
  <c r="AB83" i="1"/>
  <c r="AS83" i="1"/>
  <c r="AV83" i="1"/>
  <c r="AX83" i="1"/>
  <c r="BD82" i="1"/>
  <c r="AS82" i="1"/>
  <c r="AV82" i="1" s="1"/>
  <c r="AT82" i="1"/>
  <c r="AX82" i="1"/>
  <c r="CT81" i="1"/>
  <c r="AT81" i="1"/>
  <c r="AZ81" i="1"/>
  <c r="AB81" i="1"/>
  <c r="AL81" i="1" s="1"/>
  <c r="AM81" i="1" s="1"/>
  <c r="AS81" i="1"/>
  <c r="AV81" i="1" s="1"/>
  <c r="AX81" i="1"/>
  <c r="BD80" i="1"/>
  <c r="AS80" i="1"/>
  <c r="AV80" i="1" s="1"/>
  <c r="AT80" i="1"/>
  <c r="AZ80" i="1" s="1"/>
  <c r="AX80" i="1"/>
  <c r="CT79" i="1"/>
  <c r="AT79" i="1"/>
  <c r="AZ79" i="1" s="1"/>
  <c r="AB79" i="1"/>
  <c r="AF79" i="1" s="1"/>
  <c r="AG79" i="1" s="1"/>
  <c r="AS79" i="1"/>
  <c r="AV79" i="1" s="1"/>
  <c r="AX79" i="1"/>
  <c r="BD78" i="1"/>
  <c r="AS78" i="1"/>
  <c r="AV78" i="1" s="1"/>
  <c r="AT78" i="1"/>
  <c r="AX78" i="1"/>
  <c r="CT77" i="1"/>
  <c r="AT77" i="1"/>
  <c r="AZ77" i="1"/>
  <c r="AB77" i="1"/>
  <c r="AL77" i="1" s="1"/>
  <c r="AM77" i="1" s="1"/>
  <c r="AF77" i="1"/>
  <c r="AH77" i="1"/>
  <c r="AS77" i="1"/>
  <c r="AV77" i="1" s="1"/>
  <c r="AX77" i="1"/>
  <c r="BD76" i="1"/>
  <c r="AS76" i="1"/>
  <c r="AV76" i="1" s="1"/>
  <c r="AT76" i="1"/>
  <c r="AX76" i="1"/>
  <c r="CT75" i="1"/>
  <c r="AT75" i="1"/>
  <c r="AZ75" i="1" s="1"/>
  <c r="AB75" i="1"/>
  <c r="AS75" i="1"/>
  <c r="AV75" i="1" s="1"/>
  <c r="AX75" i="1"/>
  <c r="BD74" i="1"/>
  <c r="AU74" i="1" s="1"/>
  <c r="AS74" i="1"/>
  <c r="AT74" i="1"/>
  <c r="AX74" i="1"/>
  <c r="CT73" i="1"/>
  <c r="AT73" i="1"/>
  <c r="AZ73" i="1"/>
  <c r="AB73" i="1"/>
  <c r="AF73" i="1" s="1"/>
  <c r="AH73" i="1"/>
  <c r="AS73" i="1"/>
  <c r="AV73" i="1"/>
  <c r="AL73" i="1"/>
  <c r="AX73" i="1"/>
  <c r="BD72" i="1"/>
  <c r="AS72" i="1"/>
  <c r="AV72" i="1"/>
  <c r="AT72" i="1"/>
  <c r="AZ72" i="1"/>
  <c r="AX72" i="1"/>
  <c r="CT71" i="1"/>
  <c r="AT71" i="1"/>
  <c r="AZ71" i="1"/>
  <c r="AB71" i="1"/>
  <c r="AS71" i="1"/>
  <c r="AV71" i="1" s="1"/>
  <c r="AX71" i="1"/>
  <c r="BD70" i="1"/>
  <c r="AS70" i="1"/>
  <c r="AV70" i="1" s="1"/>
  <c r="AT70" i="1"/>
  <c r="AZ70" i="1" s="1"/>
  <c r="AX70" i="1"/>
  <c r="CT69" i="1"/>
  <c r="AT69" i="1"/>
  <c r="AZ69" i="1" s="1"/>
  <c r="AB69" i="1"/>
  <c r="AS69" i="1"/>
  <c r="AV69" i="1"/>
  <c r="AX69" i="1"/>
  <c r="BD68" i="1"/>
  <c r="AS68" i="1"/>
  <c r="AV68" i="1"/>
  <c r="AT68" i="1"/>
  <c r="AX68" i="1"/>
  <c r="CT67" i="1"/>
  <c r="AT67" i="1"/>
  <c r="AZ67" i="1" s="1"/>
  <c r="AB67" i="1"/>
  <c r="AS67" i="1"/>
  <c r="AV67" i="1"/>
  <c r="AX67" i="1"/>
  <c r="BD66" i="1"/>
  <c r="AS66" i="1"/>
  <c r="AV66" i="1"/>
  <c r="AT66" i="1"/>
  <c r="AZ66" i="1" s="1"/>
  <c r="AY66" i="1" s="1"/>
  <c r="BG66" i="1" s="1"/>
  <c r="BH66" i="1" s="1"/>
  <c r="AX66" i="1"/>
  <c r="CT65" i="1"/>
  <c r="AT65" i="1"/>
  <c r="AZ65" i="1" s="1"/>
  <c r="AB65" i="1"/>
  <c r="AS65" i="1"/>
  <c r="AX65" i="1"/>
  <c r="BD64" i="1"/>
  <c r="AS64" i="1"/>
  <c r="AV64" i="1"/>
  <c r="AT64" i="1"/>
  <c r="AZ64" i="1" s="1"/>
  <c r="AY64" i="1" s="1"/>
  <c r="BF64" i="1" s="1"/>
  <c r="AX64" i="1"/>
  <c r="CT63" i="1"/>
  <c r="AT63" i="1"/>
  <c r="AZ63" i="1" s="1"/>
  <c r="AB63" i="1"/>
  <c r="AF63" i="1"/>
  <c r="AG63" i="1"/>
  <c r="AS63" i="1"/>
  <c r="AL63" i="1"/>
  <c r="AX63" i="1"/>
  <c r="BD62" i="1"/>
  <c r="AS62" i="1"/>
  <c r="AT62" i="1"/>
  <c r="AZ62" i="1" s="1"/>
  <c r="AV62" i="1"/>
  <c r="AX62" i="1"/>
  <c r="CT61" i="1"/>
  <c r="AT61" i="1"/>
  <c r="AZ61" i="1"/>
  <c r="AB61" i="1"/>
  <c r="AS61" i="1"/>
  <c r="AV61" i="1" s="1"/>
  <c r="AX61" i="1"/>
  <c r="BD60" i="1"/>
  <c r="AU60" i="1"/>
  <c r="AS60" i="1"/>
  <c r="AT60" i="1"/>
  <c r="AX60" i="1"/>
  <c r="CT59" i="1"/>
  <c r="AT59" i="1"/>
  <c r="AZ59" i="1"/>
  <c r="AB59" i="1"/>
  <c r="AF59" i="1"/>
  <c r="AG59" i="1" s="1"/>
  <c r="AS59" i="1"/>
  <c r="AV59" i="1" s="1"/>
  <c r="AX59" i="1"/>
  <c r="BD58" i="1"/>
  <c r="AU58" i="1" s="1"/>
  <c r="AS58" i="1"/>
  <c r="AT58" i="1"/>
  <c r="AZ58" i="1"/>
  <c r="AX58" i="1"/>
  <c r="CT57" i="1"/>
  <c r="AT57" i="1"/>
  <c r="AZ57" i="1"/>
  <c r="AB57" i="1"/>
  <c r="AS57" i="1"/>
  <c r="AV57" i="1" s="1"/>
  <c r="AX57" i="1"/>
  <c r="BD56" i="1"/>
  <c r="AS56" i="1"/>
  <c r="AV56" i="1" s="1"/>
  <c r="AT56" i="1"/>
  <c r="AZ56" i="1"/>
  <c r="AX56" i="1"/>
  <c r="CT55" i="1"/>
  <c r="AT55" i="1"/>
  <c r="AZ55" i="1" s="1"/>
  <c r="AB55" i="1"/>
  <c r="AH55" i="1"/>
  <c r="AI55" i="1" s="1"/>
  <c r="AS55" i="1"/>
  <c r="AV55" i="1" s="1"/>
  <c r="AX55" i="1"/>
  <c r="BD54" i="1"/>
  <c r="AS54" i="1"/>
  <c r="AV54" i="1" s="1"/>
  <c r="AT54" i="1"/>
  <c r="AZ54" i="1" s="1"/>
  <c r="AX54" i="1"/>
  <c r="CT53" i="1"/>
  <c r="AT53" i="1"/>
  <c r="AZ53" i="1" s="1"/>
  <c r="AB53" i="1"/>
  <c r="AH53" i="1"/>
  <c r="AI53" i="1"/>
  <c r="AS53" i="1"/>
  <c r="AV53" i="1"/>
  <c r="AL53" i="1"/>
  <c r="AX53" i="1"/>
  <c r="BD52" i="1"/>
  <c r="AS52" i="1"/>
  <c r="AT52" i="1"/>
  <c r="AZ52" i="1" s="1"/>
  <c r="AX52" i="1"/>
  <c r="CT51" i="1"/>
  <c r="AT51" i="1"/>
  <c r="AZ51" i="1"/>
  <c r="AB51" i="1"/>
  <c r="AF51" i="1"/>
  <c r="AG51" i="1" s="1"/>
  <c r="AS51" i="1"/>
  <c r="AV51" i="1"/>
  <c r="AX51" i="1"/>
  <c r="BD50" i="1"/>
  <c r="AS50" i="1"/>
  <c r="AV50" i="1" s="1"/>
  <c r="AT50" i="1"/>
  <c r="AX50" i="1"/>
  <c r="CT49" i="1"/>
  <c r="AT49" i="1"/>
  <c r="AZ49" i="1"/>
  <c r="AB49" i="1"/>
  <c r="AS49" i="1"/>
  <c r="AV49" i="1"/>
  <c r="AX49" i="1"/>
  <c r="BD48" i="1"/>
  <c r="AS48" i="1"/>
  <c r="AT48" i="1"/>
  <c r="AX48" i="1"/>
  <c r="CT47" i="1"/>
  <c r="AT47" i="1"/>
  <c r="AZ47" i="1" s="1"/>
  <c r="AB47" i="1"/>
  <c r="AF47" i="1" s="1"/>
  <c r="AS47" i="1"/>
  <c r="AV47" i="1"/>
  <c r="AX47" i="1"/>
  <c r="BD46" i="1"/>
  <c r="AS46" i="1"/>
  <c r="AT46" i="1"/>
  <c r="AZ46" i="1" s="1"/>
  <c r="AX46" i="1"/>
  <c r="CT45" i="1"/>
  <c r="AT45" i="1"/>
  <c r="AZ45" i="1"/>
  <c r="AB45" i="1"/>
  <c r="AS45" i="1"/>
  <c r="AV45" i="1"/>
  <c r="AX45" i="1"/>
  <c r="BD44" i="1"/>
  <c r="AU44" i="1" s="1"/>
  <c r="AS44" i="1"/>
  <c r="AT44" i="1"/>
  <c r="AZ44" i="1" s="1"/>
  <c r="AX44" i="1"/>
  <c r="CT43" i="1"/>
  <c r="AT43" i="1"/>
  <c r="AZ43" i="1" s="1"/>
  <c r="AB43" i="1"/>
  <c r="AF43" i="1"/>
  <c r="AH43" i="1"/>
  <c r="AS43" i="1"/>
  <c r="AV43" i="1" s="1"/>
  <c r="AL43" i="1"/>
  <c r="AX43" i="1"/>
  <c r="BD42" i="1"/>
  <c r="BA42" i="1" s="1"/>
  <c r="AS42" i="1"/>
  <c r="AV42" i="1"/>
  <c r="AT42" i="1"/>
  <c r="AX42" i="1"/>
  <c r="CT41" i="1"/>
  <c r="AT41" i="1"/>
  <c r="AZ41" i="1"/>
  <c r="AB41" i="1"/>
  <c r="AS41" i="1"/>
  <c r="AV41" i="1" s="1"/>
  <c r="AX41" i="1"/>
  <c r="BD40" i="1"/>
  <c r="AS40" i="1"/>
  <c r="AV40" i="1"/>
  <c r="AT40" i="1"/>
  <c r="AW40" i="1" s="1"/>
  <c r="BO40" i="1" s="1"/>
  <c r="AX40" i="1"/>
  <c r="CT39" i="1"/>
  <c r="AT39" i="1"/>
  <c r="AB39" i="1"/>
  <c r="AS39" i="1"/>
  <c r="AV39" i="1"/>
  <c r="AX39" i="1"/>
  <c r="BD38" i="1"/>
  <c r="AS38" i="1"/>
  <c r="AV38" i="1" s="1"/>
  <c r="AT38" i="1"/>
  <c r="AZ38" i="1"/>
  <c r="AX38" i="1"/>
  <c r="AB37" i="1"/>
  <c r="AS37" i="1"/>
  <c r="AT37" i="1"/>
  <c r="AV37" i="1"/>
  <c r="AZ37" i="1"/>
  <c r="AX37" i="1"/>
  <c r="BD36" i="1"/>
  <c r="AS36" i="1"/>
  <c r="AV36" i="1" s="1"/>
  <c r="AT36" i="1"/>
  <c r="AZ36" i="1"/>
  <c r="AX36" i="1"/>
  <c r="CT37" i="1"/>
  <c r="CT35" i="1"/>
  <c r="AT35" i="1"/>
  <c r="AZ35" i="1" s="1"/>
  <c r="AS35" i="1"/>
  <c r="AV35" i="1"/>
  <c r="AX35" i="1"/>
  <c r="BD34" i="1"/>
  <c r="AS34" i="1"/>
  <c r="AT34" i="1"/>
  <c r="AZ34" i="1" s="1"/>
  <c r="AX34" i="1"/>
  <c r="CT33" i="1"/>
  <c r="AT33" i="1"/>
  <c r="AZ33" i="1"/>
  <c r="AS33" i="1"/>
  <c r="AV33" i="1" s="1"/>
  <c r="AX33" i="1"/>
  <c r="BD32" i="1"/>
  <c r="AS32" i="1"/>
  <c r="AT32" i="1"/>
  <c r="AZ32" i="1" s="1"/>
  <c r="AX32" i="1"/>
  <c r="CT31" i="1"/>
  <c r="AT31" i="1"/>
  <c r="AZ31" i="1" s="1"/>
  <c r="AS31" i="1"/>
  <c r="AV31" i="1" s="1"/>
  <c r="AX31" i="1"/>
  <c r="BD30" i="1"/>
  <c r="AU30" i="1" s="1"/>
  <c r="AS30" i="1"/>
  <c r="AT30" i="1"/>
  <c r="AZ30" i="1" s="1"/>
  <c r="AX30" i="1"/>
  <c r="CT29" i="1"/>
  <c r="AT29" i="1"/>
  <c r="AZ29" i="1" s="1"/>
  <c r="AS29" i="1"/>
  <c r="AV29" i="1" s="1"/>
  <c r="AX29" i="1"/>
  <c r="BD28" i="1"/>
  <c r="AW28" i="1"/>
  <c r="AS28" i="1"/>
  <c r="AT28" i="1"/>
  <c r="AZ28" i="1" s="1"/>
  <c r="AX28" i="1"/>
  <c r="CT27" i="1"/>
  <c r="AT27" i="1"/>
  <c r="AZ27" i="1" s="1"/>
  <c r="AS27" i="1"/>
  <c r="AV27" i="1"/>
  <c r="AX27" i="1"/>
  <c r="BD26" i="1"/>
  <c r="AS26" i="1"/>
  <c r="AT26" i="1"/>
  <c r="AZ26" i="1"/>
  <c r="AV26" i="1"/>
  <c r="AX26" i="1"/>
  <c r="CT25" i="1"/>
  <c r="AT25" i="1"/>
  <c r="AZ25" i="1"/>
  <c r="AS25" i="1"/>
  <c r="AV25" i="1" s="1"/>
  <c r="AX25" i="1"/>
  <c r="BD24" i="1"/>
  <c r="AS24" i="1"/>
  <c r="AT24" i="1"/>
  <c r="AZ24" i="1" s="1"/>
  <c r="AX24" i="1"/>
  <c r="CT23" i="1"/>
  <c r="AT23" i="1"/>
  <c r="AZ23" i="1"/>
  <c r="AS23" i="1"/>
  <c r="AX23" i="1"/>
  <c r="BD22" i="1"/>
  <c r="AS22" i="1"/>
  <c r="AW22" i="1"/>
  <c r="AT22" i="1"/>
  <c r="AZ22" i="1"/>
  <c r="AX22" i="1"/>
  <c r="CT21" i="1"/>
  <c r="AT21" i="1"/>
  <c r="AZ21" i="1"/>
  <c r="AS21" i="1"/>
  <c r="AV21" i="1" s="1"/>
  <c r="AX21" i="1"/>
  <c r="BD20" i="1"/>
  <c r="BA20" i="1" s="1"/>
  <c r="AS20" i="1"/>
  <c r="AV20" i="1" s="1"/>
  <c r="AT20" i="1"/>
  <c r="AX20" i="1"/>
  <c r="CT19" i="1"/>
  <c r="AT19" i="1"/>
  <c r="AZ19" i="1" s="1"/>
  <c r="AS19" i="1"/>
  <c r="AV19" i="1" s="1"/>
  <c r="AX19" i="1"/>
  <c r="BD18" i="1"/>
  <c r="AS18" i="1"/>
  <c r="AV18" i="1"/>
  <c r="AT18" i="1"/>
  <c r="AX18" i="1"/>
  <c r="CT17" i="1"/>
  <c r="AT17" i="1"/>
  <c r="AZ17" i="1"/>
  <c r="AS17" i="1"/>
  <c r="AV17" i="1" s="1"/>
  <c r="AX17" i="1"/>
  <c r="BD16" i="1"/>
  <c r="AS16" i="1"/>
  <c r="AV16" i="1" s="1"/>
  <c r="AT16" i="1"/>
  <c r="AZ16" i="1" s="1"/>
  <c r="AX16" i="1"/>
  <c r="CT15" i="1"/>
  <c r="AT15" i="1"/>
  <c r="AZ15" i="1" s="1"/>
  <c r="AS15" i="1"/>
  <c r="AX15" i="1"/>
  <c r="BD14" i="1"/>
  <c r="BA14" i="1" s="1"/>
  <c r="AW14" i="1"/>
  <c r="BI14" i="1" s="1"/>
  <c r="AS14" i="1"/>
  <c r="AT14" i="1"/>
  <c r="AV14" i="1"/>
  <c r="AZ14" i="1"/>
  <c r="AX14" i="1"/>
  <c r="CT13" i="1"/>
  <c r="AT13" i="1"/>
  <c r="AS13" i="1"/>
  <c r="AV13" i="1"/>
  <c r="AX13" i="1"/>
  <c r="BD12" i="1"/>
  <c r="AS12" i="1"/>
  <c r="AV12" i="1" s="1"/>
  <c r="AT12" i="1"/>
  <c r="AZ12" i="1" s="1"/>
  <c r="AX12" i="1"/>
  <c r="CT11" i="1"/>
  <c r="AT11" i="1"/>
  <c r="AZ11" i="1" s="1"/>
  <c r="AS11" i="1"/>
  <c r="AV11" i="1"/>
  <c r="AX11" i="1"/>
  <c r="BD10" i="1"/>
  <c r="AS10" i="1"/>
  <c r="AV10" i="1"/>
  <c r="BC10" i="1" s="1"/>
  <c r="BB10" i="1" s="1"/>
  <c r="AT10" i="1"/>
  <c r="AX10" i="1"/>
  <c r="CT9" i="1"/>
  <c r="AT9" i="1"/>
  <c r="AZ9" i="1" s="1"/>
  <c r="AS9" i="1"/>
  <c r="AX9" i="1"/>
  <c r="BD8" i="1"/>
  <c r="AS8" i="1"/>
  <c r="AV8" i="1" s="1"/>
  <c r="AT8" i="1"/>
  <c r="AX8" i="1"/>
  <c r="CT7" i="1"/>
  <c r="AT7" i="1"/>
  <c r="AZ7" i="1" s="1"/>
  <c r="AS7" i="1"/>
  <c r="AV7" i="1"/>
  <c r="AX7" i="1"/>
  <c r="BD6" i="1"/>
  <c r="AS6" i="1"/>
  <c r="AV6" i="1"/>
  <c r="AT6" i="1"/>
  <c r="AZ6" i="1"/>
  <c r="AX6" i="1"/>
  <c r="AS5" i="1"/>
  <c r="AX5" i="1"/>
  <c r="BD4" i="1"/>
  <c r="AS4" i="1"/>
  <c r="AV4" i="1" s="1"/>
  <c r="AT4" i="1"/>
  <c r="AZ4" i="1" s="1"/>
  <c r="AX4" i="1"/>
  <c r="CT5" i="1"/>
  <c r="AS6" i="9"/>
  <c r="AS4" i="9"/>
  <c r="BA4" i="9" s="1"/>
  <c r="AS7" i="9"/>
  <c r="AV7" i="9" s="1"/>
  <c r="AS8" i="9"/>
  <c r="BA8" i="9" s="1"/>
  <c r="AS9" i="9"/>
  <c r="AY9" i="9" s="1"/>
  <c r="I58" i="9" s="1"/>
  <c r="K58" i="9" s="1"/>
  <c r="AS10" i="9"/>
  <c r="AS11" i="9"/>
  <c r="BB11" i="9" s="1"/>
  <c r="AS12" i="9"/>
  <c r="AX12" i="9" s="1"/>
  <c r="AS13" i="9"/>
  <c r="AX13" i="9" s="1"/>
  <c r="BN14" i="9"/>
  <c r="AS14" i="9"/>
  <c r="AX14" i="9" s="1"/>
  <c r="U14" i="9" s="1"/>
  <c r="AC14" i="9" s="1"/>
  <c r="BN15" i="9"/>
  <c r="AS15" i="9"/>
  <c r="BN16" i="9"/>
  <c r="AS16" i="9"/>
  <c r="AX16" i="9" s="1"/>
  <c r="U16" i="9" s="1"/>
  <c r="BN17" i="9"/>
  <c r="AS17" i="9"/>
  <c r="AX17" i="9" s="1"/>
  <c r="U17" i="9" s="1"/>
  <c r="AB17" i="9" s="1"/>
  <c r="BN18" i="9"/>
  <c r="AS18" i="9"/>
  <c r="AX18" i="9" s="1"/>
  <c r="U18" i="9" s="1"/>
  <c r="BN19" i="9"/>
  <c r="AS19" i="9"/>
  <c r="BN20" i="9"/>
  <c r="AS20" i="9"/>
  <c r="BN21" i="9"/>
  <c r="AS21" i="9"/>
  <c r="BC21" i="9" s="1"/>
  <c r="BN22" i="9"/>
  <c r="AS22" i="9"/>
  <c r="AX22" i="9" s="1"/>
  <c r="U22" i="9" s="1"/>
  <c r="AC22" i="9" s="1"/>
  <c r="BN23" i="9"/>
  <c r="AS23" i="9"/>
  <c r="AX23" i="9" s="1"/>
  <c r="U23" i="9" s="1"/>
  <c r="AS5" i="9"/>
  <c r="AY5" i="9" s="1"/>
  <c r="I54" i="9" s="1"/>
  <c r="K54" i="9" s="1"/>
  <c r="BE7" i="9"/>
  <c r="BE8" i="9"/>
  <c r="BE9" i="9"/>
  <c r="AT9" i="9"/>
  <c r="R9" i="9" s="1"/>
  <c r="BA9" i="9"/>
  <c r="BE10" i="9"/>
  <c r="BE11" i="9"/>
  <c r="BE12" i="9"/>
  <c r="BE13" i="9"/>
  <c r="AT13" i="9"/>
  <c r="R13" i="9" s="1"/>
  <c r="BA13" i="9"/>
  <c r="BE14" i="9"/>
  <c r="BE15" i="9"/>
  <c r="BA15" i="9"/>
  <c r="BE16" i="9"/>
  <c r="BA16" i="9"/>
  <c r="BE17" i="9"/>
  <c r="BE18" i="9"/>
  <c r="BE19" i="9"/>
  <c r="BE20" i="9"/>
  <c r="BE21" i="9"/>
  <c r="BE22" i="9"/>
  <c r="BE23" i="9"/>
  <c r="BE6" i="9"/>
  <c r="BA6" i="9"/>
  <c r="BE5" i="9"/>
  <c r="BE4" i="9"/>
  <c r="CQ89" i="1"/>
  <c r="CQ87" i="1"/>
  <c r="CQ85" i="1"/>
  <c r="CQ83" i="1"/>
  <c r="CQ81" i="1"/>
  <c r="CQ79" i="1"/>
  <c r="CQ77" i="1"/>
  <c r="CQ75" i="1"/>
  <c r="CQ73" i="1"/>
  <c r="CQ71" i="1"/>
  <c r="CQ69" i="1"/>
  <c r="CQ67" i="1"/>
  <c r="CQ65" i="1"/>
  <c r="CQ63" i="1"/>
  <c r="CQ61" i="1"/>
  <c r="CQ59" i="1"/>
  <c r="CQ57" i="1"/>
  <c r="CQ55" i="1"/>
  <c r="CQ53" i="1"/>
  <c r="CQ51" i="1"/>
  <c r="CQ49" i="1"/>
  <c r="CQ47" i="1"/>
  <c r="CQ45" i="1"/>
  <c r="CQ43" i="1"/>
  <c r="CQ41" i="1"/>
  <c r="CQ39" i="1"/>
  <c r="CQ37" i="1"/>
  <c r="CQ35" i="1"/>
  <c r="CQ33" i="1"/>
  <c r="CQ31" i="1"/>
  <c r="CQ29" i="1"/>
  <c r="CQ27" i="1"/>
  <c r="CQ25" i="1"/>
  <c r="CQ23" i="1"/>
  <c r="CQ21" i="1"/>
  <c r="CQ19" i="1"/>
  <c r="CQ17" i="1"/>
  <c r="CQ15" i="1"/>
  <c r="CQ13" i="1"/>
  <c r="CQ11" i="1"/>
  <c r="CQ9" i="1"/>
  <c r="CQ7" i="1"/>
  <c r="CQ5" i="1"/>
  <c r="AS43" i="3"/>
  <c r="AP43" i="3"/>
  <c r="AS41" i="3"/>
  <c r="AP41" i="3"/>
  <c r="AS39" i="3"/>
  <c r="AP39" i="3"/>
  <c r="AS37" i="3"/>
  <c r="AP37" i="3"/>
  <c r="AS35" i="3"/>
  <c r="AP35" i="3"/>
  <c r="AS33" i="3"/>
  <c r="AP33" i="3"/>
  <c r="AS31" i="3"/>
  <c r="AP31" i="3"/>
  <c r="AS29" i="3"/>
  <c r="AP29" i="3"/>
  <c r="AS27" i="3"/>
  <c r="AP27" i="3"/>
  <c r="AS25" i="3"/>
  <c r="AP25" i="3"/>
  <c r="AS23" i="3"/>
  <c r="AP23" i="3"/>
  <c r="AS21" i="3"/>
  <c r="AP21" i="3"/>
  <c r="AS19" i="3"/>
  <c r="AP19" i="3"/>
  <c r="AS17" i="3"/>
  <c r="AP17" i="3"/>
  <c r="AS15" i="3"/>
  <c r="AP15" i="3"/>
  <c r="AS13" i="3"/>
  <c r="AP13" i="3"/>
  <c r="AS11" i="3"/>
  <c r="AP11" i="3"/>
  <c r="AS9" i="3"/>
  <c r="AP9" i="3"/>
  <c r="AS7" i="3"/>
  <c r="AP7" i="3"/>
  <c r="AS5" i="3"/>
  <c r="AP5" i="3"/>
  <c r="AW6" i="9"/>
  <c r="AW9" i="9"/>
  <c r="AW13" i="9"/>
  <c r="AW14" i="9"/>
  <c r="T14" i="9" s="1"/>
  <c r="Z14" i="9" s="1"/>
  <c r="AW16" i="9"/>
  <c r="T16" i="9" s="1"/>
  <c r="Z16" i="9" s="1"/>
  <c r="AW19" i="9"/>
  <c r="T19" i="9" s="1"/>
  <c r="BK14" i="9"/>
  <c r="BK15" i="9"/>
  <c r="BK16" i="9"/>
  <c r="BK17" i="9"/>
  <c r="BK18" i="9"/>
  <c r="BK19" i="9"/>
  <c r="BK20" i="9"/>
  <c r="BK21" i="9"/>
  <c r="BK22" i="9"/>
  <c r="BK23" i="9"/>
  <c r="AV9" i="9"/>
  <c r="AV13" i="9"/>
  <c r="S13" i="9" s="1"/>
  <c r="Y13" i="9" s="1"/>
  <c r="AV14" i="9"/>
  <c r="BH5" i="9"/>
  <c r="BH6" i="9"/>
  <c r="BH7" i="9"/>
  <c r="BH8" i="9"/>
  <c r="BH9" i="9"/>
  <c r="BH10" i="9"/>
  <c r="BH11" i="9"/>
  <c r="BH12" i="9"/>
  <c r="BH13" i="9"/>
  <c r="BH14" i="9"/>
  <c r="BH15" i="9"/>
  <c r="BH16" i="9"/>
  <c r="BH17" i="9"/>
  <c r="BH18" i="9"/>
  <c r="BH19" i="9"/>
  <c r="BH20" i="9"/>
  <c r="BH21" i="9"/>
  <c r="BH22" i="9"/>
  <c r="BH23" i="9"/>
  <c r="BH4" i="9"/>
  <c r="AU10" i="1"/>
  <c r="BB6" i="9"/>
  <c r="BB9" i="9"/>
  <c r="BC9" i="9"/>
  <c r="BB10" i="9"/>
  <c r="BC10" i="9"/>
  <c r="BB13" i="9"/>
  <c r="BC13" i="9"/>
  <c r="BB14" i="9"/>
  <c r="BC14" i="9"/>
  <c r="BB16" i="9"/>
  <c r="BB18" i="9"/>
  <c r="H13" i="2"/>
  <c r="AI77" i="1"/>
  <c r="BC72" i="1"/>
  <c r="BB72" i="1" s="1"/>
  <c r="BA66" i="1"/>
  <c r="BC64" i="1"/>
  <c r="BB64" i="1"/>
  <c r="AJ57" i="1"/>
  <c r="AK57" i="1" s="1"/>
  <c r="AG89" i="1"/>
  <c r="AE89" i="1"/>
  <c r="AD89" i="1"/>
  <c r="AC89" i="1"/>
  <c r="AE87" i="1"/>
  <c r="AD87" i="1"/>
  <c r="AC87" i="1"/>
  <c r="AE85" i="1"/>
  <c r="AD85" i="1"/>
  <c r="AC85" i="1"/>
  <c r="AE83" i="1"/>
  <c r="AD83" i="1"/>
  <c r="AC83" i="1"/>
  <c r="AE81" i="1"/>
  <c r="AD81" i="1"/>
  <c r="AC81" i="1"/>
  <c r="AE79" i="1"/>
  <c r="AD79" i="1"/>
  <c r="AC79" i="1"/>
  <c r="AJ77" i="1"/>
  <c r="AK77" i="1" s="1"/>
  <c r="AG77" i="1"/>
  <c r="AE77" i="1"/>
  <c r="AD77" i="1"/>
  <c r="AC77" i="1"/>
  <c r="AE75" i="1"/>
  <c r="AD75" i="1"/>
  <c r="AC75" i="1"/>
  <c r="AE73" i="1"/>
  <c r="AD73" i="1"/>
  <c r="AC73" i="1"/>
  <c r="AE71" i="1"/>
  <c r="AD71" i="1"/>
  <c r="AC71" i="1"/>
  <c r="AJ69" i="1"/>
  <c r="AK69" i="1"/>
  <c r="AE69" i="1"/>
  <c r="AD69" i="1"/>
  <c r="AC69" i="1"/>
  <c r="AE67" i="1"/>
  <c r="AD67" i="1"/>
  <c r="AC67" i="1"/>
  <c r="AE65" i="1"/>
  <c r="AD65" i="1"/>
  <c r="AC65" i="1"/>
  <c r="AE63" i="1"/>
  <c r="AD63" i="1"/>
  <c r="AC63" i="1"/>
  <c r="AE61" i="1"/>
  <c r="AD61" i="1"/>
  <c r="AC61" i="1"/>
  <c r="AE59" i="1"/>
  <c r="AD59" i="1"/>
  <c r="AC59" i="1"/>
  <c r="AE57" i="1"/>
  <c r="AD57" i="1"/>
  <c r="AC57" i="1"/>
  <c r="AE55" i="1"/>
  <c r="AD55" i="1"/>
  <c r="AC55" i="1"/>
  <c r="AJ53" i="1"/>
  <c r="AK53" i="1" s="1"/>
  <c r="AE53" i="1"/>
  <c r="AD53" i="1"/>
  <c r="AC53" i="1"/>
  <c r="AJ51" i="1"/>
  <c r="AK51" i="1" s="1"/>
  <c r="AE51" i="1"/>
  <c r="AD51" i="1"/>
  <c r="AC51" i="1"/>
  <c r="AE49" i="1"/>
  <c r="AD49" i="1"/>
  <c r="AC49" i="1"/>
  <c r="AJ47" i="1"/>
  <c r="AK47" i="1" s="1"/>
  <c r="AE47" i="1"/>
  <c r="AD47" i="1"/>
  <c r="AC47" i="1"/>
  <c r="AJ45" i="1"/>
  <c r="AK45" i="1" s="1"/>
  <c r="AE45" i="1"/>
  <c r="AD45" i="1"/>
  <c r="AC45" i="1"/>
  <c r="AM43" i="1"/>
  <c r="AJ43" i="1"/>
  <c r="AK43" i="1" s="1"/>
  <c r="AE43" i="1"/>
  <c r="AD43" i="1"/>
  <c r="AC43" i="1"/>
  <c r="AJ41" i="1"/>
  <c r="AK41" i="1" s="1"/>
  <c r="AE41" i="1"/>
  <c r="AD41" i="1"/>
  <c r="AC41" i="1"/>
  <c r="AJ39" i="1"/>
  <c r="AK39" i="1"/>
  <c r="AE39" i="1"/>
  <c r="AD39" i="1"/>
  <c r="AC39" i="1"/>
  <c r="AJ37" i="1"/>
  <c r="AK37" i="1" s="1"/>
  <c r="AE37" i="1"/>
  <c r="AD37" i="1"/>
  <c r="AC37" i="1"/>
  <c r="A13" i="1"/>
  <c r="A54" i="9"/>
  <c r="A15" i="1"/>
  <c r="A55" i="9"/>
  <c r="A17" i="1"/>
  <c r="A56" i="9"/>
  <c r="A19" i="1"/>
  <c r="A57" i="9"/>
  <c r="A21" i="1"/>
  <c r="A58" i="9"/>
  <c r="A23" i="1"/>
  <c r="A59" i="9"/>
  <c r="A60" i="9"/>
  <c r="A61" i="9"/>
  <c r="A62" i="9"/>
  <c r="A63" i="9"/>
  <c r="A64" i="9"/>
  <c r="A65" i="9"/>
  <c r="A53" i="9"/>
  <c r="A89" i="1"/>
  <c r="A87" i="1"/>
  <c r="A85" i="1"/>
  <c r="A83" i="1"/>
  <c r="A81" i="1"/>
  <c r="A79" i="1"/>
  <c r="A77" i="1"/>
  <c r="A75" i="1"/>
  <c r="A73" i="1"/>
  <c r="A71" i="1"/>
  <c r="A69" i="1"/>
  <c r="A67" i="1"/>
  <c r="A65" i="1"/>
  <c r="A63" i="1"/>
  <c r="A61" i="1"/>
  <c r="A59" i="1"/>
  <c r="A57" i="1"/>
  <c r="A55" i="1"/>
  <c r="A53" i="1"/>
  <c r="A51" i="1"/>
  <c r="A49" i="1"/>
  <c r="A47" i="1"/>
  <c r="A45" i="1"/>
  <c r="A43" i="1"/>
  <c r="A41" i="1"/>
  <c r="A39" i="1"/>
  <c r="A37" i="1"/>
  <c r="A35" i="1"/>
  <c r="A33" i="1"/>
  <c r="A31" i="1"/>
  <c r="A29" i="1"/>
  <c r="A27" i="1"/>
  <c r="A25" i="1"/>
  <c r="A11" i="1"/>
  <c r="A9" i="1"/>
  <c r="A7" i="1"/>
  <c r="A5" i="1"/>
  <c r="BC14" i="1"/>
  <c r="BB14" i="1" s="1"/>
  <c r="A90" i="1"/>
  <c r="A88" i="1"/>
  <c r="A86" i="1"/>
  <c r="A84" i="1"/>
  <c r="A82" i="1"/>
  <c r="A80" i="1"/>
  <c r="A78" i="1"/>
  <c r="A76" i="1"/>
  <c r="A74" i="1"/>
  <c r="A72" i="1"/>
  <c r="A70" i="1"/>
  <c r="A68" i="1"/>
  <c r="A66" i="1"/>
  <c r="A64" i="1"/>
  <c r="A62" i="1"/>
  <c r="A60" i="1"/>
  <c r="A58" i="1"/>
  <c r="A56" i="1"/>
  <c r="A54" i="1"/>
  <c r="A52" i="1"/>
  <c r="A50" i="1"/>
  <c r="A48" i="1"/>
  <c r="A46" i="1"/>
  <c r="A44" i="1"/>
  <c r="AU88" i="1"/>
  <c r="AU86" i="1"/>
  <c r="AU84" i="1"/>
  <c r="AU80" i="1"/>
  <c r="AU78" i="1"/>
  <c r="AU72" i="1"/>
  <c r="AU64" i="1"/>
  <c r="AU62" i="1"/>
  <c r="AU56" i="1"/>
  <c r="AU54" i="1"/>
  <c r="S28" i="9"/>
  <c r="T28" i="9"/>
  <c r="S29" i="9"/>
  <c r="T29" i="9"/>
  <c r="S30" i="9"/>
  <c r="T30" i="9"/>
  <c r="S31" i="9"/>
  <c r="T31" i="9"/>
  <c r="S32" i="9"/>
  <c r="T32" i="9"/>
  <c r="S33" i="9"/>
  <c r="T33" i="9"/>
  <c r="S34" i="9"/>
  <c r="T34" i="9"/>
  <c r="S35" i="9"/>
  <c r="T35" i="9"/>
  <c r="S36" i="9"/>
  <c r="T36" i="9"/>
  <c r="S37" i="9"/>
  <c r="T37" i="9"/>
  <c r="S38" i="9"/>
  <c r="T38" i="9"/>
  <c r="S39" i="9"/>
  <c r="T39" i="9"/>
  <c r="S40" i="9"/>
  <c r="T40" i="9"/>
  <c r="S41" i="9"/>
  <c r="T41" i="9"/>
  <c r="S42" i="9"/>
  <c r="T42" i="9"/>
  <c r="S43" i="9"/>
  <c r="T43" i="9"/>
  <c r="S44" i="9"/>
  <c r="T44" i="9"/>
  <c r="S45" i="9"/>
  <c r="T45" i="9"/>
  <c r="S46" i="9"/>
  <c r="T46" i="9"/>
  <c r="B6" i="5"/>
  <c r="B7" i="5"/>
  <c r="B8" i="5"/>
  <c r="B9" i="5"/>
  <c r="B10" i="5"/>
  <c r="B11" i="5"/>
  <c r="A46" i="9"/>
  <c r="A29" i="9"/>
  <c r="A7" i="5" s="1"/>
  <c r="A30" i="9"/>
  <c r="A8" i="5" s="1"/>
  <c r="A31" i="9"/>
  <c r="A9" i="5" s="1"/>
  <c r="A32" i="9"/>
  <c r="A10" i="5" s="1"/>
  <c r="A33" i="9"/>
  <c r="A11" i="5" s="1"/>
  <c r="A34" i="9"/>
  <c r="A12" i="5" s="1"/>
  <c r="A35" i="9"/>
  <c r="A13" i="5" s="1"/>
  <c r="A36" i="9"/>
  <c r="A14" i="5" s="1"/>
  <c r="A37" i="9"/>
  <c r="A38" i="9"/>
  <c r="A39" i="9"/>
  <c r="A40" i="9"/>
  <c r="A41" i="9"/>
  <c r="A42" i="9"/>
  <c r="A43" i="9"/>
  <c r="A44" i="9"/>
  <c r="A45" i="9"/>
  <c r="AU22" i="9"/>
  <c r="A44" i="3"/>
  <c r="A43" i="3"/>
  <c r="A42" i="3"/>
  <c r="A41" i="3"/>
  <c r="A40" i="3"/>
  <c r="A39" i="3"/>
  <c r="A38" i="3"/>
  <c r="A37" i="3"/>
  <c r="A36" i="3"/>
  <c r="A35" i="3"/>
  <c r="A34" i="3"/>
  <c r="A33" i="3"/>
  <c r="A32" i="3"/>
  <c r="A31" i="3"/>
  <c r="A30" i="3"/>
  <c r="A29" i="3"/>
  <c r="A28" i="3"/>
  <c r="A27" i="3"/>
  <c r="AU42" i="1"/>
  <c r="A42" i="1"/>
  <c r="A40" i="1"/>
  <c r="AU18" i="9"/>
  <c r="AU16" i="9"/>
  <c r="AU14" i="9"/>
  <c r="A28" i="9"/>
  <c r="A6" i="5" s="1"/>
  <c r="A26" i="3"/>
  <c r="A25" i="3"/>
  <c r="AU36" i="1"/>
  <c r="AU34" i="1"/>
  <c r="AU28" i="1"/>
  <c r="AU24" i="1"/>
  <c r="AU22" i="1"/>
  <c r="AU20" i="1"/>
  <c r="AU18" i="1"/>
  <c r="A38" i="1"/>
  <c r="A36" i="1"/>
  <c r="A34" i="1"/>
  <c r="A32" i="1"/>
  <c r="A30" i="1"/>
  <c r="A28" i="1"/>
  <c r="A26" i="1"/>
  <c r="A24" i="1"/>
  <c r="A22" i="1"/>
  <c r="A20" i="1"/>
  <c r="A18" i="1"/>
  <c r="AU16" i="1"/>
  <c r="A16" i="1"/>
  <c r="AU14" i="1"/>
  <c r="A14" i="1"/>
  <c r="A12" i="1"/>
  <c r="A10" i="1"/>
  <c r="A8" i="1"/>
  <c r="A6" i="1"/>
  <c r="A4" i="1"/>
  <c r="A5" i="3"/>
  <c r="A6" i="3"/>
  <c r="A7" i="3"/>
  <c r="A8" i="3"/>
  <c r="A9" i="3"/>
  <c r="A10" i="3"/>
  <c r="A11" i="3"/>
  <c r="A12" i="3"/>
  <c r="A13" i="3"/>
  <c r="A14" i="3"/>
  <c r="A15" i="3"/>
  <c r="A16" i="3"/>
  <c r="A17" i="3"/>
  <c r="A18" i="3"/>
  <c r="A19" i="3"/>
  <c r="A20" i="3"/>
  <c r="A21" i="3"/>
  <c r="A22" i="3"/>
  <c r="A23" i="3"/>
  <c r="A24" i="3"/>
  <c r="A4" i="3"/>
  <c r="AU13" i="9"/>
  <c r="AU10" i="9"/>
  <c r="AU9" i="9"/>
  <c r="AU6" i="9"/>
  <c r="AU5" i="9"/>
  <c r="A3" i="3"/>
  <c r="AJ73" i="1"/>
  <c r="AK73" i="1"/>
  <c r="AJ59" i="1"/>
  <c r="AK59" i="1"/>
  <c r="AM63" i="1"/>
  <c r="AJ63" i="1"/>
  <c r="AK63" i="1" s="1"/>
  <c r="AJ85" i="1"/>
  <c r="AK85" i="1" s="1"/>
  <c r="AJ55" i="1"/>
  <c r="AK55" i="1" s="1"/>
  <c r="AU68" i="1"/>
  <c r="BA84" i="1"/>
  <c r="AJ49" i="1"/>
  <c r="AK49" i="1" s="1"/>
  <c r="AJ79" i="1"/>
  <c r="AK79" i="1" s="1"/>
  <c r="AM53" i="1"/>
  <c r="AI73" i="1"/>
  <c r="BC84" i="1"/>
  <c r="BB84" i="1" s="1"/>
  <c r="AJ81" i="1"/>
  <c r="AK81" i="1"/>
  <c r="AJ89" i="1"/>
  <c r="AK89" i="1" s="1"/>
  <c r="AG43" i="1"/>
  <c r="AU82" i="1"/>
  <c r="AU52" i="1"/>
  <c r="AU38" i="1"/>
  <c r="BA64" i="1"/>
  <c r="AU90" i="1"/>
  <c r="BC66" i="1"/>
  <c r="BB66" i="1"/>
  <c r="AU66" i="1"/>
  <c r="BA72" i="1"/>
  <c r="BC19" i="9"/>
  <c r="BB15" i="9"/>
  <c r="AV12" i="9"/>
  <c r="BB12" i="9"/>
  <c r="AV19" i="9"/>
  <c r="AV16" i="9"/>
  <c r="BC16" i="9"/>
  <c r="AZ9" i="9"/>
  <c r="H58" i="9"/>
  <c r="J58" i="9" s="1"/>
  <c r="AZ13" i="9"/>
  <c r="H62" i="9" s="1"/>
  <c r="J62" i="9" s="1"/>
  <c r="AZ10" i="9"/>
  <c r="H59" i="9" s="1"/>
  <c r="J59" i="9" s="1"/>
  <c r="AZ18" i="9"/>
  <c r="AZ14" i="9"/>
  <c r="H63" i="9" s="1"/>
  <c r="J63" i="9" s="1"/>
  <c r="AZ5" i="9"/>
  <c r="H54" i="9" s="1"/>
  <c r="J54" i="9" s="1"/>
  <c r="AZ15" i="9"/>
  <c r="H64" i="9" s="1"/>
  <c r="J64" i="9" s="1"/>
  <c r="AY8" i="9"/>
  <c r="I57" i="9" s="1"/>
  <c r="K57" i="9" s="1"/>
  <c r="AZ8" i="9"/>
  <c r="H57" i="9"/>
  <c r="J57" i="9" s="1"/>
  <c r="AV15" i="1"/>
  <c r="AW70" i="1"/>
  <c r="BD33" i="1"/>
  <c r="AU33" i="1" s="1"/>
  <c r="AX19" i="9"/>
  <c r="U19" i="9"/>
  <c r="AB19" i="9" s="1"/>
  <c r="AC19" i="9"/>
  <c r="AY19" i="9"/>
  <c r="AT19" i="9"/>
  <c r="R19" i="9" s="1"/>
  <c r="W19" i="9" s="1"/>
  <c r="AU19" i="9"/>
  <c r="BB19" i="9"/>
  <c r="AZ19" i="9"/>
  <c r="BA19" i="9"/>
  <c r="S19" i="9" s="1"/>
  <c r="Y19" i="9" s="1"/>
  <c r="AV46" i="1"/>
  <c r="BA46" i="1"/>
  <c r="AF65" i="1"/>
  <c r="AH65" i="1"/>
  <c r="AI65" i="1" s="1"/>
  <c r="AL65" i="1"/>
  <c r="AJ65" i="1"/>
  <c r="AK65" i="1" s="1"/>
  <c r="AY12" i="9"/>
  <c r="I61" i="9" s="1"/>
  <c r="K61" i="9" s="1"/>
  <c r="AT12" i="9"/>
  <c r="R12" i="9" s="1"/>
  <c r="W12" i="9" s="1"/>
  <c r="AZ12" i="9"/>
  <c r="H61" i="9" s="1"/>
  <c r="J61" i="9" s="1"/>
  <c r="AU12" i="9"/>
  <c r="AX6" i="9"/>
  <c r="AT6" i="9"/>
  <c r="R6" i="9" s="1"/>
  <c r="AZ6" i="9"/>
  <c r="H55" i="9" s="1"/>
  <c r="J55" i="9" s="1"/>
  <c r="AV6" i="9"/>
  <c r="S6" i="9" s="1"/>
  <c r="BC6" i="9"/>
  <c r="AY6" i="9"/>
  <c r="I55" i="9" s="1"/>
  <c r="K55" i="9" s="1"/>
  <c r="AZ39" i="1"/>
  <c r="AV58" i="1"/>
  <c r="AZ60" i="1"/>
  <c r="AZ7" i="9"/>
  <c r="H56" i="9" s="1"/>
  <c r="J56" i="9" s="1"/>
  <c r="AY20" i="9"/>
  <c r="AZ20" i="9"/>
  <c r="AX20" i="9"/>
  <c r="U20" i="9" s="1"/>
  <c r="AB20" i="9" s="1"/>
  <c r="AV23" i="1"/>
  <c r="AG47" i="1"/>
  <c r="AZ48" i="1"/>
  <c r="AY16" i="9"/>
  <c r="I65" i="9" s="1"/>
  <c r="K65" i="9" s="1"/>
  <c r="AT16" i="9"/>
  <c r="R16" i="9" s="1"/>
  <c r="AZ16" i="9"/>
  <c r="H65" i="9" s="1"/>
  <c r="J65" i="9" s="1"/>
  <c r="AX15" i="9"/>
  <c r="U15" i="9" s="1"/>
  <c r="AC15" i="9" s="1"/>
  <c r="AY15" i="9"/>
  <c r="I64" i="9" s="1"/>
  <c r="K64" i="9" s="1"/>
  <c r="AT15" i="9"/>
  <c r="R15" i="9" s="1"/>
  <c r="W15" i="9" s="1"/>
  <c r="AW16" i="1"/>
  <c r="AF37" i="1"/>
  <c r="AH37" i="1"/>
  <c r="AI37" i="1" s="1"/>
  <c r="AL37" i="1"/>
  <c r="AZ40" i="1"/>
  <c r="AF45" i="1"/>
  <c r="AH45" i="1"/>
  <c r="AI45" i="1" s="1"/>
  <c r="AL45" i="1"/>
  <c r="AM45" i="1" s="1"/>
  <c r="AW46" i="1"/>
  <c r="AF41" i="1"/>
  <c r="AH41" i="1"/>
  <c r="AI41" i="1" s="1"/>
  <c r="AL41" i="1"/>
  <c r="AM41" i="1" s="1"/>
  <c r="AF49" i="1"/>
  <c r="BD49" i="1" s="1"/>
  <c r="AH49" i="1"/>
  <c r="AI49" i="1"/>
  <c r="AL49" i="1"/>
  <c r="AF57" i="1"/>
  <c r="AH57" i="1"/>
  <c r="AI57" i="1"/>
  <c r="AL57" i="1"/>
  <c r="AW42" i="1"/>
  <c r="AW82" i="1"/>
  <c r="BO82" i="1" s="1"/>
  <c r="AZ82" i="1"/>
  <c r="AF69" i="1"/>
  <c r="AH69" i="1"/>
  <c r="AL69" i="1"/>
  <c r="AM69" i="1" s="1"/>
  <c r="AW54" i="1"/>
  <c r="AL71" i="1"/>
  <c r="AM71" i="1"/>
  <c r="AW74" i="1"/>
  <c r="AZ74" i="1"/>
  <c r="AH79" i="1"/>
  <c r="AI79" i="1"/>
  <c r="AL79" i="1"/>
  <c r="AW66" i="1"/>
  <c r="AH75" i="1"/>
  <c r="AI75" i="1" s="1"/>
  <c r="AL75" i="1"/>
  <c r="BD77" i="1"/>
  <c r="AW72" i="1"/>
  <c r="AW80" i="1"/>
  <c r="BO80" i="1" s="1"/>
  <c r="AW84" i="1"/>
  <c r="AL87" i="1"/>
  <c r="AL89" i="1"/>
  <c r="AH89" i="1"/>
  <c r="AI89" i="1"/>
  <c r="AL35" i="1"/>
  <c r="AL33" i="1"/>
  <c r="BD37" i="1"/>
  <c r="AG37" i="1"/>
  <c r="AM65" i="1"/>
  <c r="BJ14" i="1"/>
  <c r="BP14" i="1" s="1"/>
  <c r="BD89" i="1"/>
  <c r="BD45" i="1"/>
  <c r="AG45" i="1"/>
  <c r="BO42" i="1"/>
  <c r="CC42" i="1" s="1"/>
  <c r="BI42" i="1"/>
  <c r="AM57" i="1"/>
  <c r="AG41" i="1"/>
  <c r="BI40" i="1"/>
  <c r="BC33" i="1"/>
  <c r="AW33" i="1"/>
  <c r="BO33" i="1" s="1"/>
  <c r="BO70" i="1"/>
  <c r="CC71" i="1" s="1"/>
  <c r="BI70" i="1"/>
  <c r="BJ70" i="1"/>
  <c r="AM89" i="1"/>
  <c r="BC77" i="1"/>
  <c r="AU77" i="1"/>
  <c r="AW77" i="1"/>
  <c r="BA77" i="1"/>
  <c r="AM75" i="1"/>
  <c r="BO66" i="1"/>
  <c r="CC66" i="1"/>
  <c r="BI66" i="1"/>
  <c r="BJ66" i="1"/>
  <c r="BP66" i="1" s="1"/>
  <c r="AM79" i="1"/>
  <c r="AG69" i="1"/>
  <c r="BI82" i="1"/>
  <c r="AG49" i="1"/>
  <c r="BO46" i="1"/>
  <c r="BI46" i="1"/>
  <c r="AM37" i="1"/>
  <c r="CC46" i="1"/>
  <c r="CC43" i="1"/>
  <c r="CD41" i="1"/>
  <c r="BJ46" i="1"/>
  <c r="BP46" i="1" s="1"/>
  <c r="CD46" i="1"/>
  <c r="BK77" i="1"/>
  <c r="BM77" i="1"/>
  <c r="BI33" i="1"/>
  <c r="BJ33" i="1"/>
  <c r="AD41" i="3"/>
  <c r="AD40" i="3"/>
  <c r="AE40" i="3" s="1"/>
  <c r="AD23" i="3"/>
  <c r="AD22" i="3"/>
  <c r="AE22" i="3" s="1"/>
  <c r="AD24" i="3"/>
  <c r="AE24" i="3" s="1"/>
  <c r="AD17" i="3"/>
  <c r="AD16" i="3"/>
  <c r="AM87" i="1"/>
  <c r="AF42" i="3"/>
  <c r="AG42" i="3" s="1"/>
  <c r="AD38" i="3"/>
  <c r="AE38" i="3" s="1"/>
  <c r="AD36" i="3"/>
  <c r="AE36" i="3" s="1"/>
  <c r="AD34" i="3"/>
  <c r="AE34" i="3" s="1"/>
  <c r="AD32" i="3"/>
  <c r="AE32" i="3" s="1"/>
  <c r="AD30" i="3"/>
  <c r="AE30" i="3" s="1"/>
  <c r="AD28" i="3"/>
  <c r="AE28" i="3" s="1"/>
  <c r="AD26" i="3"/>
  <c r="AE26" i="3" s="1"/>
  <c r="AD25" i="3"/>
  <c r="AF44" i="3"/>
  <c r="AG44" i="3" s="1"/>
  <c r="AD44" i="3"/>
  <c r="AE44" i="3" s="1"/>
  <c r="AF39" i="3"/>
  <c r="AG39" i="3" s="1"/>
  <c r="AT39" i="3" s="1"/>
  <c r="AD39" i="3"/>
  <c r="AE39" i="3" s="1"/>
  <c r="AQ39" i="3" s="1"/>
  <c r="AF36" i="3"/>
  <c r="AG36" i="3" s="1"/>
  <c r="AF31" i="3"/>
  <c r="AD31" i="3"/>
  <c r="AF28" i="3"/>
  <c r="AG28" i="3" s="1"/>
  <c r="AF23" i="3"/>
  <c r="AG23" i="3" s="1"/>
  <c r="AT23" i="3" s="1"/>
  <c r="AF22" i="3"/>
  <c r="AG22" i="3" s="1"/>
  <c r="AF20" i="3"/>
  <c r="AG20" i="3" s="1"/>
  <c r="AD21" i="3"/>
  <c r="AE21" i="3" s="1"/>
  <c r="AQ21" i="3" s="1"/>
  <c r="AD19" i="3"/>
  <c r="AE19" i="3" s="1"/>
  <c r="AQ19" i="3" s="1"/>
  <c r="AD18" i="3"/>
  <c r="AE18" i="3" s="1"/>
  <c r="AD15" i="3"/>
  <c r="AE15" i="3" s="1"/>
  <c r="AQ15" i="3" s="1"/>
  <c r="AD13" i="3"/>
  <c r="AD12" i="3"/>
  <c r="AD11" i="3"/>
  <c r="AE11" i="3" s="1"/>
  <c r="AQ11" i="3" s="1"/>
  <c r="AD9" i="3"/>
  <c r="AE9" i="3" s="1"/>
  <c r="AQ9" i="3" s="1"/>
  <c r="AD8" i="3"/>
  <c r="AE8" i="3" s="1"/>
  <c r="AD10" i="3"/>
  <c r="AE10" i="3" s="1"/>
  <c r="AD7" i="3"/>
  <c r="AF43" i="3"/>
  <c r="AD43" i="3"/>
  <c r="AD42" i="3"/>
  <c r="AE42" i="3" s="1"/>
  <c r="AF41" i="3"/>
  <c r="AF38" i="3"/>
  <c r="AG38" i="3" s="1"/>
  <c r="AF33" i="3"/>
  <c r="AD33" i="3"/>
  <c r="AF30" i="3"/>
  <c r="AG30" i="3" s="1"/>
  <c r="AF25" i="3"/>
  <c r="AF40" i="3"/>
  <c r="AG40" i="3" s="1"/>
  <c r="AF35" i="3"/>
  <c r="AD35" i="3"/>
  <c r="AF32" i="3"/>
  <c r="AG32" i="3" s="1"/>
  <c r="AF27" i="3"/>
  <c r="AG27" i="3" s="1"/>
  <c r="AT27" i="3" s="1"/>
  <c r="AD27" i="3"/>
  <c r="AE27" i="3" s="1"/>
  <c r="AQ27" i="3" s="1"/>
  <c r="AF24" i="3"/>
  <c r="AG24" i="3" s="1"/>
  <c r="AF19" i="3"/>
  <c r="AG19" i="3" s="1"/>
  <c r="AT19" i="3" s="1"/>
  <c r="AF17" i="3"/>
  <c r="AF16" i="3"/>
  <c r="AG16" i="3" s="1"/>
  <c r="AF15" i="3"/>
  <c r="AF14" i="3"/>
  <c r="AG14" i="3" s="1"/>
  <c r="AF13" i="3"/>
  <c r="AF11" i="3"/>
  <c r="AG11" i="3" s="1"/>
  <c r="AT11" i="3" s="1"/>
  <c r="AF10" i="3"/>
  <c r="AF9" i="3"/>
  <c r="AG9" i="3" s="1"/>
  <c r="AT9" i="3" s="1"/>
  <c r="AF8" i="3"/>
  <c r="AF7" i="3"/>
  <c r="AG7" i="3" s="1"/>
  <c r="AD5" i="3"/>
  <c r="AF4" i="3"/>
  <c r="AG4" i="3" s="1"/>
  <c r="AD37" i="3"/>
  <c r="AE37" i="3" s="1"/>
  <c r="AD20" i="3"/>
  <c r="AE20" i="3" s="1"/>
  <c r="AE16" i="3"/>
  <c r="AE12" i="3"/>
  <c r="AD29" i="3"/>
  <c r="AE29" i="3" s="1"/>
  <c r="AQ29" i="3" s="1"/>
  <c r="AG8" i="3"/>
  <c r="AF26" i="3"/>
  <c r="AG26" i="3" s="1"/>
  <c r="AD14" i="3"/>
  <c r="AF12" i="3"/>
  <c r="AG12" i="3" s="1"/>
  <c r="AF5" i="3"/>
  <c r="AG5" i="3" s="1"/>
  <c r="AT5" i="3" s="1"/>
  <c r="AF34" i="3"/>
  <c r="AG34" i="3" s="1"/>
  <c r="AF29" i="3"/>
  <c r="AF18" i="3"/>
  <c r="AG18" i="3" s="1"/>
  <c r="AF21" i="3"/>
  <c r="AD6" i="3"/>
  <c r="AE6" i="3" s="1"/>
  <c r="AF37" i="3"/>
  <c r="AF6" i="3"/>
  <c r="AG6" i="3" s="1"/>
  <c r="BQ77" i="1"/>
  <c r="BL77" i="1"/>
  <c r="BR77" i="1" s="1"/>
  <c r="AM49" i="1"/>
  <c r="AV60" i="1"/>
  <c r="BC60" i="1" s="1"/>
  <c r="BB60" i="1" s="1"/>
  <c r="AW60" i="1"/>
  <c r="AJ61" i="1"/>
  <c r="AK61" i="1"/>
  <c r="AL61" i="1"/>
  <c r="AF61" i="1"/>
  <c r="AH61" i="1"/>
  <c r="AI61" i="1" s="1"/>
  <c r="AV63" i="1"/>
  <c r="AV65" i="1"/>
  <c r="BD79" i="1"/>
  <c r="BP70" i="1"/>
  <c r="AU45" i="1"/>
  <c r="BA45" i="1"/>
  <c r="BA12" i="1"/>
  <c r="AW12" i="1"/>
  <c r="BI12" i="1" s="1"/>
  <c r="AU12" i="1"/>
  <c r="BC12" i="1"/>
  <c r="BB12" i="1" s="1"/>
  <c r="AZ20" i="1"/>
  <c r="BC20" i="1"/>
  <c r="BB20" i="1" s="1"/>
  <c r="AW20" i="1"/>
  <c r="BO20" i="1" s="1"/>
  <c r="CC20" i="1" s="1"/>
  <c r="BO72" i="1"/>
  <c r="BI72" i="1"/>
  <c r="BJ72" i="1" s="1"/>
  <c r="CC67" i="1"/>
  <c r="CC47" i="1"/>
  <c r="BD41" i="1"/>
  <c r="AZ10" i="1"/>
  <c r="AW10" i="1"/>
  <c r="BA10" i="1"/>
  <c r="AZ50" i="1"/>
  <c r="BA50" i="1"/>
  <c r="AV20" i="9"/>
  <c r="S20" i="9" s="1"/>
  <c r="Y20" i="9" s="1"/>
  <c r="AW20" i="9"/>
  <c r="T20" i="9"/>
  <c r="Z20" i="9" s="1"/>
  <c r="BB20" i="9"/>
  <c r="AU20" i="9"/>
  <c r="BA20" i="9"/>
  <c r="AT20" i="9"/>
  <c r="R20" i="9" s="1"/>
  <c r="W20" i="9" s="1"/>
  <c r="BC20" i="9"/>
  <c r="AV9" i="1"/>
  <c r="AZ13" i="1"/>
  <c r="AF39" i="1"/>
  <c r="AL39" i="1"/>
  <c r="AH39" i="1"/>
  <c r="AI39" i="1"/>
  <c r="AU40" i="1"/>
  <c r="BA40" i="1"/>
  <c r="BC40" i="1"/>
  <c r="BB40" i="1" s="1"/>
  <c r="AH87" i="1"/>
  <c r="AI87" i="1" s="1"/>
  <c r="AJ87" i="1"/>
  <c r="AK87" i="1"/>
  <c r="AF87" i="1"/>
  <c r="AG87" i="1" s="1"/>
  <c r="AV24" i="1"/>
  <c r="BA24" i="1" s="1"/>
  <c r="AW24" i="1"/>
  <c r="BO24" i="1" s="1"/>
  <c r="AV30" i="1"/>
  <c r="BC30" i="1" s="1"/>
  <c r="BB30" i="1" s="1"/>
  <c r="AB14" i="9"/>
  <c r="BO14" i="9" s="1"/>
  <c r="AW4" i="1"/>
  <c r="BI4" i="1" s="1"/>
  <c r="BJ4" i="1" s="1"/>
  <c r="BP4" i="1" s="1"/>
  <c r="AU4" i="1"/>
  <c r="BA4" i="1"/>
  <c r="AU6" i="1"/>
  <c r="AW38" i="1"/>
  <c r="BA38" i="1"/>
  <c r="BC38" i="1"/>
  <c r="BB38" i="1" s="1"/>
  <c r="AV48" i="1"/>
  <c r="BA48" i="1"/>
  <c r="BG64" i="1"/>
  <c r="AF75" i="1"/>
  <c r="AG75" i="1" s="1"/>
  <c r="AJ75" i="1"/>
  <c r="AK75" i="1"/>
  <c r="BB8" i="9"/>
  <c r="AC16" i="9"/>
  <c r="AB16" i="9"/>
  <c r="AW15" i="9"/>
  <c r="T15" i="9" s="1"/>
  <c r="AU15" i="9"/>
  <c r="AV15" i="9"/>
  <c r="S15" i="9" s="1"/>
  <c r="BC15" i="9"/>
  <c r="AW6" i="1"/>
  <c r="BO6" i="1" s="1"/>
  <c r="AZ8" i="1"/>
  <c r="BA8" i="1"/>
  <c r="AV32" i="1"/>
  <c r="BC32" i="1" s="1"/>
  <c r="BB32" i="1"/>
  <c r="AV44" i="1"/>
  <c r="AV52" i="1"/>
  <c r="BC52" i="1" s="1"/>
  <c r="BB52" i="1" s="1"/>
  <c r="AW52" i="1"/>
  <c r="BI52" i="1" s="1"/>
  <c r="AV8" i="9"/>
  <c r="AF67" i="1"/>
  <c r="AL67" i="1"/>
  <c r="AH67" i="1"/>
  <c r="AJ67" i="1"/>
  <c r="AK67" i="1"/>
  <c r="AZ68" i="1"/>
  <c r="AY68" i="1" s="1"/>
  <c r="BF68" i="1" s="1"/>
  <c r="BA68" i="1"/>
  <c r="BC68" i="1"/>
  <c r="BB68" i="1" s="1"/>
  <c r="BA70" i="1"/>
  <c r="BC70" i="1"/>
  <c r="BB70" i="1"/>
  <c r="AU70" i="1"/>
  <c r="BA22" i="9"/>
  <c r="AB18" i="9"/>
  <c r="AC18" i="9"/>
  <c r="BO18" i="9" s="1"/>
  <c r="AX10" i="9"/>
  <c r="AY10" i="9"/>
  <c r="I59" i="9" s="1"/>
  <c r="K59" i="9" s="1"/>
  <c r="BA10" i="9"/>
  <c r="AW10" i="9"/>
  <c r="AV10" i="9"/>
  <c r="S10" i="9" s="1"/>
  <c r="AW30" i="1"/>
  <c r="AW32" i="1"/>
  <c r="BO32" i="1" s="1"/>
  <c r="AV88" i="1"/>
  <c r="BA88" i="1" s="1"/>
  <c r="AW88" i="1"/>
  <c r="AT10" i="9"/>
  <c r="R10" i="9" s="1"/>
  <c r="W10" i="9" s="1"/>
  <c r="AW36" i="1"/>
  <c r="AW64" i="1"/>
  <c r="BI64" i="1" s="1"/>
  <c r="BO64" i="1"/>
  <c r="AW68" i="1"/>
  <c r="AH81" i="1"/>
  <c r="AI81" i="1" s="1"/>
  <c r="AF81" i="1"/>
  <c r="BD81" i="1" s="1"/>
  <c r="AG81" i="1"/>
  <c r="AW86" i="1"/>
  <c r="AQ37" i="3"/>
  <c r="AG17" i="3"/>
  <c r="AT17" i="3" s="1"/>
  <c r="AG41" i="3"/>
  <c r="AT41" i="3" s="1"/>
  <c r="AE17" i="3"/>
  <c r="AQ17" i="3" s="1"/>
  <c r="AG31" i="3"/>
  <c r="AT31" i="3" s="1"/>
  <c r="BO16" i="9"/>
  <c r="BI38" i="1"/>
  <c r="BO38" i="1"/>
  <c r="AW41" i="1"/>
  <c r="BI41" i="1" s="1"/>
  <c r="BP72" i="1"/>
  <c r="CD72" i="1"/>
  <c r="AU79" i="1"/>
  <c r="BM79" i="1" s="1"/>
  <c r="AG33" i="3"/>
  <c r="AT33" i="3" s="1"/>
  <c r="AE43" i="3"/>
  <c r="AQ43" i="3" s="1"/>
  <c r="BD75" i="1"/>
  <c r="BO68" i="1"/>
  <c r="BI68" i="1"/>
  <c r="BI32" i="1"/>
  <c r="BO30" i="1"/>
  <c r="CC31" i="1" s="1"/>
  <c r="BI30" i="1"/>
  <c r="BS64" i="1"/>
  <c r="BC48" i="1"/>
  <c r="BB48" i="1" s="1"/>
  <c r="CC72" i="1"/>
  <c r="CC73" i="1"/>
  <c r="BA60" i="1"/>
  <c r="BN77" i="1"/>
  <c r="AG25" i="3"/>
  <c r="AT25" i="3" s="1"/>
  <c r="AG43" i="3"/>
  <c r="AT43" i="3" s="1"/>
  <c r="AE13" i="3"/>
  <c r="AQ13" i="3" s="1"/>
  <c r="AG67" i="1"/>
  <c r="BI86" i="1"/>
  <c r="BO86" i="1"/>
  <c r="AM67" i="1"/>
  <c r="BS66" i="1"/>
  <c r="CK66" i="1" s="1"/>
  <c r="AM39" i="1"/>
  <c r="BI20" i="1"/>
  <c r="BK45" i="1"/>
  <c r="BM45" i="1"/>
  <c r="AM61" i="1"/>
  <c r="BO60" i="1"/>
  <c r="BU77" i="1"/>
  <c r="BV77" i="1"/>
  <c r="AE25" i="3"/>
  <c r="AQ25" i="3" s="1"/>
  <c r="AG15" i="3"/>
  <c r="AT15" i="3" s="1"/>
  <c r="BJ20" i="1"/>
  <c r="CC32" i="1"/>
  <c r="BK79" i="1"/>
  <c r="BQ79" i="1" s="1"/>
  <c r="BV79" i="1" s="1"/>
  <c r="BW77" i="1"/>
  <c r="BX77" i="1" s="1"/>
  <c r="CC60" i="1"/>
  <c r="AU75" i="1"/>
  <c r="BK75" i="1"/>
  <c r="BQ75" i="1"/>
  <c r="BU75" i="1" s="1"/>
  <c r="AW75" i="1"/>
  <c r="BQ45" i="1"/>
  <c r="CC33" i="1"/>
  <c r="CG33" i="1" s="1"/>
  <c r="CC69" i="1"/>
  <c r="CC68" i="1"/>
  <c r="CD69" i="1"/>
  <c r="CD67" i="1"/>
  <c r="BO41" i="1"/>
  <c r="CC39" i="1"/>
  <c r="CR77" i="1"/>
  <c r="BJ32" i="1"/>
  <c r="BP32" i="1" s="1"/>
  <c r="CD32" i="1" s="1"/>
  <c r="BC81" i="1"/>
  <c r="BB81" i="1" s="1"/>
  <c r="AW81" i="1"/>
  <c r="BO81" i="1" s="1"/>
  <c r="BO75" i="1"/>
  <c r="BI75" i="1"/>
  <c r="BJ75" i="1" s="1"/>
  <c r="BL79" i="1"/>
  <c r="BR79" i="1" s="1"/>
  <c r="BU79" i="1"/>
  <c r="BW79" i="1" s="1"/>
  <c r="BJ41" i="1"/>
  <c r="BP75" i="1"/>
  <c r="X13" i="9"/>
  <c r="BI13" i="9" s="1"/>
  <c r="V13" i="9"/>
  <c r="W13" i="9"/>
  <c r="BA6" i="1"/>
  <c r="BA36" i="1"/>
  <c r="BO36" i="1"/>
  <c r="BI36" i="1"/>
  <c r="BC36" i="1"/>
  <c r="BB36" i="1"/>
  <c r="BC37" i="1"/>
  <c r="BB37" i="1" s="1"/>
  <c r="AW37" i="1"/>
  <c r="BA37" i="1"/>
  <c r="AU37" i="1"/>
  <c r="BA44" i="1"/>
  <c r="BC44" i="1"/>
  <c r="BB44" i="1" s="1"/>
  <c r="BY75" i="1"/>
  <c r="BL75" i="1"/>
  <c r="BR75" i="1" s="1"/>
  <c r="BV75" i="1" s="1"/>
  <c r="BM75" i="1"/>
  <c r="BN79" i="1"/>
  <c r="CR79" i="1" s="1"/>
  <c r="BJ30" i="1"/>
  <c r="BP30" i="1" s="1"/>
  <c r="BC75" i="1"/>
  <c r="BB75" i="1" s="1"/>
  <c r="BA75" i="1"/>
  <c r="CD39" i="1"/>
  <c r="CC38" i="1"/>
  <c r="BI88" i="1"/>
  <c r="BO88" i="1"/>
  <c r="AI67" i="1"/>
  <c r="BD67" i="1"/>
  <c r="AU41" i="1"/>
  <c r="BC41" i="1"/>
  <c r="BB41" i="1"/>
  <c r="BA41" i="1"/>
  <c r="CC87" i="1"/>
  <c r="CD87" i="1"/>
  <c r="CC86" i="1"/>
  <c r="BC79" i="1"/>
  <c r="BB79" i="1" s="1"/>
  <c r="AW79" i="1"/>
  <c r="BA79" i="1"/>
  <c r="AE14" i="3"/>
  <c r="BD87" i="1"/>
  <c r="BD39" i="1"/>
  <c r="AG39" i="1"/>
  <c r="AE35" i="3"/>
  <c r="AQ35" i="3" s="1"/>
  <c r="BA54" i="1"/>
  <c r="BA52" i="1"/>
  <c r="BA89" i="1"/>
  <c r="BC89" i="1"/>
  <c r="BB89" i="1" s="1"/>
  <c r="AU89" i="1"/>
  <c r="AW89" i="1"/>
  <c r="BB33" i="1"/>
  <c r="AM33" i="1"/>
  <c r="BI84" i="1"/>
  <c r="BO84" i="1"/>
  <c r="AU49" i="1"/>
  <c r="AW49" i="1"/>
  <c r="BC49" i="1"/>
  <c r="BB49" i="1"/>
  <c r="BA49" i="1"/>
  <c r="BO54" i="1"/>
  <c r="CC83" i="1"/>
  <c r="CC82" i="1"/>
  <c r="BO77" i="1"/>
  <c r="BI77" i="1"/>
  <c r="BI54" i="1"/>
  <c r="AM31" i="3"/>
  <c r="AN31" i="3" s="1"/>
  <c r="CD81" i="1"/>
  <c r="CC80" i="1"/>
  <c r="CC81" i="1"/>
  <c r="BJ42" i="1"/>
  <c r="BP42" i="1" s="1"/>
  <c r="CD42" i="1" s="1"/>
  <c r="AI69" i="1"/>
  <c r="BD69" i="1"/>
  <c r="BC58" i="1"/>
  <c r="BB58" i="1"/>
  <c r="BA58" i="1"/>
  <c r="AW45" i="1"/>
  <c r="BO45" i="1" s="1"/>
  <c r="BD57" i="1"/>
  <c r="AG57" i="1"/>
  <c r="BC45" i="1"/>
  <c r="BB45" i="1" s="1"/>
  <c r="AM25" i="3"/>
  <c r="G25" i="3" s="1"/>
  <c r="AM33" i="3"/>
  <c r="AN33" i="3" s="1"/>
  <c r="AM41" i="3"/>
  <c r="G41" i="3" s="1"/>
  <c r="BJ40" i="1"/>
  <c r="BP40" i="1" s="1"/>
  <c r="CD40" i="1" s="1"/>
  <c r="V12" i="9"/>
  <c r="W16" i="9"/>
  <c r="BC16" i="1"/>
  <c r="BB16" i="1" s="1"/>
  <c r="BA16" i="1"/>
  <c r="W9" i="9"/>
  <c r="V9" i="9"/>
  <c r="AV22" i="1"/>
  <c r="BO22" i="1" s="1"/>
  <c r="AF53" i="1"/>
  <c r="AF55" i="1"/>
  <c r="AZ42" i="1"/>
  <c r="AW44" i="1"/>
  <c r="AL47" i="1"/>
  <c r="AH47" i="1"/>
  <c r="AL51" i="1"/>
  <c r="AH51" i="1"/>
  <c r="BD51" i="1" s="1"/>
  <c r="AW56" i="1"/>
  <c r="AH59" i="1"/>
  <c r="AH63" i="1"/>
  <c r="AV74" i="1"/>
  <c r="BA74" i="1" s="1"/>
  <c r="AL55" i="1"/>
  <c r="AL59" i="1"/>
  <c r="AM59" i="1" s="1"/>
  <c r="AZ76" i="1"/>
  <c r="BC76" i="1"/>
  <c r="BB76" i="1" s="1"/>
  <c r="AI59" i="1"/>
  <c r="BD59" i="1"/>
  <c r="AI47" i="1"/>
  <c r="BD47" i="1"/>
  <c r="CG81" i="1"/>
  <c r="CC54" i="1"/>
  <c r="CC55" i="1"/>
  <c r="BK89" i="1"/>
  <c r="BM89" i="1"/>
  <c r="BP88" i="1"/>
  <c r="CD88" i="1" s="1"/>
  <c r="BJ88" i="1"/>
  <c r="BZ75" i="1"/>
  <c r="BO37" i="1"/>
  <c r="BI37" i="1"/>
  <c r="BJ36" i="1"/>
  <c r="BP36" i="1" s="1"/>
  <c r="CD36" i="1" s="1"/>
  <c r="BA57" i="1"/>
  <c r="AU57" i="1"/>
  <c r="AW57" i="1"/>
  <c r="BC57" i="1"/>
  <c r="BB57" i="1"/>
  <c r="BI45" i="1"/>
  <c r="BK49" i="1"/>
  <c r="BM49" i="1"/>
  <c r="BO79" i="1"/>
  <c r="BI79" i="1"/>
  <c r="BA67" i="1"/>
  <c r="AW67" i="1"/>
  <c r="AU67" i="1"/>
  <c r="BC67" i="1"/>
  <c r="BB67" i="1"/>
  <c r="BW75" i="1"/>
  <c r="BM37" i="1"/>
  <c r="BK37" i="1"/>
  <c r="CD37" i="1"/>
  <c r="CC36" i="1"/>
  <c r="CC37" i="1"/>
  <c r="BO74" i="1"/>
  <c r="BI74" i="1"/>
  <c r="AI51" i="1"/>
  <c r="BI44" i="1"/>
  <c r="BO44" i="1"/>
  <c r="BJ54" i="1"/>
  <c r="BP54" i="1" s="1"/>
  <c r="CD54" i="1" s="1"/>
  <c r="BJ77" i="1"/>
  <c r="BP77" i="1"/>
  <c r="BZ77" i="1" s="1"/>
  <c r="CC84" i="1"/>
  <c r="CC85" i="1"/>
  <c r="CD85" i="1"/>
  <c r="BA39" i="1"/>
  <c r="BC39" i="1"/>
  <c r="BB39" i="1"/>
  <c r="AU39" i="1"/>
  <c r="AW39" i="1"/>
  <c r="BM41" i="1"/>
  <c r="BK41" i="1"/>
  <c r="AM47" i="1"/>
  <c r="AM55" i="1"/>
  <c r="BD63" i="1"/>
  <c r="AI63" i="1"/>
  <c r="AM51" i="1"/>
  <c r="AG55" i="1"/>
  <c r="BD55" i="1"/>
  <c r="BA69" i="1"/>
  <c r="AW69" i="1"/>
  <c r="BI69" i="1" s="1"/>
  <c r="BC69" i="1"/>
  <c r="BB69" i="1" s="1"/>
  <c r="AU69" i="1"/>
  <c r="BY77" i="1"/>
  <c r="CD83" i="1"/>
  <c r="BJ84" i="1"/>
  <c r="BP84" i="1"/>
  <c r="CD84" i="1" s="1"/>
  <c r="BI89" i="1"/>
  <c r="BO89" i="1"/>
  <c r="BC87" i="1"/>
  <c r="BB87" i="1" s="1"/>
  <c r="AU87" i="1"/>
  <c r="AW87" i="1"/>
  <c r="BA87" i="1"/>
  <c r="CC89" i="1"/>
  <c r="CC88" i="1"/>
  <c r="BN75" i="1"/>
  <c r="CR75" i="1"/>
  <c r="BO69" i="1"/>
  <c r="CG69" i="1" s="1"/>
  <c r="CD43" i="1"/>
  <c r="CC44" i="1"/>
  <c r="CC45" i="1"/>
  <c r="CD45" i="1"/>
  <c r="CE37" i="1"/>
  <c r="CG37" i="1"/>
  <c r="BQ89" i="1"/>
  <c r="BL89" i="1"/>
  <c r="BR89" i="1" s="1"/>
  <c r="BI87" i="1"/>
  <c r="BO87" i="1"/>
  <c r="BO39" i="1"/>
  <c r="BI39" i="1"/>
  <c r="BJ44" i="1"/>
  <c r="BP44" i="1" s="1"/>
  <c r="CD44" i="1" s="1"/>
  <c r="BX75" i="1"/>
  <c r="BJ79" i="1"/>
  <c r="BP79" i="1"/>
  <c r="BA59" i="1"/>
  <c r="AU59" i="1"/>
  <c r="AW59" i="1"/>
  <c r="BC59" i="1"/>
  <c r="BB59" i="1" s="1"/>
  <c r="CG89" i="1"/>
  <c r="BM69" i="1"/>
  <c r="BK69" i="1"/>
  <c r="AU63" i="1"/>
  <c r="BC63" i="1"/>
  <c r="BB63" i="1"/>
  <c r="AW63" i="1"/>
  <c r="BA63" i="1"/>
  <c r="BQ41" i="1"/>
  <c r="BL41" i="1"/>
  <c r="BR41" i="1"/>
  <c r="BK39" i="1"/>
  <c r="BM39" i="1"/>
  <c r="AU51" i="1"/>
  <c r="BA51" i="1"/>
  <c r="BC51" i="1"/>
  <c r="BB51" i="1" s="1"/>
  <c r="AW51" i="1"/>
  <c r="BJ74" i="1"/>
  <c r="BP74" i="1"/>
  <c r="CG45" i="1"/>
  <c r="BI57" i="1"/>
  <c r="BO57" i="1"/>
  <c r="BM87" i="1"/>
  <c r="BK87" i="1"/>
  <c r="BL87" i="1" s="1"/>
  <c r="BJ89" i="1"/>
  <c r="BP89" i="1"/>
  <c r="AW55" i="1"/>
  <c r="AU55" i="1"/>
  <c r="BA55" i="1"/>
  <c r="BC55" i="1"/>
  <c r="BB55" i="1" s="1"/>
  <c r="CD73" i="1"/>
  <c r="BL37" i="1"/>
  <c r="BR37" i="1" s="1"/>
  <c r="BQ37" i="1"/>
  <c r="BK67" i="1"/>
  <c r="BQ67" i="1" s="1"/>
  <c r="BM67" i="1"/>
  <c r="BJ45" i="1"/>
  <c r="BM57" i="1"/>
  <c r="BK57" i="1"/>
  <c r="BJ37" i="1"/>
  <c r="BP37" i="1" s="1"/>
  <c r="CE89" i="1"/>
  <c r="AW47" i="1"/>
  <c r="BI47" i="1" s="1"/>
  <c r="BA47" i="1"/>
  <c r="BC47" i="1"/>
  <c r="BB47" i="1" s="1"/>
  <c r="AU47" i="1"/>
  <c r="BL67" i="1"/>
  <c r="BR67" i="1"/>
  <c r="BM55" i="1"/>
  <c r="BK55" i="1"/>
  <c r="BQ39" i="1"/>
  <c r="BL39" i="1"/>
  <c r="BR39" i="1" s="1"/>
  <c r="BU41" i="1"/>
  <c r="BV41" i="1" s="1"/>
  <c r="CE69" i="1"/>
  <c r="CH37" i="1"/>
  <c r="E37" i="1"/>
  <c r="BJ69" i="1"/>
  <c r="BP69" i="1" s="1"/>
  <c r="E89" i="1"/>
  <c r="BL57" i="1"/>
  <c r="BR57" i="1" s="1"/>
  <c r="BU37" i="1"/>
  <c r="BV37" i="1"/>
  <c r="CI37" i="1"/>
  <c r="CJ37" i="1"/>
  <c r="BI55" i="1"/>
  <c r="BO55" i="1"/>
  <c r="BR87" i="1"/>
  <c r="BM63" i="1"/>
  <c r="BK63" i="1"/>
  <c r="BQ63" i="1" s="1"/>
  <c r="BJ39" i="1"/>
  <c r="BP39" i="1" s="1"/>
  <c r="CG87" i="1"/>
  <c r="BN89" i="1"/>
  <c r="CR89" i="1" s="1"/>
  <c r="BO47" i="1"/>
  <c r="CE87" i="1"/>
  <c r="BJ57" i="1"/>
  <c r="BP57" i="1"/>
  <c r="BK51" i="1"/>
  <c r="BM51" i="1"/>
  <c r="BI63" i="1"/>
  <c r="BO63" i="1"/>
  <c r="BO59" i="1"/>
  <c r="BI59" i="1"/>
  <c r="CG39" i="1"/>
  <c r="CH39" i="1" s="1"/>
  <c r="BJ87" i="1"/>
  <c r="BP87" i="1" s="1"/>
  <c r="BU89" i="1"/>
  <c r="BV89" i="1" s="1"/>
  <c r="CI89" i="1"/>
  <c r="CE45" i="1"/>
  <c r="CI45" i="1"/>
  <c r="BK47" i="1"/>
  <c r="BM47" i="1"/>
  <c r="CE67" i="1"/>
  <c r="BN37" i="1"/>
  <c r="CR37" i="1" s="1"/>
  <c r="BO51" i="1"/>
  <c r="BI51" i="1"/>
  <c r="CE39" i="1"/>
  <c r="BN41" i="1"/>
  <c r="CR41" i="1"/>
  <c r="BL69" i="1"/>
  <c r="BR69" i="1" s="1"/>
  <c r="BQ69" i="1"/>
  <c r="BM59" i="1"/>
  <c r="BK59" i="1"/>
  <c r="CH87" i="1"/>
  <c r="BJ55" i="1"/>
  <c r="BP55" i="1"/>
  <c r="E69" i="1"/>
  <c r="BJ47" i="1"/>
  <c r="BP47" i="1" s="1"/>
  <c r="BU69" i="1"/>
  <c r="BV69" i="1" s="1"/>
  <c r="CI69" i="1"/>
  <c r="CJ69" i="1"/>
  <c r="CG47" i="1"/>
  <c r="CH69" i="1"/>
  <c r="BU39" i="1"/>
  <c r="CI39" i="1"/>
  <c r="CJ39" i="1"/>
  <c r="BV39" i="1"/>
  <c r="BL55" i="1"/>
  <c r="BR55" i="1"/>
  <c r="BN55" i="1"/>
  <c r="CR55" i="1"/>
  <c r="BQ55" i="1"/>
  <c r="BL59" i="1"/>
  <c r="BR59" i="1" s="1"/>
  <c r="BQ59" i="1"/>
  <c r="E39" i="1"/>
  <c r="BJ51" i="1"/>
  <c r="CE47" i="1"/>
  <c r="CF37" i="1"/>
  <c r="BY41" i="1"/>
  <c r="BW41" i="1"/>
  <c r="BX41" i="1" s="1"/>
  <c r="CE55" i="1"/>
  <c r="BU67" i="1"/>
  <c r="CI67" i="1"/>
  <c r="CJ67" i="1" s="1"/>
  <c r="BY89" i="1"/>
  <c r="BZ89" i="1" s="1"/>
  <c r="BW89" i="1"/>
  <c r="BX89" i="1"/>
  <c r="BN69" i="1"/>
  <c r="CR69" i="1" s="1"/>
  <c r="BL47" i="1"/>
  <c r="BN47" i="1" s="1"/>
  <c r="CR47" i="1" s="1"/>
  <c r="BR47" i="1"/>
  <c r="BQ47" i="1"/>
  <c r="E45" i="1"/>
  <c r="BJ59" i="1"/>
  <c r="BP59" i="1"/>
  <c r="BJ63" i="1"/>
  <c r="BP63" i="1"/>
  <c r="BL51" i="1"/>
  <c r="BR51" i="1" s="1"/>
  <c r="BQ51" i="1"/>
  <c r="E87" i="1"/>
  <c r="CF87" i="1"/>
  <c r="CS87" i="1" s="1"/>
  <c r="BN87" i="1"/>
  <c r="CR87" i="1"/>
  <c r="CG55" i="1"/>
  <c r="BW37" i="1"/>
  <c r="BX37" i="1" s="1"/>
  <c r="BY37" i="1"/>
  <c r="BZ37" i="1" s="1"/>
  <c r="BN39" i="1"/>
  <c r="BU59" i="1"/>
  <c r="E47" i="1"/>
  <c r="CI47" i="1"/>
  <c r="BU47" i="1"/>
  <c r="E55" i="1"/>
  <c r="CS37" i="1"/>
  <c r="F37" i="1"/>
  <c r="BY69" i="1"/>
  <c r="BZ69" i="1" s="1"/>
  <c r="BW69" i="1"/>
  <c r="BX69" i="1"/>
  <c r="F87" i="1"/>
  <c r="BU51" i="1"/>
  <c r="BW67" i="1"/>
  <c r="BW39" i="1"/>
  <c r="BX39" i="1" s="1"/>
  <c r="BY39" i="1"/>
  <c r="BZ39" i="1" s="1"/>
  <c r="BN51" i="1"/>
  <c r="CR51" i="1" s="1"/>
  <c r="BV67" i="1"/>
  <c r="BU55" i="1"/>
  <c r="BW55" i="1" s="1"/>
  <c r="CI55" i="1"/>
  <c r="CF69" i="1"/>
  <c r="BU63" i="1"/>
  <c r="BW51" i="1"/>
  <c r="BY51" i="1"/>
  <c r="BV51" i="1"/>
  <c r="CY87" i="1"/>
  <c r="BW47" i="1"/>
  <c r="BX47" i="1" s="1"/>
  <c r="BY47" i="1"/>
  <c r="BW59" i="1"/>
  <c r="BV59" i="1"/>
  <c r="BY59" i="1"/>
  <c r="BW63" i="1"/>
  <c r="BY63" i="1"/>
  <c r="CS69" i="1"/>
  <c r="CZ69" i="1" s="1"/>
  <c r="DA69" i="1" s="1"/>
  <c r="F69" i="1"/>
  <c r="BY55" i="1"/>
  <c r="BV47" i="1"/>
  <c r="CZ87" i="1"/>
  <c r="DA87" i="1" s="1"/>
  <c r="CY37" i="1"/>
  <c r="CZ37" i="1" s="1"/>
  <c r="DA37" i="1" s="1"/>
  <c r="CY69" i="1"/>
  <c r="BX51" i="1"/>
  <c r="BZ59" i="1"/>
  <c r="BZ47" i="1"/>
  <c r="AM35" i="3" l="1"/>
  <c r="G35" i="3" s="1"/>
  <c r="AM37" i="3"/>
  <c r="AM43" i="3"/>
  <c r="AK35" i="3"/>
  <c r="C22" i="2"/>
  <c r="AI9" i="3" s="1"/>
  <c r="AJ9" i="3" s="1"/>
  <c r="AR9" i="3" s="1"/>
  <c r="AK5" i="3"/>
  <c r="AK37" i="3"/>
  <c r="E37" i="3" s="1"/>
  <c r="E43" i="3"/>
  <c r="AK33" i="3"/>
  <c r="AK41" i="3"/>
  <c r="AK7" i="3"/>
  <c r="AK11" i="3"/>
  <c r="AK13" i="3"/>
  <c r="E13" i="3" s="1"/>
  <c r="AK21" i="3"/>
  <c r="AK23" i="3"/>
  <c r="AK25" i="3"/>
  <c r="AK29" i="3"/>
  <c r="BF12" i="9"/>
  <c r="BF9" i="9"/>
  <c r="AA15" i="9"/>
  <c r="Z15" i="9"/>
  <c r="BC18" i="9"/>
  <c r="BA12" i="9"/>
  <c r="S12" i="9" s="1"/>
  <c r="AW12" i="9"/>
  <c r="BC12" i="9"/>
  <c r="V19" i="9"/>
  <c r="BF19" i="9" s="1"/>
  <c r="X10" i="9"/>
  <c r="AW18" i="9"/>
  <c r="T18" i="9" s="1"/>
  <c r="AA18" i="9" s="1"/>
  <c r="BL18" i="9" s="1"/>
  <c r="BO19" i="9"/>
  <c r="Y6" i="9"/>
  <c r="X6" i="9"/>
  <c r="W6" i="9"/>
  <c r="BF6" i="9" s="1"/>
  <c r="V6" i="9"/>
  <c r="AB23" i="9"/>
  <c r="AC23" i="9"/>
  <c r="Y15" i="9"/>
  <c r="X15" i="9"/>
  <c r="Z18" i="9"/>
  <c r="BC22" i="9"/>
  <c r="AV22" i="9"/>
  <c r="S22" i="9" s="1"/>
  <c r="BB23" i="9"/>
  <c r="BC7" i="9"/>
  <c r="AV23" i="9"/>
  <c r="BA14" i="9"/>
  <c r="S14" i="9" s="1"/>
  <c r="BB22" i="9"/>
  <c r="AY7" i="9"/>
  <c r="I56" i="9" s="1"/>
  <c r="K56" i="9" s="1"/>
  <c r="AZ23" i="9"/>
  <c r="S16" i="9"/>
  <c r="Y16" i="9" s="1"/>
  <c r="BB7" i="9"/>
  <c r="AT14" i="9"/>
  <c r="R14" i="9" s="1"/>
  <c r="AU23" i="9"/>
  <c r="BC23" i="9"/>
  <c r="AA14" i="9"/>
  <c r="BL14" i="9" s="1"/>
  <c r="AB22" i="9"/>
  <c r="BO22" i="9" s="1"/>
  <c r="X19" i="9"/>
  <c r="BA23" i="9"/>
  <c r="AA16" i="9"/>
  <c r="BL16" i="9" s="1"/>
  <c r="AT7" i="9"/>
  <c r="R7" i="9" s="1"/>
  <c r="W7" i="9" s="1"/>
  <c r="AX9" i="9"/>
  <c r="S8" i="9"/>
  <c r="AX7" i="9"/>
  <c r="AT23" i="9"/>
  <c r="R23" i="9" s="1"/>
  <c r="AW7" i="9"/>
  <c r="AB15" i="9"/>
  <c r="BO15" i="9" s="1"/>
  <c r="AA20" i="9"/>
  <c r="BL20" i="9" s="1"/>
  <c r="AW22" i="9"/>
  <c r="T22" i="9" s="1"/>
  <c r="AY23" i="9"/>
  <c r="S9" i="9"/>
  <c r="X9" i="9" s="1"/>
  <c r="AD9" i="9" s="1"/>
  <c r="AW23" i="9"/>
  <c r="T23" i="9" s="1"/>
  <c r="BA18" i="9"/>
  <c r="AV18" i="9"/>
  <c r="AT18" i="9"/>
  <c r="R18" i="9" s="1"/>
  <c r="AT22" i="9"/>
  <c r="R22" i="9" s="1"/>
  <c r="AU7" i="9"/>
  <c r="BA7" i="9"/>
  <c r="S7" i="9" s="1"/>
  <c r="AY18" i="9"/>
  <c r="AY22" i="9"/>
  <c r="AU4" i="9"/>
  <c r="AW4" i="9"/>
  <c r="BB4" i="9"/>
  <c r="BC4" i="9"/>
  <c r="AV4" i="9"/>
  <c r="BT66" i="1"/>
  <c r="BG68" i="1"/>
  <c r="BF66" i="1"/>
  <c r="AM21" i="3"/>
  <c r="G21" i="3" s="1"/>
  <c r="AG35" i="3"/>
  <c r="AT35" i="3" s="1"/>
  <c r="AM7" i="3"/>
  <c r="G7" i="3" s="1"/>
  <c r="AG21" i="3"/>
  <c r="AT21" i="3" s="1"/>
  <c r="AM29" i="3"/>
  <c r="G29" i="3" s="1"/>
  <c r="AI15" i="3"/>
  <c r="AJ15" i="3" s="1"/>
  <c r="AR15" i="3" s="1"/>
  <c r="AG29" i="3"/>
  <c r="AT29" i="3" s="1"/>
  <c r="AN35" i="3"/>
  <c r="AU35" i="3" s="1"/>
  <c r="AM19" i="3"/>
  <c r="G19" i="3" s="1"/>
  <c r="AE41" i="3"/>
  <c r="AQ41" i="3" s="1"/>
  <c r="H31" i="3"/>
  <c r="AU31" i="3"/>
  <c r="AZ31" i="3" s="1"/>
  <c r="H33" i="3"/>
  <c r="AU33" i="3"/>
  <c r="AN43" i="3"/>
  <c r="G43" i="3"/>
  <c r="G37" i="3"/>
  <c r="G31" i="3"/>
  <c r="AM13" i="3"/>
  <c r="AN21" i="3"/>
  <c r="AU21" i="3" s="1"/>
  <c r="AN41" i="3"/>
  <c r="AM39" i="3"/>
  <c r="AM5" i="3"/>
  <c r="G5" i="3" s="1"/>
  <c r="AM27" i="3"/>
  <c r="AN27" i="3" s="1"/>
  <c r="AM17" i="3"/>
  <c r="G17" i="3" s="1"/>
  <c r="G33" i="3"/>
  <c r="AG37" i="3"/>
  <c r="AT37" i="3" s="1"/>
  <c r="H21" i="3"/>
  <c r="AN25" i="3"/>
  <c r="AU25" i="3" s="1"/>
  <c r="AZ25" i="3" s="1"/>
  <c r="BA25" i="3" s="1"/>
  <c r="BB25" i="3" s="1"/>
  <c r="AG13" i="3"/>
  <c r="AT13" i="3" s="1"/>
  <c r="AE7" i="3"/>
  <c r="AQ7" i="3" s="1"/>
  <c r="AE5" i="3"/>
  <c r="AQ5" i="3" s="1"/>
  <c r="AM9" i="3"/>
  <c r="G9" i="3" s="1"/>
  <c r="BO12" i="1"/>
  <c r="BC8" i="1"/>
  <c r="BB8" i="1" s="1"/>
  <c r="BC6" i="1"/>
  <c r="BB6" i="1" s="1"/>
  <c r="BO4" i="1"/>
  <c r="CC5" i="1" s="1"/>
  <c r="CD4" i="1"/>
  <c r="CC24" i="1"/>
  <c r="CC25" i="1"/>
  <c r="CC6" i="1"/>
  <c r="CC7" i="1"/>
  <c r="BJ12" i="1"/>
  <c r="BP12" i="1" s="1"/>
  <c r="CD12" i="1" s="1"/>
  <c r="BC24" i="1"/>
  <c r="BB24" i="1" s="1"/>
  <c r="AY24" i="1" s="1"/>
  <c r="BI24" i="1"/>
  <c r="CC4" i="1"/>
  <c r="AY12" i="1"/>
  <c r="BI10" i="1"/>
  <c r="BJ10" i="1" s="1"/>
  <c r="BO10" i="1"/>
  <c r="CD5" i="1"/>
  <c r="BI6" i="1"/>
  <c r="CC21" i="1"/>
  <c r="AY8" i="1"/>
  <c r="CC23" i="1"/>
  <c r="CC22" i="1"/>
  <c r="CR39" i="1"/>
  <c r="CF39" i="1"/>
  <c r="BV55" i="1"/>
  <c r="BX55" i="1" s="1"/>
  <c r="E67" i="1"/>
  <c r="BP51" i="1"/>
  <c r="BZ51" i="1" s="1"/>
  <c r="CH45" i="1"/>
  <c r="BZ41" i="1"/>
  <c r="CJ45" i="1"/>
  <c r="BN59" i="1"/>
  <c r="CR59" i="1" s="1"/>
  <c r="BL63" i="1"/>
  <c r="CD74" i="1"/>
  <c r="AT7" i="3"/>
  <c r="BQ87" i="1"/>
  <c r="BN57" i="1"/>
  <c r="CR57" i="1" s="1"/>
  <c r="BQ57" i="1"/>
  <c r="BN49" i="1"/>
  <c r="CR49" i="1" s="1"/>
  <c r="BQ49" i="1"/>
  <c r="BL49" i="1"/>
  <c r="BR49" i="1" s="1"/>
  <c r="BI56" i="1"/>
  <c r="BO56" i="1"/>
  <c r="AN13" i="3"/>
  <c r="G13" i="3"/>
  <c r="BO67" i="1"/>
  <c r="BI67" i="1"/>
  <c r="BP45" i="1"/>
  <c r="CC75" i="1"/>
  <c r="AC17" i="9"/>
  <c r="BY79" i="1"/>
  <c r="BZ79" i="1" s="1"/>
  <c r="BO49" i="1"/>
  <c r="BI49" i="1"/>
  <c r="BF13" i="9"/>
  <c r="AD13" i="9"/>
  <c r="CC74" i="1"/>
  <c r="BD53" i="1"/>
  <c r="AG53" i="1"/>
  <c r="BX79" i="1"/>
  <c r="BA22" i="1"/>
  <c r="BC22" i="1"/>
  <c r="BB22" i="1" s="1"/>
  <c r="AY22" i="1" s="1"/>
  <c r="BI22" i="1"/>
  <c r="BN67" i="1"/>
  <c r="AY63" i="1"/>
  <c r="BC74" i="1"/>
  <c r="BB74" i="1" s="1"/>
  <c r="AY74" i="1" s="1"/>
  <c r="BU45" i="1"/>
  <c r="BW45" i="1" s="1"/>
  <c r="BN45" i="1"/>
  <c r="BL45" i="1"/>
  <c r="BR45" i="1" s="1"/>
  <c r="BV45" i="1" s="1"/>
  <c r="BP41" i="1"/>
  <c r="CK64" i="1"/>
  <c r="BJ38" i="1"/>
  <c r="BP38" i="1"/>
  <c r="CD38" i="1" s="1"/>
  <c r="BI81" i="1"/>
  <c r="AU81" i="1"/>
  <c r="BA81" i="1"/>
  <c r="V20" i="9"/>
  <c r="X20" i="9"/>
  <c r="AY76" i="1"/>
  <c r="BP86" i="1"/>
  <c r="CD86" i="1" s="1"/>
  <c r="BK33" i="1"/>
  <c r="BM33" i="1"/>
  <c r="CC30" i="1"/>
  <c r="CD30" i="1"/>
  <c r="CD31" i="1"/>
  <c r="CC61" i="1"/>
  <c r="BP10" i="1"/>
  <c r="CD10" i="1" s="1"/>
  <c r="CC64" i="1"/>
  <c r="CC65" i="1"/>
  <c r="CD65" i="1"/>
  <c r="AG10" i="3"/>
  <c r="AM11" i="3"/>
  <c r="BJ86" i="1"/>
  <c r="BJ64" i="1"/>
  <c r="BP64" i="1"/>
  <c r="CD64" i="1" s="1"/>
  <c r="BJ52" i="1"/>
  <c r="BP52" i="1" s="1"/>
  <c r="BH64" i="1"/>
  <c r="BT64" i="1" s="1"/>
  <c r="AY57" i="1"/>
  <c r="V10" i="9"/>
  <c r="BF10" i="9" s="1"/>
  <c r="Y10" i="9"/>
  <c r="AE23" i="3"/>
  <c r="AQ23" i="3" s="1"/>
  <c r="V16" i="9"/>
  <c r="BJ68" i="1"/>
  <c r="BP68" i="1" s="1"/>
  <c r="CD68" i="1" s="1"/>
  <c r="AY50" i="1"/>
  <c r="AY60" i="1"/>
  <c r="AJ71" i="1"/>
  <c r="AK71" i="1" s="1"/>
  <c r="AH71" i="1"/>
  <c r="AI71" i="1" s="1"/>
  <c r="AF71" i="1"/>
  <c r="AY51" i="1"/>
  <c r="AY39" i="1"/>
  <c r="AY45" i="1"/>
  <c r="AM35" i="1"/>
  <c r="AU32" i="1"/>
  <c r="BA32" i="1"/>
  <c r="AY75" i="1"/>
  <c r="BP20" i="1"/>
  <c r="CD20" i="1" s="1"/>
  <c r="BC88" i="1"/>
  <c r="BB88" i="1" s="1"/>
  <c r="AM23" i="3"/>
  <c r="CD66" i="1"/>
  <c r="CL66" i="1" s="1"/>
  <c r="V15" i="9"/>
  <c r="AY40" i="1"/>
  <c r="AY48" i="1"/>
  <c r="AU50" i="1"/>
  <c r="BC50" i="1"/>
  <c r="BB50" i="1" s="1"/>
  <c r="AW50" i="1"/>
  <c r="BA56" i="1"/>
  <c r="BC56" i="1"/>
  <c r="BB56" i="1" s="1"/>
  <c r="BA30" i="1"/>
  <c r="BP33" i="1"/>
  <c r="AY46" i="1"/>
  <c r="AU48" i="1"/>
  <c r="AW48" i="1"/>
  <c r="AY69" i="1"/>
  <c r="BO52" i="1"/>
  <c r="AM15" i="3"/>
  <c r="AE31" i="3"/>
  <c r="AQ31" i="3" s="1"/>
  <c r="AC20" i="9"/>
  <c r="CC41" i="1"/>
  <c r="CC40" i="1"/>
  <c r="AY67" i="1"/>
  <c r="AY87" i="1"/>
  <c r="AZ18" i="1"/>
  <c r="BC18" i="1"/>
  <c r="BB18" i="1" s="1"/>
  <c r="BA18" i="1"/>
  <c r="AY38" i="1"/>
  <c r="AY33" i="1"/>
  <c r="AG61" i="1"/>
  <c r="BD61" i="1"/>
  <c r="BO16" i="1"/>
  <c r="BI16" i="1"/>
  <c r="BD65" i="1"/>
  <c r="AG65" i="1"/>
  <c r="AY59" i="1"/>
  <c r="AY70" i="1"/>
  <c r="BA76" i="1"/>
  <c r="AU76" i="1"/>
  <c r="AW76" i="1"/>
  <c r="AF31" i="1"/>
  <c r="AH31" i="1"/>
  <c r="AI31" i="1" s="1"/>
  <c r="AJ31" i="1"/>
  <c r="AK31" i="1" s="1"/>
  <c r="AL31" i="1"/>
  <c r="AF25" i="1"/>
  <c r="AH25" i="1"/>
  <c r="AI25" i="1" s="1"/>
  <c r="AJ25" i="1"/>
  <c r="AK25" i="1" s="1"/>
  <c r="AL25" i="1"/>
  <c r="AF19" i="1"/>
  <c r="AH19" i="1"/>
  <c r="AI19" i="1" s="1"/>
  <c r="AJ19" i="1"/>
  <c r="AK19" i="1" s="1"/>
  <c r="AL19" i="1"/>
  <c r="AF13" i="1"/>
  <c r="AH13" i="1"/>
  <c r="AI13" i="1" s="1"/>
  <c r="AJ13" i="1"/>
  <c r="AK13" i="1" s="1"/>
  <c r="AL13" i="1"/>
  <c r="AF7" i="1"/>
  <c r="AH7" i="1"/>
  <c r="AI7" i="1" s="1"/>
  <c r="AJ7" i="1"/>
  <c r="AK7" i="1" s="1"/>
  <c r="AL7" i="1"/>
  <c r="BJ82" i="1"/>
  <c r="BP82" i="1" s="1"/>
  <c r="CD82" i="1" s="1"/>
  <c r="CD71" i="1"/>
  <c r="CC70" i="1"/>
  <c r="CD70" i="1"/>
  <c r="AY6" i="1"/>
  <c r="AY81" i="1"/>
  <c r="AY20" i="1"/>
  <c r="AW58" i="1"/>
  <c r="BC11" i="9"/>
  <c r="AT11" i="9"/>
  <c r="R11" i="9" s="1"/>
  <c r="AV11" i="9"/>
  <c r="AU11" i="9"/>
  <c r="AX11" i="9"/>
  <c r="AY11" i="9"/>
  <c r="I60" i="9" s="1"/>
  <c r="K60" i="9" s="1"/>
  <c r="AW11" i="9"/>
  <c r="AZ11" i="9"/>
  <c r="H60" i="9" s="1"/>
  <c r="J60" i="9" s="1"/>
  <c r="BA11" i="9"/>
  <c r="AE33" i="3"/>
  <c r="AQ33" i="3" s="1"/>
  <c r="Y9" i="9"/>
  <c r="BA34" i="1"/>
  <c r="BC34" i="1"/>
  <c r="BB34" i="1" s="1"/>
  <c r="AY34" i="1" s="1"/>
  <c r="AW34" i="1"/>
  <c r="AV34" i="1"/>
  <c r="BI60" i="1"/>
  <c r="BD43" i="1"/>
  <c r="AI43" i="1"/>
  <c r="AY47" i="1"/>
  <c r="AM73" i="1"/>
  <c r="AY79" i="1"/>
  <c r="AY84" i="1"/>
  <c r="AW18" i="1"/>
  <c r="AY89" i="1"/>
  <c r="AL25" i="3"/>
  <c r="F25" i="3" s="1"/>
  <c r="E25" i="3"/>
  <c r="AY10" i="1"/>
  <c r="BA33" i="1"/>
  <c r="BI80" i="1"/>
  <c r="BC86" i="1"/>
  <c r="BB86" i="1" s="1"/>
  <c r="AY86" i="1" s="1"/>
  <c r="BO14" i="1"/>
  <c r="AV28" i="1"/>
  <c r="BC28" i="1" s="1"/>
  <c r="BB28" i="1" s="1"/>
  <c r="AY36" i="1"/>
  <c r="AY44" i="1"/>
  <c r="AY77" i="1"/>
  <c r="BA82" i="1"/>
  <c r="BC82" i="1"/>
  <c r="BB82" i="1" s="1"/>
  <c r="BB77" i="1"/>
  <c r="BC4" i="1"/>
  <c r="BB4" i="1" s="1"/>
  <c r="AY4" i="1" s="1"/>
  <c r="AU46" i="1"/>
  <c r="BC46" i="1"/>
  <c r="BB46" i="1" s="1"/>
  <c r="AY82" i="1"/>
  <c r="AT5" i="9"/>
  <c r="R5" i="9" s="1"/>
  <c r="AX5" i="9"/>
  <c r="BA5" i="9"/>
  <c r="BB5" i="9"/>
  <c r="BC5" i="9"/>
  <c r="AV5" i="9"/>
  <c r="AW5" i="9"/>
  <c r="BC8" i="9"/>
  <c r="AU8" i="9"/>
  <c r="AX8" i="9"/>
  <c r="AW8" i="9"/>
  <c r="AT8" i="9"/>
  <c r="R8" i="9" s="1"/>
  <c r="BD73" i="1"/>
  <c r="AG73" i="1"/>
  <c r="BC80" i="1"/>
  <c r="BB80" i="1" s="1"/>
  <c r="AY80" i="1" s="1"/>
  <c r="BA80" i="1"/>
  <c r="AY88" i="1"/>
  <c r="AF29" i="1"/>
  <c r="AH29" i="1"/>
  <c r="AI29" i="1" s="1"/>
  <c r="AJ29" i="1"/>
  <c r="AK29" i="1" s="1"/>
  <c r="AL29" i="1"/>
  <c r="AF23" i="1"/>
  <c r="AH23" i="1"/>
  <c r="AI23" i="1" s="1"/>
  <c r="AJ23" i="1"/>
  <c r="AK23" i="1" s="1"/>
  <c r="AL23" i="1"/>
  <c r="AF17" i="1"/>
  <c r="AH17" i="1"/>
  <c r="AI17" i="1" s="1"/>
  <c r="AJ17" i="1"/>
  <c r="AK17" i="1" s="1"/>
  <c r="AL17" i="1"/>
  <c r="AF11" i="1"/>
  <c r="AH11" i="1"/>
  <c r="AI11" i="1" s="1"/>
  <c r="AJ11" i="1"/>
  <c r="AK11" i="1" s="1"/>
  <c r="AL11" i="1"/>
  <c r="AF5" i="1"/>
  <c r="AH5" i="1"/>
  <c r="AI5" i="1" s="1"/>
  <c r="AJ5" i="1"/>
  <c r="AK5" i="1" s="1"/>
  <c r="AL5" i="1"/>
  <c r="AY17" i="9"/>
  <c r="AV17" i="9"/>
  <c r="AW17" i="9"/>
  <c r="T17" i="9" s="1"/>
  <c r="AT17" i="9"/>
  <c r="R17" i="9" s="1"/>
  <c r="BC17" i="9"/>
  <c r="AZ17" i="9"/>
  <c r="BB17" i="9"/>
  <c r="BA17" i="9"/>
  <c r="AU17" i="9"/>
  <c r="BC26" i="1"/>
  <c r="BB26" i="1" s="1"/>
  <c r="AY26" i="1" s="1"/>
  <c r="AU26" i="1"/>
  <c r="BA26" i="1"/>
  <c r="AW26" i="1"/>
  <c r="AY32" i="1"/>
  <c r="AY49" i="1"/>
  <c r="AY72" i="1"/>
  <c r="BC78" i="1"/>
  <c r="BB78" i="1" s="1"/>
  <c r="AW78" i="1"/>
  <c r="BA78" i="1"/>
  <c r="AZ78" i="1"/>
  <c r="AY37" i="1"/>
  <c r="AY41" i="1"/>
  <c r="AY55" i="1"/>
  <c r="AF83" i="1"/>
  <c r="AH83" i="1"/>
  <c r="AI83" i="1" s="1"/>
  <c r="AL83" i="1"/>
  <c r="AJ83" i="1"/>
  <c r="AK83" i="1" s="1"/>
  <c r="AG35" i="1"/>
  <c r="S4" i="9"/>
  <c r="AF27" i="1"/>
  <c r="AH27" i="1"/>
  <c r="AI27" i="1" s="1"/>
  <c r="AJ27" i="1"/>
  <c r="AK27" i="1" s="1"/>
  <c r="AL27" i="1"/>
  <c r="AF21" i="1"/>
  <c r="AH21" i="1"/>
  <c r="AI21" i="1" s="1"/>
  <c r="AJ21" i="1"/>
  <c r="AK21" i="1" s="1"/>
  <c r="AL21" i="1"/>
  <c r="AF15" i="1"/>
  <c r="AH15" i="1"/>
  <c r="AI15" i="1" s="1"/>
  <c r="AJ15" i="1"/>
  <c r="AK15" i="1" s="1"/>
  <c r="AL15" i="1"/>
  <c r="AF9" i="1"/>
  <c r="AH9" i="1"/>
  <c r="AI9" i="1" s="1"/>
  <c r="AJ9" i="1"/>
  <c r="AK9" i="1" s="1"/>
  <c r="AL9" i="1"/>
  <c r="AA19" i="9"/>
  <c r="Z19" i="9"/>
  <c r="AY21" i="9"/>
  <c r="BB21" i="9"/>
  <c r="AX21" i="9"/>
  <c r="U21" i="9" s="1"/>
  <c r="AW21" i="9"/>
  <c r="T21" i="9" s="1"/>
  <c r="AT21" i="9"/>
  <c r="R21" i="9" s="1"/>
  <c r="AV21" i="9"/>
  <c r="AU21" i="9"/>
  <c r="BA21" i="9"/>
  <c r="AZ21" i="9"/>
  <c r="AW8" i="1"/>
  <c r="AU8" i="1"/>
  <c r="AY58" i="1"/>
  <c r="W14" i="9"/>
  <c r="V14" i="9"/>
  <c r="AY14" i="1"/>
  <c r="AY16" i="1"/>
  <c r="AY30" i="1"/>
  <c r="AY52" i="1"/>
  <c r="AY56" i="1"/>
  <c r="AW62" i="1"/>
  <c r="BC62" i="1"/>
  <c r="BB62" i="1" s="1"/>
  <c r="AY62" i="1" s="1"/>
  <c r="BA62" i="1"/>
  <c r="AV90" i="1"/>
  <c r="BA90" i="1" s="1"/>
  <c r="AW90" i="1"/>
  <c r="BC90" i="1"/>
  <c r="BB90" i="1" s="1"/>
  <c r="AZ22" i="9"/>
  <c r="BC42" i="1"/>
  <c r="BB42" i="1" s="1"/>
  <c r="AY42" i="1" s="1"/>
  <c r="AH85" i="1"/>
  <c r="AI85" i="1" s="1"/>
  <c r="AK15" i="3"/>
  <c r="AK27" i="3"/>
  <c r="AY13" i="9"/>
  <c r="I62" i="9" s="1"/>
  <c r="K62" i="9" s="1"/>
  <c r="AK39" i="3"/>
  <c r="AT4" i="9"/>
  <c r="R4" i="9" s="1"/>
  <c r="AF85" i="1"/>
  <c r="AH35" i="1"/>
  <c r="AI35" i="1" s="1"/>
  <c r="AK17" i="3"/>
  <c r="AZ4" i="9"/>
  <c r="BC54" i="1"/>
  <c r="BB54" i="1" s="1"/>
  <c r="AY54" i="1" s="1"/>
  <c r="AK19" i="3"/>
  <c r="AK9" i="3"/>
  <c r="AK31" i="3"/>
  <c r="AY4" i="9"/>
  <c r="AY14" i="9"/>
  <c r="I63" i="9" s="1"/>
  <c r="K63" i="9" s="1"/>
  <c r="AJ35" i="1"/>
  <c r="AK35" i="1" s="1"/>
  <c r="AX4" i="9"/>
  <c r="AN7" i="3" l="1"/>
  <c r="AI5" i="3"/>
  <c r="AI17" i="3"/>
  <c r="AJ17" i="3" s="1"/>
  <c r="AR17" i="3" s="1"/>
  <c r="AW17" i="3" s="1"/>
  <c r="AX17" i="3" s="1"/>
  <c r="AY17" i="3" s="1"/>
  <c r="AI11" i="3"/>
  <c r="AJ11" i="3" s="1"/>
  <c r="AR11" i="3" s="1"/>
  <c r="AW11" i="3" s="1"/>
  <c r="AX11" i="3" s="1"/>
  <c r="AY11" i="3" s="1"/>
  <c r="AL11" i="3"/>
  <c r="F11" i="3" s="1"/>
  <c r="E11" i="3"/>
  <c r="AI33" i="3"/>
  <c r="AJ33" i="3" s="1"/>
  <c r="AR33" i="3" s="1"/>
  <c r="AI35" i="3"/>
  <c r="AJ35" i="3" s="1"/>
  <c r="AR35" i="3" s="1"/>
  <c r="AI43" i="3"/>
  <c r="AJ43" i="3" s="1"/>
  <c r="AR43" i="3" s="1"/>
  <c r="AW43" i="3" s="1"/>
  <c r="AI37" i="3"/>
  <c r="AJ37" i="3" s="1"/>
  <c r="AR37" i="3" s="1"/>
  <c r="AL29" i="3"/>
  <c r="F29" i="3" s="1"/>
  <c r="E29" i="3"/>
  <c r="AL41" i="3"/>
  <c r="F41" i="3" s="1"/>
  <c r="E41" i="3"/>
  <c r="AI29" i="3"/>
  <c r="AJ29" i="3" s="1"/>
  <c r="AR29" i="3" s="1"/>
  <c r="AW29" i="3" s="1"/>
  <c r="AX29" i="3" s="1"/>
  <c r="AY29" i="3" s="1"/>
  <c r="AI7" i="3"/>
  <c r="AJ7" i="3" s="1"/>
  <c r="AR7" i="3" s="1"/>
  <c r="AW7" i="3" s="1"/>
  <c r="AL23" i="3"/>
  <c r="F23" i="3" s="1"/>
  <c r="E23" i="3"/>
  <c r="E5" i="3"/>
  <c r="AL5" i="3"/>
  <c r="F5" i="3" s="1"/>
  <c r="AL13" i="3"/>
  <c r="F13" i="3" s="1"/>
  <c r="AL37" i="3"/>
  <c r="F37" i="3" s="1"/>
  <c r="AL33" i="3"/>
  <c r="F33" i="3" s="1"/>
  <c r="E33" i="3"/>
  <c r="AI27" i="3"/>
  <c r="AJ27" i="3" s="1"/>
  <c r="AR27" i="3" s="1"/>
  <c r="AW27" i="3" s="1"/>
  <c r="AX27" i="3" s="1"/>
  <c r="AY27" i="3" s="1"/>
  <c r="AI31" i="3"/>
  <c r="AJ31" i="3" s="1"/>
  <c r="AR31" i="3" s="1"/>
  <c r="AI13" i="3"/>
  <c r="AJ13" i="3" s="1"/>
  <c r="AR13" i="3" s="1"/>
  <c r="AW13" i="3" s="1"/>
  <c r="AI19" i="3"/>
  <c r="AJ19" i="3" s="1"/>
  <c r="AR19" i="3" s="1"/>
  <c r="AW19" i="3" s="1"/>
  <c r="AX19" i="3" s="1"/>
  <c r="AY19" i="3" s="1"/>
  <c r="AL21" i="3"/>
  <c r="F21" i="3" s="1"/>
  <c r="E21" i="3"/>
  <c r="AI23" i="3"/>
  <c r="AI21" i="3"/>
  <c r="AJ21" i="3" s="1"/>
  <c r="AR21" i="3" s="1"/>
  <c r="AI41" i="3"/>
  <c r="AJ41" i="3" s="1"/>
  <c r="AR41" i="3" s="1"/>
  <c r="AW41" i="3" s="1"/>
  <c r="AX41" i="3" s="1"/>
  <c r="AI39" i="3"/>
  <c r="AJ39" i="3" s="1"/>
  <c r="AR39" i="3" s="1"/>
  <c r="AW39" i="3" s="1"/>
  <c r="AX39" i="3" s="1"/>
  <c r="AY39" i="3" s="1"/>
  <c r="AI25" i="3"/>
  <c r="AJ25" i="3" s="1"/>
  <c r="AR25" i="3" s="1"/>
  <c r="AW25" i="3" s="1"/>
  <c r="AX25" i="3" s="1"/>
  <c r="AY25" i="3" s="1"/>
  <c r="AL7" i="3"/>
  <c r="F7" i="3" s="1"/>
  <c r="E7" i="3"/>
  <c r="AL35" i="3"/>
  <c r="F35" i="3" s="1"/>
  <c r="E35" i="3"/>
  <c r="Y12" i="9"/>
  <c r="BI12" i="9" s="1"/>
  <c r="X12" i="9"/>
  <c r="AD12" i="9" s="1"/>
  <c r="S18" i="9"/>
  <c r="S23" i="9"/>
  <c r="BI15" i="9"/>
  <c r="S17" i="9"/>
  <c r="V7" i="9"/>
  <c r="X16" i="9"/>
  <c r="BL15" i="9"/>
  <c r="BI19" i="9"/>
  <c r="AD19" i="9"/>
  <c r="BO23" i="9"/>
  <c r="AD6" i="9"/>
  <c r="V22" i="9"/>
  <c r="W22" i="9"/>
  <c r="X22" i="9"/>
  <c r="Y22" i="9"/>
  <c r="BI22" i="9" s="1"/>
  <c r="W23" i="9"/>
  <c r="Y23" i="9"/>
  <c r="V23" i="9"/>
  <c r="X23" i="9"/>
  <c r="BI6" i="9"/>
  <c r="W18" i="9"/>
  <c r="V18" i="9"/>
  <c r="Y18" i="9"/>
  <c r="X14" i="9"/>
  <c r="AD14" i="9" s="1"/>
  <c r="Y14" i="9"/>
  <c r="BI14" i="9" s="1"/>
  <c r="X18" i="9"/>
  <c r="X7" i="9"/>
  <c r="AD7" i="9" s="1"/>
  <c r="Y7" i="9"/>
  <c r="Z22" i="9"/>
  <c r="AA22" i="9"/>
  <c r="Z23" i="9"/>
  <c r="AA23" i="9"/>
  <c r="BT68" i="1"/>
  <c r="CL68" i="1" s="1"/>
  <c r="BS68" i="1"/>
  <c r="CK68" i="1" s="1"/>
  <c r="BH68" i="1"/>
  <c r="H35" i="3"/>
  <c r="AN29" i="3"/>
  <c r="AU29" i="3" s="1"/>
  <c r="G27" i="3"/>
  <c r="AZ35" i="3"/>
  <c r="BA35" i="3" s="1"/>
  <c r="BB35" i="3" s="1"/>
  <c r="AN5" i="3"/>
  <c r="AU5" i="3" s="1"/>
  <c r="AN19" i="3"/>
  <c r="AU19" i="3" s="1"/>
  <c r="AZ19" i="3" s="1"/>
  <c r="BA19" i="3" s="1"/>
  <c r="BB19" i="3" s="1"/>
  <c r="H25" i="3"/>
  <c r="H41" i="3"/>
  <c r="AU41" i="3"/>
  <c r="H43" i="3"/>
  <c r="AU43" i="3"/>
  <c r="BA31" i="3"/>
  <c r="BB31" i="3" s="1"/>
  <c r="AU27" i="3"/>
  <c r="H27" i="3"/>
  <c r="AN17" i="3"/>
  <c r="AZ33" i="3"/>
  <c r="BA33" i="3" s="1"/>
  <c r="BB33" i="3" s="1"/>
  <c r="AN37" i="3"/>
  <c r="G39" i="3"/>
  <c r="AN39" i="3"/>
  <c r="AW21" i="3"/>
  <c r="AX21" i="3" s="1"/>
  <c r="AY21" i="3" s="1"/>
  <c r="AJ23" i="3"/>
  <c r="AR23" i="3" s="1"/>
  <c r="AW23" i="3" s="1"/>
  <c r="AX23" i="3" s="1"/>
  <c r="AY23" i="3" s="1"/>
  <c r="AZ21" i="3"/>
  <c r="BA21" i="3" s="1"/>
  <c r="BB21" i="3" s="1"/>
  <c r="AN9" i="3"/>
  <c r="H9" i="3" s="1"/>
  <c r="AJ5" i="3"/>
  <c r="AR5" i="3" s="1"/>
  <c r="CC13" i="1"/>
  <c r="CC12" i="1"/>
  <c r="BF12" i="1"/>
  <c r="BG12" i="1"/>
  <c r="BJ24" i="1"/>
  <c r="BP24" i="1" s="1"/>
  <c r="CD24" i="1" s="1"/>
  <c r="CD23" i="1" s="1"/>
  <c r="BG8" i="1"/>
  <c r="BF8" i="1"/>
  <c r="BJ6" i="1"/>
  <c r="BP6" i="1"/>
  <c r="CD6" i="1" s="1"/>
  <c r="CC10" i="1"/>
  <c r="CD11" i="1"/>
  <c r="CC11" i="1"/>
  <c r="BF34" i="1"/>
  <c r="BG34" i="1"/>
  <c r="BG26" i="1"/>
  <c r="BF26" i="1"/>
  <c r="BG80" i="1"/>
  <c r="BF80" i="1"/>
  <c r="BG62" i="1"/>
  <c r="BF62" i="1"/>
  <c r="BG42" i="1"/>
  <c r="BF42" i="1"/>
  <c r="BF86" i="1"/>
  <c r="BG86" i="1"/>
  <c r="BG54" i="1"/>
  <c r="BF54" i="1"/>
  <c r="BG74" i="1"/>
  <c r="BF74" i="1"/>
  <c r="BG4" i="1"/>
  <c r="BF4" i="1"/>
  <c r="BD83" i="1"/>
  <c r="AG83" i="1"/>
  <c r="BF76" i="1"/>
  <c r="BG76" i="1"/>
  <c r="I53" i="9"/>
  <c r="K53" i="9" s="1"/>
  <c r="E27" i="3"/>
  <c r="AL27" i="3"/>
  <c r="F27" i="3" s="1"/>
  <c r="BG72" i="1"/>
  <c r="BF72" i="1"/>
  <c r="AG11" i="1"/>
  <c r="BD11" i="1"/>
  <c r="AL31" i="3"/>
  <c r="F31" i="3" s="1"/>
  <c r="E31" i="3"/>
  <c r="E15" i="3"/>
  <c r="AL15" i="3"/>
  <c r="F15" i="3" s="1"/>
  <c r="BO8" i="1"/>
  <c r="BI8" i="1"/>
  <c r="BG49" i="1"/>
  <c r="BF49" i="1"/>
  <c r="Z17" i="9"/>
  <c r="AA17" i="9"/>
  <c r="AM17" i="1"/>
  <c r="BF88" i="1"/>
  <c r="BG88" i="1"/>
  <c r="BG79" i="1"/>
  <c r="BF79" i="1"/>
  <c r="BI34" i="1"/>
  <c r="BO34" i="1"/>
  <c r="S11" i="9"/>
  <c r="AM19" i="1"/>
  <c r="AU61" i="1"/>
  <c r="BC61" i="1"/>
  <c r="BB61" i="1" s="1"/>
  <c r="AY61" i="1" s="1"/>
  <c r="BA61" i="1"/>
  <c r="AW61" i="1"/>
  <c r="BF67" i="1"/>
  <c r="BG67" i="1"/>
  <c r="AD15" i="9"/>
  <c r="AW9" i="3"/>
  <c r="AX9" i="3" s="1"/>
  <c r="AY9" i="3" s="1"/>
  <c r="BX45" i="1"/>
  <c r="BJ67" i="1"/>
  <c r="BP67" i="1"/>
  <c r="H7" i="3"/>
  <c r="AU7" i="3"/>
  <c r="AL9" i="3"/>
  <c r="F9" i="3" s="1"/>
  <c r="E9" i="3"/>
  <c r="CG67" i="1"/>
  <c r="CH67" i="1" s="1"/>
  <c r="BY67" i="1"/>
  <c r="BF36" i="1"/>
  <c r="BG36" i="1"/>
  <c r="BG33" i="1"/>
  <c r="BF33" i="1"/>
  <c r="CG41" i="1"/>
  <c r="CH41" i="1" s="1"/>
  <c r="CI41" i="1"/>
  <c r="CJ41" i="1" s="1"/>
  <c r="CE41" i="1"/>
  <c r="BG45" i="1"/>
  <c r="BF45" i="1"/>
  <c r="BI20" i="9"/>
  <c r="AM27" i="1"/>
  <c r="BG16" i="1"/>
  <c r="BF16" i="1"/>
  <c r="BG41" i="1"/>
  <c r="BF41" i="1"/>
  <c r="AG17" i="1"/>
  <c r="BD17" i="1"/>
  <c r="S5" i="9"/>
  <c r="Y5" i="9" s="1"/>
  <c r="BA28" i="1"/>
  <c r="BG89" i="1"/>
  <c r="BF89" i="1"/>
  <c r="BI9" i="9"/>
  <c r="BI58" i="1"/>
  <c r="BO58" i="1"/>
  <c r="CD57" i="1" s="1"/>
  <c r="BD19" i="1"/>
  <c r="AG19" i="1"/>
  <c r="BO20" i="9"/>
  <c r="G23" i="3"/>
  <c r="AN23" i="3"/>
  <c r="BG39" i="1"/>
  <c r="BF39" i="1"/>
  <c r="BF16" i="9"/>
  <c r="AD16" i="9"/>
  <c r="AD20" i="9"/>
  <c r="BF20" i="9"/>
  <c r="BG63" i="1"/>
  <c r="BF63" i="1"/>
  <c r="H13" i="3"/>
  <c r="J8" i="9" s="1" a="1"/>
  <c r="AU13" i="3"/>
  <c r="BF32" i="1"/>
  <c r="BG32" i="1"/>
  <c r="W11" i="9"/>
  <c r="V11" i="9"/>
  <c r="X11" i="9"/>
  <c r="Y11" i="9"/>
  <c r="BF55" i="1"/>
  <c r="BG55" i="1"/>
  <c r="H53" i="9"/>
  <c r="J53" i="9" s="1"/>
  <c r="BG14" i="1"/>
  <c r="BF14" i="1"/>
  <c r="S21" i="9"/>
  <c r="X21" i="9" s="1"/>
  <c r="BG37" i="1"/>
  <c r="BF37" i="1"/>
  <c r="AM5" i="1"/>
  <c r="AM23" i="1"/>
  <c r="BA73" i="1"/>
  <c r="BC73" i="1"/>
  <c r="BB73" i="1" s="1"/>
  <c r="AU73" i="1"/>
  <c r="AW73" i="1"/>
  <c r="BG22" i="1"/>
  <c r="BF22" i="1"/>
  <c r="AY90" i="1"/>
  <c r="AM7" i="1"/>
  <c r="AM25" i="1"/>
  <c r="BF70" i="1"/>
  <c r="BG70" i="1"/>
  <c r="BF38" i="1"/>
  <c r="BG38" i="1"/>
  <c r="BG51" i="1"/>
  <c r="BF51" i="1"/>
  <c r="CR67" i="1"/>
  <c r="BX67" i="1"/>
  <c r="BJ49" i="1"/>
  <c r="BP49" i="1" s="1"/>
  <c r="CD55" i="1"/>
  <c r="CC56" i="1"/>
  <c r="CC57" i="1"/>
  <c r="E17" i="3"/>
  <c r="AL17" i="3"/>
  <c r="F17" i="3" s="1"/>
  <c r="BI90" i="1"/>
  <c r="BO90" i="1"/>
  <c r="W21" i="9"/>
  <c r="V21" i="9"/>
  <c r="AG9" i="1"/>
  <c r="BD9" i="1"/>
  <c r="BD27" i="1"/>
  <c r="AG27" i="1"/>
  <c r="BO28" i="1"/>
  <c r="BI28" i="1"/>
  <c r="BG47" i="1"/>
  <c r="BF47" i="1"/>
  <c r="BG59" i="1"/>
  <c r="BF59" i="1"/>
  <c r="BD71" i="1"/>
  <c r="AG71" i="1"/>
  <c r="BI16" i="9"/>
  <c r="BK81" i="1"/>
  <c r="BM81" i="1"/>
  <c r="BJ22" i="1"/>
  <c r="BP22" i="1" s="1"/>
  <c r="CD22" i="1" s="1"/>
  <c r="CD21" i="1" s="1"/>
  <c r="BJ56" i="1"/>
  <c r="BP56" i="1"/>
  <c r="CD56" i="1" s="1"/>
  <c r="AG21" i="1"/>
  <c r="BD21" i="1"/>
  <c r="H5" i="3"/>
  <c r="Z21" i="9"/>
  <c r="AA21" i="9"/>
  <c r="AM15" i="1"/>
  <c r="BF24" i="1"/>
  <c r="BG24" i="1"/>
  <c r="BF20" i="1"/>
  <c r="BG20" i="1"/>
  <c r="AY28" i="1"/>
  <c r="BJ81" i="1"/>
  <c r="BP81" i="1"/>
  <c r="CH81" i="1" s="1"/>
  <c r="CF67" i="1"/>
  <c r="BD85" i="1"/>
  <c r="AG85" i="1"/>
  <c r="BF14" i="9"/>
  <c r="AC21" i="9"/>
  <c r="AB21" i="9"/>
  <c r="AY78" i="1"/>
  <c r="AG5" i="1"/>
  <c r="BD5" i="1"/>
  <c r="AG23" i="1"/>
  <c r="BD23" i="1"/>
  <c r="CC14" i="1"/>
  <c r="CD14" i="1"/>
  <c r="CC15" i="1"/>
  <c r="CD13" i="1"/>
  <c r="CD15" i="1"/>
  <c r="BO18" i="1"/>
  <c r="BI18" i="1"/>
  <c r="BA43" i="1"/>
  <c r="BC43" i="1"/>
  <c r="BB43" i="1" s="1"/>
  <c r="AY43" i="1" s="1"/>
  <c r="AW43" i="1"/>
  <c r="AU43" i="1"/>
  <c r="AG7" i="1"/>
  <c r="BD7" i="1"/>
  <c r="AG25" i="1"/>
  <c r="BD25" i="1"/>
  <c r="AY18" i="1"/>
  <c r="AN15" i="3"/>
  <c r="G15" i="3"/>
  <c r="BI50" i="1"/>
  <c r="BO50" i="1"/>
  <c r="G11" i="3"/>
  <c r="AN11" i="3"/>
  <c r="CE33" i="1"/>
  <c r="BU49" i="1"/>
  <c r="BW49" i="1" s="1"/>
  <c r="BY45" i="1"/>
  <c r="BZ45" i="1" s="1"/>
  <c r="BZ55" i="1"/>
  <c r="BF30" i="1"/>
  <c r="BG30" i="1"/>
  <c r="BF46" i="1"/>
  <c r="BG46" i="1"/>
  <c r="AL19" i="3"/>
  <c r="F19" i="3" s="1"/>
  <c r="E19" i="3"/>
  <c r="AM9" i="1"/>
  <c r="AM11" i="1"/>
  <c r="AM29" i="1"/>
  <c r="W5" i="9"/>
  <c r="V5" i="9"/>
  <c r="BG81" i="1"/>
  <c r="BF81" i="1"/>
  <c r="AM13" i="1"/>
  <c r="AM31" i="1"/>
  <c r="CC52" i="1"/>
  <c r="CD53" i="1"/>
  <c r="CC53" i="1"/>
  <c r="CD52" i="1"/>
  <c r="BF75" i="1"/>
  <c r="BG75" i="1"/>
  <c r="BI10" i="9"/>
  <c r="BL33" i="1"/>
  <c r="BR33" i="1" s="1"/>
  <c r="BN33" i="1"/>
  <c r="CR33" i="1" s="1"/>
  <c r="BQ33" i="1"/>
  <c r="BG50" i="1"/>
  <c r="BF50" i="1"/>
  <c r="BD35" i="1"/>
  <c r="E39" i="3"/>
  <c r="AL39" i="3"/>
  <c r="F39" i="3" s="1"/>
  <c r="BO62" i="1"/>
  <c r="BI62" i="1"/>
  <c r="AG15" i="1"/>
  <c r="BD15" i="1"/>
  <c r="BI78" i="1"/>
  <c r="BO78" i="1"/>
  <c r="W8" i="9"/>
  <c r="X8" i="9"/>
  <c r="V8" i="9"/>
  <c r="Y8" i="9"/>
  <c r="BG82" i="1"/>
  <c r="BF82" i="1"/>
  <c r="BJ80" i="1"/>
  <c r="BP80" i="1"/>
  <c r="CD80" i="1" s="1"/>
  <c r="BF7" i="9"/>
  <c r="BJ60" i="1"/>
  <c r="BP60" i="1"/>
  <c r="CD60" i="1" s="1"/>
  <c r="BF6" i="1"/>
  <c r="BG6" i="1"/>
  <c r="AW65" i="1"/>
  <c r="AU65" i="1"/>
  <c r="BC65" i="1"/>
  <c r="BB65" i="1" s="1"/>
  <c r="AY65" i="1" s="1"/>
  <c r="BA65" i="1"/>
  <c r="AY73" i="1"/>
  <c r="AD10" i="9"/>
  <c r="BF15" i="9"/>
  <c r="BO17" i="9"/>
  <c r="CI57" i="1"/>
  <c r="BU57" i="1"/>
  <c r="BV57" i="1" s="1"/>
  <c r="BX59" i="1"/>
  <c r="BG44" i="1"/>
  <c r="BF44" i="1"/>
  <c r="BO26" i="1"/>
  <c r="BI26" i="1"/>
  <c r="X4" i="9"/>
  <c r="Y4" i="9"/>
  <c r="V4" i="9"/>
  <c r="W4" i="9"/>
  <c r="BF4" i="9" s="1"/>
  <c r="BF56" i="1"/>
  <c r="BG56" i="1"/>
  <c r="BG58" i="1"/>
  <c r="BF58" i="1"/>
  <c r="AM21" i="1"/>
  <c r="BJ16" i="1"/>
  <c r="BP16" i="1" s="1"/>
  <c r="CD16" i="1" s="1"/>
  <c r="BG69" i="1"/>
  <c r="BF69" i="1"/>
  <c r="BF48" i="1"/>
  <c r="BG48" i="1"/>
  <c r="BF57" i="1"/>
  <c r="BG57" i="1"/>
  <c r="CL64" i="1"/>
  <c r="CR45" i="1"/>
  <c r="CF45" i="1"/>
  <c r="AU53" i="1"/>
  <c r="BA53" i="1"/>
  <c r="BC53" i="1"/>
  <c r="BB53" i="1" s="1"/>
  <c r="AY53" i="1" s="1"/>
  <c r="AW53" i="1"/>
  <c r="CE75" i="1"/>
  <c r="CG75" i="1"/>
  <c r="CI75" i="1"/>
  <c r="CS39" i="1"/>
  <c r="F39" i="1"/>
  <c r="BI76" i="1"/>
  <c r="BO76" i="1"/>
  <c r="BG52" i="1"/>
  <c r="BF52" i="1"/>
  <c r="BL19" i="9"/>
  <c r="AM83" i="1"/>
  <c r="Y17" i="9"/>
  <c r="X17" i="9"/>
  <c r="W17" i="9"/>
  <c r="V17" i="9"/>
  <c r="AG29" i="1"/>
  <c r="BD29" i="1"/>
  <c r="BF77" i="1"/>
  <c r="BG77" i="1"/>
  <c r="BG10" i="1"/>
  <c r="BF10" i="1"/>
  <c r="BG84" i="1"/>
  <c r="BF84" i="1"/>
  <c r="AG13" i="1"/>
  <c r="BD13" i="1"/>
  <c r="AG31" i="1"/>
  <c r="BD31" i="1"/>
  <c r="CC16" i="1"/>
  <c r="CD17" i="1"/>
  <c r="CC17" i="1"/>
  <c r="BF87" i="1"/>
  <c r="BG87" i="1"/>
  <c r="BI48" i="1"/>
  <c r="BO48" i="1"/>
  <c r="BF40" i="1"/>
  <c r="BG40" i="1"/>
  <c r="BF60" i="1"/>
  <c r="BG60" i="1"/>
  <c r="AW15" i="3"/>
  <c r="AX15" i="3" s="1"/>
  <c r="AY15" i="3" s="1"/>
  <c r="BV87" i="1"/>
  <c r="CI87" i="1"/>
  <c r="CJ87" i="1" s="1"/>
  <c r="BU87" i="1"/>
  <c r="BR63" i="1"/>
  <c r="BV63" i="1" s="1"/>
  <c r="BZ63" i="1" s="1"/>
  <c r="BN63" i="1"/>
  <c r="U8" i="9" l="1"/>
  <c r="AB8" i="9" s="1"/>
  <c r="AC8" i="9"/>
  <c r="BO8" i="9" s="1"/>
  <c r="AX13" i="3"/>
  <c r="AY13" i="3" s="1"/>
  <c r="J10" i="9" a="1"/>
  <c r="BN10" i="9" s="1"/>
  <c r="J13" i="9" a="1"/>
  <c r="J13" i="9" s="1"/>
  <c r="H29" i="3"/>
  <c r="J4" i="9" a="1"/>
  <c r="U4" i="9" s="1"/>
  <c r="AB4" i="9" s="1"/>
  <c r="N4" i="9" s="1"/>
  <c r="N11" i="9" s="1"/>
  <c r="J9" i="9" a="1"/>
  <c r="U9" i="9" s="1"/>
  <c r="AC9" i="9" s="1"/>
  <c r="J6" i="9" a="1"/>
  <c r="J5" i="9" a="1"/>
  <c r="U5" i="9" s="1"/>
  <c r="AC5" i="9" s="1"/>
  <c r="J11" i="9" a="1"/>
  <c r="AB5" i="9"/>
  <c r="BO5" i="9" s="1"/>
  <c r="J12" i="9" a="1"/>
  <c r="AY41" i="3"/>
  <c r="J8" i="9"/>
  <c r="BK8" i="9" s="1"/>
  <c r="BN8" i="9"/>
  <c r="BN9" i="9"/>
  <c r="AW37" i="3"/>
  <c r="AX37" i="3" s="1"/>
  <c r="AY37" i="3" s="1"/>
  <c r="AW35" i="3"/>
  <c r="AX35" i="3" s="1"/>
  <c r="AY35" i="3" s="1"/>
  <c r="J6" i="9"/>
  <c r="BK6" i="9" s="1"/>
  <c r="BN6" i="9"/>
  <c r="U6" i="9"/>
  <c r="AB6" i="9" s="1"/>
  <c r="U10" i="9"/>
  <c r="AC10" i="9" s="1"/>
  <c r="AX43" i="3"/>
  <c r="AY43" i="3" s="1"/>
  <c r="BI7" i="9"/>
  <c r="X5" i="9"/>
  <c r="AD4" i="9"/>
  <c r="BI4" i="9"/>
  <c r="Y21" i="9"/>
  <c r="BF18" i="9"/>
  <c r="BI23" i="9"/>
  <c r="BF23" i="9"/>
  <c r="AD23" i="9"/>
  <c r="AD22" i="9"/>
  <c r="BF22" i="9"/>
  <c r="BI18" i="9"/>
  <c r="BL23" i="9"/>
  <c r="AD18" i="9"/>
  <c r="BL22" i="9"/>
  <c r="H19" i="3"/>
  <c r="AU17" i="3"/>
  <c r="H17" i="3"/>
  <c r="AZ27" i="3"/>
  <c r="BA27" i="3"/>
  <c r="BB27" i="3" s="1"/>
  <c r="AZ29" i="3"/>
  <c r="BA29" i="3" s="1"/>
  <c r="BB29" i="3" s="1"/>
  <c r="H37" i="3"/>
  <c r="AU37" i="3"/>
  <c r="AU39" i="3"/>
  <c r="H39" i="3"/>
  <c r="AZ41" i="3"/>
  <c r="BA41" i="3" s="1"/>
  <c r="BB41" i="3" s="1"/>
  <c r="AU9" i="3"/>
  <c r="AZ43" i="3"/>
  <c r="BA43" i="3"/>
  <c r="BB43" i="3" s="1"/>
  <c r="AX7" i="3"/>
  <c r="AY7" i="3" s="1"/>
  <c r="AW5" i="3"/>
  <c r="AX5" i="3" s="1"/>
  <c r="AY5" i="3" s="1"/>
  <c r="BH8" i="1"/>
  <c r="BT8" i="1" s="1"/>
  <c r="BS8" i="1"/>
  <c r="BH12" i="1"/>
  <c r="BT12" i="1" s="1"/>
  <c r="BS12" i="1"/>
  <c r="CK12" i="1" s="1"/>
  <c r="BS10" i="1"/>
  <c r="CK10" i="1" s="1"/>
  <c r="BH10" i="1"/>
  <c r="BT10" i="1" s="1"/>
  <c r="BF53" i="1"/>
  <c r="BG53" i="1"/>
  <c r="CC26" i="1"/>
  <c r="CC27" i="1"/>
  <c r="CD25" i="1"/>
  <c r="CD27" i="1"/>
  <c r="BM43" i="1"/>
  <c r="BK43" i="1"/>
  <c r="BH20" i="1"/>
  <c r="BT20" i="1" s="1"/>
  <c r="BS20" i="1"/>
  <c r="CK20" i="1" s="1"/>
  <c r="AW71" i="1"/>
  <c r="AU71" i="1"/>
  <c r="BA71" i="1"/>
  <c r="BC71" i="1"/>
  <c r="BB71" i="1" s="1"/>
  <c r="AY71" i="1" s="1"/>
  <c r="AU27" i="1"/>
  <c r="AW27" i="1"/>
  <c r="BC27" i="1"/>
  <c r="BB27" i="1" s="1"/>
  <c r="AY27" i="1" s="1"/>
  <c r="BA27" i="1"/>
  <c r="H23" i="3"/>
  <c r="AU23" i="3"/>
  <c r="BH89" i="1"/>
  <c r="BT89" i="1" s="1"/>
  <c r="CU89" i="1" s="1"/>
  <c r="BS89" i="1"/>
  <c r="BS33" i="1"/>
  <c r="BH33" i="1"/>
  <c r="BT33" i="1"/>
  <c r="CU33" i="1" s="1"/>
  <c r="BS86" i="1"/>
  <c r="CK86" i="1" s="1"/>
  <c r="BH86" i="1"/>
  <c r="BT86" i="1" s="1"/>
  <c r="BH77" i="1"/>
  <c r="BT77" i="1" s="1"/>
  <c r="CU77" i="1" s="1"/>
  <c r="BS77" i="1"/>
  <c r="BH69" i="1"/>
  <c r="BT69" i="1" s="1"/>
  <c r="CU69" i="1" s="1"/>
  <c r="BS69" i="1"/>
  <c r="BG73" i="1"/>
  <c r="BF73" i="1"/>
  <c r="BJ62" i="1"/>
  <c r="BP62" i="1"/>
  <c r="CI33" i="1"/>
  <c r="BU33" i="1"/>
  <c r="BV33" i="1" s="1"/>
  <c r="N15" i="9"/>
  <c r="AK15" i="9" s="1"/>
  <c r="N6" i="9"/>
  <c r="AK6" i="9" s="1"/>
  <c r="CC51" i="1"/>
  <c r="CD51" i="1"/>
  <c r="CC50" i="1"/>
  <c r="BO43" i="1"/>
  <c r="BI43" i="1"/>
  <c r="BA85" i="1"/>
  <c r="AW85" i="1"/>
  <c r="AU85" i="1"/>
  <c r="BC85" i="1"/>
  <c r="BB85" i="1" s="1"/>
  <c r="AY85" i="1"/>
  <c r="AW31" i="3"/>
  <c r="AX31" i="3" s="1"/>
  <c r="AY31" i="3" s="1"/>
  <c r="AU9" i="1"/>
  <c r="BA9" i="1"/>
  <c r="AW9" i="1"/>
  <c r="BC9" i="1"/>
  <c r="BB9" i="1" s="1"/>
  <c r="AY9" i="1"/>
  <c r="BI11" i="9"/>
  <c r="BS67" i="1"/>
  <c r="BH67" i="1"/>
  <c r="BT67" i="1" s="1"/>
  <c r="CU67" i="1" s="1"/>
  <c r="BS79" i="1"/>
  <c r="BH79" i="1"/>
  <c r="BT79" i="1" s="1"/>
  <c r="BH52" i="1"/>
  <c r="BT52" i="1" s="1"/>
  <c r="BS52" i="1"/>
  <c r="CK52" i="1" s="1"/>
  <c r="BK53" i="1"/>
  <c r="BM53" i="1"/>
  <c r="BH44" i="1"/>
  <c r="BT44" i="1" s="1"/>
  <c r="BS44" i="1"/>
  <c r="CK44" i="1" s="1"/>
  <c r="CC62" i="1"/>
  <c r="CD62" i="1"/>
  <c r="CD63" i="1"/>
  <c r="CC63" i="1"/>
  <c r="CD61" i="1"/>
  <c r="BV49" i="1"/>
  <c r="BX49" i="1" s="1"/>
  <c r="BJ50" i="1"/>
  <c r="BP50" i="1" s="1"/>
  <c r="CD50" i="1" s="1"/>
  <c r="BG43" i="1"/>
  <c r="BF43" i="1"/>
  <c r="CH55" i="1"/>
  <c r="CJ55" i="1"/>
  <c r="CF55" i="1"/>
  <c r="BS38" i="1"/>
  <c r="CK38" i="1" s="1"/>
  <c r="BH38" i="1"/>
  <c r="BT38" i="1" s="1"/>
  <c r="BF90" i="1"/>
  <c r="BG90" i="1"/>
  <c r="BS36" i="1"/>
  <c r="CK36" i="1" s="1"/>
  <c r="BH36" i="1"/>
  <c r="BT36" i="1" s="1"/>
  <c r="BS88" i="1"/>
  <c r="CK88" i="1" s="1"/>
  <c r="BH88" i="1"/>
  <c r="BT88" i="1" s="1"/>
  <c r="BS76" i="1"/>
  <c r="BH76" i="1"/>
  <c r="BT76" i="1" s="1"/>
  <c r="BC29" i="1"/>
  <c r="BB29" i="1" s="1"/>
  <c r="AU29" i="1"/>
  <c r="AW29" i="1"/>
  <c r="BA29" i="1"/>
  <c r="AY29" i="1"/>
  <c r="CC76" i="1"/>
  <c r="CC77" i="1"/>
  <c r="CD77" i="1"/>
  <c r="CD75" i="1"/>
  <c r="F45" i="1"/>
  <c r="CS45" i="1"/>
  <c r="AU23" i="1"/>
  <c r="BA23" i="1"/>
  <c r="AW23" i="1"/>
  <c r="BC23" i="1"/>
  <c r="BB23" i="1" s="1"/>
  <c r="AY23" i="1" s="1"/>
  <c r="BH24" i="1"/>
  <c r="BS24" i="1"/>
  <c r="CK24" i="1" s="1"/>
  <c r="BT24" i="1"/>
  <c r="BY49" i="1"/>
  <c r="BZ49" i="1" s="1"/>
  <c r="BS59" i="1"/>
  <c r="BH59" i="1"/>
  <c r="BT59" i="1" s="1"/>
  <c r="AD21" i="9"/>
  <c r="BH37" i="1"/>
  <c r="BT37" i="1" s="1"/>
  <c r="CU37" i="1" s="1"/>
  <c r="BS37" i="1"/>
  <c r="AD11" i="9"/>
  <c r="BA17" i="1"/>
  <c r="BC17" i="1"/>
  <c r="BB17" i="1" s="1"/>
  <c r="AY17" i="1" s="1"/>
  <c r="AU17" i="1"/>
  <c r="AW17" i="1"/>
  <c r="BI61" i="1"/>
  <c r="BO61" i="1"/>
  <c r="BH42" i="1"/>
  <c r="BT42" i="1" s="1"/>
  <c r="BS42" i="1"/>
  <c r="CK42" i="1" s="1"/>
  <c r="BJ76" i="1"/>
  <c r="BP76" i="1"/>
  <c r="CD76" i="1" s="1"/>
  <c r="BH58" i="1"/>
  <c r="BT58" i="1" s="1"/>
  <c r="BS58" i="1"/>
  <c r="CK58" i="1" s="1"/>
  <c r="BF65" i="1"/>
  <c r="BG65" i="1"/>
  <c r="BS82" i="1"/>
  <c r="CK82" i="1" s="1"/>
  <c r="BH82" i="1"/>
  <c r="BT82" i="1"/>
  <c r="AZ9" i="3"/>
  <c r="BA9" i="3" s="1"/>
  <c r="BB9" i="3" s="1"/>
  <c r="BI5" i="9"/>
  <c r="H15" i="3"/>
  <c r="AU15" i="3"/>
  <c r="BJ18" i="1"/>
  <c r="BP18" i="1" s="1"/>
  <c r="CD18" i="1" s="1"/>
  <c r="BI21" i="9"/>
  <c r="BH70" i="1"/>
  <c r="BT70" i="1" s="1"/>
  <c r="BS70" i="1"/>
  <c r="CK70" i="1" s="1"/>
  <c r="BH22" i="1"/>
  <c r="BT22" i="1" s="1"/>
  <c r="BS22" i="1"/>
  <c r="CK22" i="1" s="1"/>
  <c r="BF11" i="9"/>
  <c r="BS45" i="1"/>
  <c r="BH45" i="1"/>
  <c r="BT45" i="1" s="1"/>
  <c r="CU45" i="1" s="1"/>
  <c r="BH60" i="1"/>
  <c r="BT60" i="1" s="1"/>
  <c r="BS60" i="1"/>
  <c r="CK60" i="1" s="1"/>
  <c r="BA31" i="1"/>
  <c r="AU31" i="1"/>
  <c r="AW31" i="1"/>
  <c r="BC31" i="1"/>
  <c r="BB31" i="1" s="1"/>
  <c r="AY31" i="1" s="1"/>
  <c r="AD17" i="9"/>
  <c r="BS56" i="1"/>
  <c r="CK56" i="1" s="1"/>
  <c r="BH56" i="1"/>
  <c r="BT56" i="1" s="1"/>
  <c r="BW57" i="1"/>
  <c r="BX57" i="1" s="1"/>
  <c r="BY57" i="1"/>
  <c r="BZ57" i="1" s="1"/>
  <c r="BK65" i="1"/>
  <c r="BM65" i="1"/>
  <c r="BI8" i="9"/>
  <c r="BA35" i="1"/>
  <c r="AU35" i="1"/>
  <c r="AW35" i="1"/>
  <c r="BC35" i="1"/>
  <c r="BB35" i="1" s="1"/>
  <c r="AY35" i="1" s="1"/>
  <c r="AD5" i="9"/>
  <c r="BG18" i="1"/>
  <c r="BF18" i="1"/>
  <c r="CC19" i="1"/>
  <c r="CC18" i="1"/>
  <c r="CD19" i="1"/>
  <c r="AW5" i="1"/>
  <c r="AU5" i="1"/>
  <c r="BA5" i="1"/>
  <c r="F67" i="1"/>
  <c r="CS67" i="1"/>
  <c r="BH32" i="1"/>
  <c r="BT32" i="1"/>
  <c r="BS32" i="1"/>
  <c r="CK32" i="1" s="1"/>
  <c r="CL32" i="1" s="1"/>
  <c r="BF61" i="1"/>
  <c r="BG61" i="1"/>
  <c r="BA83" i="1"/>
  <c r="AU83" i="1"/>
  <c r="AW83" i="1"/>
  <c r="BC83" i="1"/>
  <c r="BB83" i="1" s="1"/>
  <c r="AY83" i="1"/>
  <c r="BH62" i="1"/>
  <c r="BT62" i="1"/>
  <c r="BS62" i="1"/>
  <c r="CK62" i="1" s="1"/>
  <c r="CL62" i="1" s="1"/>
  <c r="BF17" i="9"/>
  <c r="CY39" i="1"/>
  <c r="CZ39" i="1" s="1"/>
  <c r="DA39" i="1" s="1"/>
  <c r="BS57" i="1"/>
  <c r="BH57" i="1"/>
  <c r="BT57" i="1" s="1"/>
  <c r="CU57" i="1" s="1"/>
  <c r="CJ57" i="1"/>
  <c r="BO65" i="1"/>
  <c r="BI65" i="1"/>
  <c r="AD8" i="9"/>
  <c r="BF5" i="9"/>
  <c r="AU25" i="1"/>
  <c r="BA25" i="1"/>
  <c r="AW25" i="1"/>
  <c r="BC25" i="1"/>
  <c r="BB25" i="1" s="1"/>
  <c r="AY25" i="1" s="1"/>
  <c r="AW33" i="3"/>
  <c r="AX33" i="3" s="1"/>
  <c r="AY33" i="3" s="1"/>
  <c r="BF21" i="9"/>
  <c r="BO73" i="1"/>
  <c r="BI73" i="1"/>
  <c r="BH14" i="1"/>
  <c r="BT14" i="1" s="1"/>
  <c r="BS14" i="1"/>
  <c r="CK14" i="1" s="1"/>
  <c r="AW19" i="1"/>
  <c r="AU19" i="1"/>
  <c r="BA19" i="1"/>
  <c r="BC19" i="1"/>
  <c r="BB19" i="1" s="1"/>
  <c r="AY19" i="1"/>
  <c r="BS41" i="1"/>
  <c r="BH41" i="1"/>
  <c r="BT41" i="1" s="1"/>
  <c r="CU41" i="1" s="1"/>
  <c r="BZ67" i="1"/>
  <c r="BK61" i="1"/>
  <c r="BM61" i="1"/>
  <c r="BL17" i="9"/>
  <c r="AU11" i="1"/>
  <c r="BA11" i="1"/>
  <c r="BC11" i="1"/>
  <c r="BB11" i="1" s="1"/>
  <c r="AY11" i="1" s="1"/>
  <c r="AW11" i="1"/>
  <c r="BS40" i="1"/>
  <c r="CK40" i="1" s="1"/>
  <c r="BH40" i="1"/>
  <c r="BT40" i="1" s="1"/>
  <c r="AU13" i="1"/>
  <c r="AW13" i="1"/>
  <c r="BC13" i="1"/>
  <c r="BB13" i="1" s="1"/>
  <c r="AY13" i="1" s="1"/>
  <c r="BA13" i="1"/>
  <c r="BR4" i="9"/>
  <c r="BS4" i="9" s="1"/>
  <c r="BH6" i="1"/>
  <c r="BT6" i="1" s="1"/>
  <c r="BS6" i="1"/>
  <c r="CK6" i="1" s="1"/>
  <c r="BH81" i="1"/>
  <c r="BT81" i="1"/>
  <c r="BS81" i="1"/>
  <c r="BG78" i="1"/>
  <c r="BF78" i="1"/>
  <c r="BL21" i="9"/>
  <c r="CE81" i="1"/>
  <c r="CC90" i="1"/>
  <c r="CD89" i="1"/>
  <c r="BK73" i="1"/>
  <c r="BM73" i="1"/>
  <c r="AZ13" i="3"/>
  <c r="BA13" i="3" s="1"/>
  <c r="BB13" i="3" s="1"/>
  <c r="CC59" i="1"/>
  <c r="CC58" i="1"/>
  <c r="CD59" i="1"/>
  <c r="BH4" i="1"/>
  <c r="BT4" i="1"/>
  <c r="BS4" i="1"/>
  <c r="CK4" i="1" s="1"/>
  <c r="BH80" i="1"/>
  <c r="BT80" i="1"/>
  <c r="BS80" i="1"/>
  <c r="CK80" i="1" s="1"/>
  <c r="BS46" i="1"/>
  <c r="CK46" i="1" s="1"/>
  <c r="BH46" i="1"/>
  <c r="BT46" i="1" s="1"/>
  <c r="BX63" i="1"/>
  <c r="CR63" i="1"/>
  <c r="BI17" i="9"/>
  <c r="CJ75" i="1"/>
  <c r="BF8" i="9"/>
  <c r="BS50" i="1"/>
  <c r="CK50" i="1" s="1"/>
  <c r="BH50" i="1"/>
  <c r="BT50" i="1"/>
  <c r="BS75" i="1"/>
  <c r="BT75" i="1"/>
  <c r="BH75" i="1"/>
  <c r="E33" i="1"/>
  <c r="CF33" i="1"/>
  <c r="BC7" i="1"/>
  <c r="BB7" i="1" s="1"/>
  <c r="AY7" i="1" s="1"/>
  <c r="AU7" i="1"/>
  <c r="BA7" i="1"/>
  <c r="AW7" i="1"/>
  <c r="BQ81" i="1"/>
  <c r="BL81" i="1"/>
  <c r="BR81" i="1" s="1"/>
  <c r="BN81" i="1"/>
  <c r="CR81" i="1" s="1"/>
  <c r="BH47" i="1"/>
  <c r="BT47" i="1" s="1"/>
  <c r="BS47" i="1"/>
  <c r="BJ90" i="1"/>
  <c r="BP90" i="1" s="1"/>
  <c r="CD90" i="1" s="1"/>
  <c r="BJ58" i="1"/>
  <c r="BP58" i="1"/>
  <c r="CD58" i="1" s="1"/>
  <c r="BS16" i="1"/>
  <c r="CK16" i="1" s="1"/>
  <c r="BH16" i="1"/>
  <c r="BT16" i="1" s="1"/>
  <c r="E41" i="1"/>
  <c r="CF41" i="1"/>
  <c r="CC49" i="1"/>
  <c r="CD47" i="1"/>
  <c r="CC48" i="1"/>
  <c r="CD49" i="1"/>
  <c r="CH75" i="1"/>
  <c r="CD79" i="1"/>
  <c r="CC79" i="1"/>
  <c r="CC78" i="1"/>
  <c r="BH30" i="1"/>
  <c r="BT30" i="1"/>
  <c r="BS30" i="1"/>
  <c r="CK30" i="1" s="1"/>
  <c r="AU11" i="3"/>
  <c r="H11" i="3"/>
  <c r="J7" i="9" s="1" a="1"/>
  <c r="BO21" i="9"/>
  <c r="BJ28" i="1"/>
  <c r="BP28" i="1" s="1"/>
  <c r="CD28" i="1" s="1"/>
  <c r="Q4" i="9"/>
  <c r="BH49" i="1"/>
  <c r="BT49" i="1" s="1"/>
  <c r="CU49" i="1" s="1"/>
  <c r="BS49" i="1"/>
  <c r="BH72" i="1"/>
  <c r="BT72" i="1" s="1"/>
  <c r="BS72" i="1"/>
  <c r="CK72" i="1" s="1"/>
  <c r="BH74" i="1"/>
  <c r="BT74" i="1" s="1"/>
  <c r="BS74" i="1"/>
  <c r="CK74" i="1" s="1"/>
  <c r="BS26" i="1"/>
  <c r="CK26" i="1" s="1"/>
  <c r="BT26" i="1"/>
  <c r="BH26" i="1"/>
  <c r="BY87" i="1"/>
  <c r="BZ87" i="1" s="1"/>
  <c r="BW87" i="1"/>
  <c r="BX87" i="1" s="1"/>
  <c r="BJ48" i="1"/>
  <c r="BP48" i="1"/>
  <c r="CD48" i="1" s="1"/>
  <c r="BS84" i="1"/>
  <c r="CK84" i="1" s="1"/>
  <c r="BH84" i="1"/>
  <c r="BT84" i="1" s="1"/>
  <c r="CF75" i="1"/>
  <c r="E75" i="1"/>
  <c r="BH48" i="1"/>
  <c r="BT48" i="1" s="1"/>
  <c r="BS48" i="1"/>
  <c r="BJ78" i="1"/>
  <c r="BP78" i="1" s="1"/>
  <c r="CD78" i="1" s="1"/>
  <c r="AZ5" i="3"/>
  <c r="BA5" i="3" s="1"/>
  <c r="BB5" i="3" s="1"/>
  <c r="CD29" i="1"/>
  <c r="CC29" i="1"/>
  <c r="CC28" i="1"/>
  <c r="BH55" i="1"/>
  <c r="BT55" i="1" s="1"/>
  <c r="CU55" i="1" s="1"/>
  <c r="BS55" i="1"/>
  <c r="CC35" i="1"/>
  <c r="CD35" i="1"/>
  <c r="CC34" i="1"/>
  <c r="CD33" i="1"/>
  <c r="CH33" i="1" s="1"/>
  <c r="BJ8" i="1"/>
  <c r="BP8" i="1" s="1"/>
  <c r="CD8" i="1" s="1"/>
  <c r="CD7" i="1" s="1"/>
  <c r="BH34" i="1"/>
  <c r="BT34" i="1" s="1"/>
  <c r="BS34" i="1"/>
  <c r="BS87" i="1"/>
  <c r="BH87" i="1"/>
  <c r="BT87" i="1" s="1"/>
  <c r="CU87" i="1" s="1"/>
  <c r="BI53" i="1"/>
  <c r="BO53" i="1"/>
  <c r="BP26" i="1"/>
  <c r="CD26" i="1" s="1"/>
  <c r="BJ26" i="1"/>
  <c r="AU15" i="1"/>
  <c r="AW15" i="1"/>
  <c r="BC15" i="1"/>
  <c r="BB15" i="1" s="1"/>
  <c r="AY15" i="1" s="1"/>
  <c r="BA15" i="1"/>
  <c r="BG28" i="1"/>
  <c r="BF28" i="1"/>
  <c r="BC21" i="1"/>
  <c r="BB21" i="1" s="1"/>
  <c r="AY21" i="1" s="1"/>
  <c r="BA21" i="1"/>
  <c r="AU21" i="1"/>
  <c r="AW21" i="1"/>
  <c r="CG57" i="1"/>
  <c r="CH57" i="1" s="1"/>
  <c r="CE57" i="1"/>
  <c r="BH51" i="1"/>
  <c r="BT51" i="1"/>
  <c r="BS51" i="1"/>
  <c r="BH63" i="1"/>
  <c r="BT63" i="1"/>
  <c r="BS63" i="1"/>
  <c r="BS39" i="1"/>
  <c r="BH39" i="1"/>
  <c r="BT39" i="1" s="1"/>
  <c r="AZ7" i="3"/>
  <c r="BA7" i="3" s="1"/>
  <c r="BB7" i="3" s="1"/>
  <c r="BJ34" i="1"/>
  <c r="BP34" i="1" s="1"/>
  <c r="CD34" i="1" s="1"/>
  <c r="CD9" i="1"/>
  <c r="CC8" i="1"/>
  <c r="CK8" i="1" s="1"/>
  <c r="CC9" i="1"/>
  <c r="BS54" i="1"/>
  <c r="CK54" i="1" s="1"/>
  <c r="BT54" i="1"/>
  <c r="BH54" i="1"/>
  <c r="BN7" i="9" l="1"/>
  <c r="U7" i="9"/>
  <c r="J7" i="9"/>
  <c r="BK7" i="9" s="1"/>
  <c r="J9" i="9"/>
  <c r="T9" i="9" s="1"/>
  <c r="AA9" i="9" s="1"/>
  <c r="N20" i="9"/>
  <c r="AK20" i="9" s="1"/>
  <c r="J10" i="9"/>
  <c r="T10" i="9" s="1"/>
  <c r="Z10" i="9" s="1"/>
  <c r="N19" i="9"/>
  <c r="AK19" i="9" s="1"/>
  <c r="AL19" i="9" s="1"/>
  <c r="BK13" i="9"/>
  <c r="N21" i="9"/>
  <c r="AK21" i="9" s="1"/>
  <c r="AL21" i="9" s="1"/>
  <c r="N10" i="9"/>
  <c r="N18" i="9"/>
  <c r="AK18" i="9" s="1"/>
  <c r="N17" i="9"/>
  <c r="AK17" i="9" s="1"/>
  <c r="AL17" i="9" s="1"/>
  <c r="J4" i="9"/>
  <c r="Z4" i="9" s="1"/>
  <c r="O4" i="9" s="1"/>
  <c r="N5" i="9"/>
  <c r="AK5" i="9" s="1"/>
  <c r="AL5" i="9" s="1"/>
  <c r="N23" i="9"/>
  <c r="AK23" i="9" s="1"/>
  <c r="BN5" i="9"/>
  <c r="AB9" i="9"/>
  <c r="BO9" i="9" s="1"/>
  <c r="BK9" i="9"/>
  <c r="N12" i="9"/>
  <c r="AC4" i="9"/>
  <c r="BO4" i="9" s="1"/>
  <c r="U13" i="9"/>
  <c r="AC13" i="9" s="1"/>
  <c r="N16" i="9"/>
  <c r="AK16" i="9" s="1"/>
  <c r="AB13" i="9"/>
  <c r="BO13" i="9" s="1"/>
  <c r="N13" i="9"/>
  <c r="N7" i="9"/>
  <c r="BN13" i="9"/>
  <c r="N9" i="9"/>
  <c r="BN4" i="9"/>
  <c r="BU4" i="9" s="1"/>
  <c r="BV4" i="9" s="1"/>
  <c r="N14" i="9"/>
  <c r="AK14" i="9" s="1"/>
  <c r="AL14" i="9" s="1"/>
  <c r="N8" i="9"/>
  <c r="AK8" i="9" s="1"/>
  <c r="AL8" i="9" s="1"/>
  <c r="BP8" i="9" s="1"/>
  <c r="N22" i="9"/>
  <c r="AK22" i="9" s="1"/>
  <c r="AL22" i="9" s="1"/>
  <c r="AC6" i="9"/>
  <c r="BO6" i="9" s="1"/>
  <c r="J5" i="9"/>
  <c r="BK5" i="9" s="1"/>
  <c r="T5" i="9"/>
  <c r="AA5" i="9" s="1"/>
  <c r="J11" i="9"/>
  <c r="BK11" i="9" s="1"/>
  <c r="BN11" i="9"/>
  <c r="U11" i="9"/>
  <c r="AB11" i="9" s="1"/>
  <c r="AK11" i="9" s="1"/>
  <c r="AC11" i="9"/>
  <c r="T6" i="9"/>
  <c r="AA6" i="9" s="1"/>
  <c r="T8" i="9"/>
  <c r="AA8" i="9" s="1"/>
  <c r="AB10" i="9"/>
  <c r="AK10" i="9" s="1"/>
  <c r="J12" i="9"/>
  <c r="T12" i="9" s="1"/>
  <c r="Z12" i="9" s="1"/>
  <c r="BK12" i="9"/>
  <c r="BN12" i="9"/>
  <c r="U12" i="9"/>
  <c r="AB12" i="9" s="1"/>
  <c r="AB7" i="9"/>
  <c r="AK7" i="9" s="1"/>
  <c r="AC7" i="9"/>
  <c r="T7" i="9"/>
  <c r="AA7" i="9" s="1"/>
  <c r="T4" i="9"/>
  <c r="AA4" i="9" s="1"/>
  <c r="T13" i="9"/>
  <c r="AA13" i="9" s="1"/>
  <c r="CU39" i="1"/>
  <c r="CL74" i="1"/>
  <c r="CL30" i="1"/>
  <c r="CU75" i="1"/>
  <c r="CL42" i="1"/>
  <c r="CU59" i="1"/>
  <c r="CL84" i="1"/>
  <c r="CU63" i="1"/>
  <c r="CL4" i="1"/>
  <c r="CL86" i="1"/>
  <c r="AZ39" i="3"/>
  <c r="BA39" i="3"/>
  <c r="BB39" i="3" s="1"/>
  <c r="AZ37" i="3"/>
  <c r="BA37" i="3" s="1"/>
  <c r="BB37" i="3" s="1"/>
  <c r="AZ17" i="3"/>
  <c r="BA17" i="3" s="1"/>
  <c r="BB17" i="3" s="1"/>
  <c r="CL12" i="1"/>
  <c r="CL22" i="1"/>
  <c r="BF7" i="1"/>
  <c r="BG7" i="1"/>
  <c r="BG31" i="1"/>
  <c r="BF31" i="1"/>
  <c r="BF27" i="1"/>
  <c r="BG27" i="1"/>
  <c r="BF35" i="1"/>
  <c r="BG35" i="1"/>
  <c r="BG17" i="1"/>
  <c r="BF17" i="1"/>
  <c r="BF23" i="1"/>
  <c r="BG23" i="1"/>
  <c r="BF71" i="1"/>
  <c r="BG71" i="1"/>
  <c r="BP5" i="9"/>
  <c r="CL8" i="1"/>
  <c r="BO15" i="1"/>
  <c r="BI15" i="1"/>
  <c r="CK48" i="1"/>
  <c r="CL48" i="1" s="1"/>
  <c r="BU81" i="1"/>
  <c r="BV81" i="1" s="1"/>
  <c r="CI81" i="1"/>
  <c r="CJ81" i="1" s="1"/>
  <c r="CL6" i="1"/>
  <c r="BP73" i="1"/>
  <c r="BJ73" i="1"/>
  <c r="BS61" i="1"/>
  <c r="BH61" i="1"/>
  <c r="BT61" i="1" s="1"/>
  <c r="BK5" i="1"/>
  <c r="BM5" i="1"/>
  <c r="BO35" i="1"/>
  <c r="BI35" i="1"/>
  <c r="CK37" i="1"/>
  <c r="CA37" i="1"/>
  <c r="CB37" i="1" s="1"/>
  <c r="CI77" i="1"/>
  <c r="CJ77" i="1" s="1"/>
  <c r="CG77" i="1"/>
  <c r="CH77" i="1" s="1"/>
  <c r="CE77" i="1"/>
  <c r="CL88" i="1"/>
  <c r="CK69" i="1"/>
  <c r="CA69" i="1"/>
  <c r="CB69" i="1" s="1"/>
  <c r="BK15" i="1"/>
  <c r="BM15" i="1"/>
  <c r="CL26" i="1"/>
  <c r="CG73" i="1"/>
  <c r="BO5" i="1"/>
  <c r="BI5" i="1"/>
  <c r="BK35" i="1"/>
  <c r="BM35" i="1"/>
  <c r="BF9" i="1"/>
  <c r="BG9" i="1"/>
  <c r="AL18" i="9"/>
  <c r="CK89" i="1"/>
  <c r="CA89" i="1"/>
  <c r="CB89" i="1" s="1"/>
  <c r="BF21" i="1"/>
  <c r="BG21" i="1"/>
  <c r="BP21" i="9"/>
  <c r="CL16" i="1"/>
  <c r="CK75" i="1"/>
  <c r="CA75" i="1"/>
  <c r="CB75" i="1" s="1"/>
  <c r="E81" i="1"/>
  <c r="CF81" i="1"/>
  <c r="CL40" i="1"/>
  <c r="BO23" i="1"/>
  <c r="BI23" i="1"/>
  <c r="BG29" i="1"/>
  <c r="BF29" i="1"/>
  <c r="CL36" i="1"/>
  <c r="CL44" i="1"/>
  <c r="BK71" i="1"/>
  <c r="BM71" i="1"/>
  <c r="BK11" i="1"/>
  <c r="BM11" i="1"/>
  <c r="BK21" i="1"/>
  <c r="BM21" i="1"/>
  <c r="CG59" i="1"/>
  <c r="CH59" i="1" s="1"/>
  <c r="CE59" i="1"/>
  <c r="CI59" i="1"/>
  <c r="CJ59" i="1" s="1"/>
  <c r="BF11" i="1"/>
  <c r="BG11" i="1"/>
  <c r="CK41" i="1"/>
  <c r="CA41" i="1"/>
  <c r="CB41" i="1" s="1"/>
  <c r="BJ65" i="1"/>
  <c r="BP65" i="1" s="1"/>
  <c r="CL82" i="1"/>
  <c r="CG61" i="1"/>
  <c r="BO9" i="1"/>
  <c r="BI9" i="1"/>
  <c r="BJ43" i="1"/>
  <c r="BP43" i="1" s="1"/>
  <c r="AL23" i="9"/>
  <c r="CA77" i="1"/>
  <c r="CB77" i="1" s="1"/>
  <c r="CK77" i="1"/>
  <c r="BI71" i="1"/>
  <c r="BO71" i="1"/>
  <c r="BG13" i="1"/>
  <c r="BF13" i="1"/>
  <c r="F75" i="1"/>
  <c r="CS75" i="1"/>
  <c r="CG53" i="1"/>
  <c r="BO7" i="1"/>
  <c r="BI7" i="1"/>
  <c r="CL46" i="1"/>
  <c r="BO11" i="1"/>
  <c r="BI11" i="1"/>
  <c r="BG19" i="1"/>
  <c r="BF19" i="1"/>
  <c r="CG65" i="1"/>
  <c r="BO31" i="1"/>
  <c r="BI31" i="1"/>
  <c r="CK45" i="1"/>
  <c r="CA45" i="1"/>
  <c r="CB45" i="1" s="1"/>
  <c r="BS65" i="1"/>
  <c r="BT65" i="1"/>
  <c r="BH65" i="1"/>
  <c r="BJ61" i="1"/>
  <c r="BP61" i="1"/>
  <c r="BM23" i="1"/>
  <c r="BK23" i="1"/>
  <c r="BI29" i="1"/>
  <c r="BO29" i="1"/>
  <c r="BH43" i="1"/>
  <c r="BT43" i="1" s="1"/>
  <c r="CU43" i="1" s="1"/>
  <c r="BS43" i="1"/>
  <c r="CG43" i="1"/>
  <c r="AZ23" i="3"/>
  <c r="BA23" i="3" s="1"/>
  <c r="BB23" i="3" s="1"/>
  <c r="CL20" i="1"/>
  <c r="CK47" i="1"/>
  <c r="CA47" i="1"/>
  <c r="CB47" i="1" s="1"/>
  <c r="BI21" i="1"/>
  <c r="BO21" i="1"/>
  <c r="CL54" i="1"/>
  <c r="CA39" i="1"/>
  <c r="CB39" i="1" s="1"/>
  <c r="CK39" i="1"/>
  <c r="CK63" i="1"/>
  <c r="CA63" i="1"/>
  <c r="CB63" i="1" s="1"/>
  <c r="BJ53" i="1"/>
  <c r="BP53" i="1" s="1"/>
  <c r="CL72" i="1"/>
  <c r="AZ11" i="3"/>
  <c r="BA11" i="3" s="1"/>
  <c r="BB11" i="3" s="1"/>
  <c r="CL50" i="1"/>
  <c r="CL80" i="1"/>
  <c r="CE65" i="1"/>
  <c r="BK31" i="1"/>
  <c r="BM31" i="1"/>
  <c r="BK29" i="1"/>
  <c r="BM29" i="1"/>
  <c r="CE53" i="1"/>
  <c r="BM9" i="1"/>
  <c r="BK9" i="1"/>
  <c r="AL6" i="9"/>
  <c r="BS53" i="1"/>
  <c r="BH53" i="1"/>
  <c r="BT53" i="1" s="1"/>
  <c r="CU53" i="1" s="1"/>
  <c r="BF25" i="1"/>
  <c r="BG25" i="1"/>
  <c r="BF83" i="1"/>
  <c r="BG83" i="1"/>
  <c r="BQ65" i="1"/>
  <c r="BL65" i="1"/>
  <c r="BR65" i="1" s="1"/>
  <c r="AZ15" i="3"/>
  <c r="BA15" i="3" s="1"/>
  <c r="BB15" i="3" s="1"/>
  <c r="CL58" i="1"/>
  <c r="BO17" i="1"/>
  <c r="BI17" i="1"/>
  <c r="BS90" i="1"/>
  <c r="CK90" i="1" s="1"/>
  <c r="BH90" i="1"/>
  <c r="BT90" i="1" s="1"/>
  <c r="BL53" i="1"/>
  <c r="BR53" i="1" s="1"/>
  <c r="BN53" i="1"/>
  <c r="CR53" i="1" s="1"/>
  <c r="BQ53" i="1"/>
  <c r="CU79" i="1"/>
  <c r="AL15" i="9"/>
  <c r="BY33" i="1"/>
  <c r="BZ33" i="1" s="1"/>
  <c r="BW33" i="1"/>
  <c r="BX33" i="1" s="1"/>
  <c r="BM19" i="1"/>
  <c r="BK19" i="1"/>
  <c r="CY67" i="1"/>
  <c r="CZ67" i="1" s="1"/>
  <c r="DA67" i="1" s="1"/>
  <c r="BS18" i="1"/>
  <c r="CK18" i="1" s="1"/>
  <c r="BH18" i="1"/>
  <c r="BT18" i="1" s="1"/>
  <c r="CL60" i="1"/>
  <c r="BK17" i="1"/>
  <c r="BM17" i="1"/>
  <c r="CA59" i="1"/>
  <c r="CB59" i="1" s="1"/>
  <c r="CK59" i="1"/>
  <c r="DA45" i="1"/>
  <c r="CY45" i="1"/>
  <c r="CZ45" i="1" s="1"/>
  <c r="CL52" i="1"/>
  <c r="CK79" i="1"/>
  <c r="CA79" i="1"/>
  <c r="CB79" i="1" s="1"/>
  <c r="CJ33" i="1"/>
  <c r="CK55" i="1"/>
  <c r="CA55" i="1"/>
  <c r="CB55" i="1" s="1"/>
  <c r="CF47" i="1"/>
  <c r="CH47" i="1"/>
  <c r="CJ47" i="1"/>
  <c r="CU47" i="1"/>
  <c r="CS33" i="1"/>
  <c r="F33" i="1"/>
  <c r="CE73" i="1"/>
  <c r="CA81" i="1"/>
  <c r="CK81" i="1"/>
  <c r="BO19" i="1"/>
  <c r="BI19" i="1"/>
  <c r="BO25" i="1"/>
  <c r="BI25" i="1"/>
  <c r="BO83" i="1"/>
  <c r="BI83" i="1"/>
  <c r="CK76" i="1"/>
  <c r="CL76" i="1" s="1"/>
  <c r="BG85" i="1"/>
  <c r="BF85" i="1"/>
  <c r="CE51" i="1"/>
  <c r="CI51" i="1"/>
  <c r="CJ51" i="1" s="1"/>
  <c r="CG51" i="1"/>
  <c r="CH51" i="1" s="1"/>
  <c r="AL20" i="9"/>
  <c r="BL43" i="1"/>
  <c r="BR43" i="1" s="1"/>
  <c r="BQ43" i="1"/>
  <c r="CL10" i="1"/>
  <c r="BH78" i="1"/>
  <c r="BT78" i="1" s="1"/>
  <c r="BS78" i="1"/>
  <c r="CK78" i="1" s="1"/>
  <c r="CA87" i="1"/>
  <c r="CB87" i="1" s="1"/>
  <c r="CK87" i="1"/>
  <c r="CU51" i="1"/>
  <c r="CK34" i="1"/>
  <c r="CL34" i="1" s="1"/>
  <c r="CK49" i="1"/>
  <c r="CA49" i="1"/>
  <c r="CB49" i="1" s="1"/>
  <c r="CE49" i="1"/>
  <c r="CG49" i="1"/>
  <c r="CH49" i="1" s="1"/>
  <c r="CI49" i="1"/>
  <c r="CJ49" i="1" s="1"/>
  <c r="BQ73" i="1"/>
  <c r="BL73" i="1"/>
  <c r="BR73" i="1" s="1"/>
  <c r="CU81" i="1"/>
  <c r="BM83" i="1"/>
  <c r="BK83" i="1"/>
  <c r="BF5" i="1"/>
  <c r="AL16" i="9"/>
  <c r="BO27" i="1"/>
  <c r="BI27" i="1"/>
  <c r="CE43" i="1"/>
  <c r="CA51" i="1"/>
  <c r="CB51" i="1" s="1"/>
  <c r="CK51" i="1"/>
  <c r="BF15" i="1"/>
  <c r="BG15" i="1"/>
  <c r="F41" i="1"/>
  <c r="CS41" i="1"/>
  <c r="BO13" i="1"/>
  <c r="BI13" i="1"/>
  <c r="CE61" i="1"/>
  <c r="CL14" i="1"/>
  <c r="BK25" i="1"/>
  <c r="BM25" i="1"/>
  <c r="CA57" i="1"/>
  <c r="CB57" i="1" s="1"/>
  <c r="CK57" i="1"/>
  <c r="CL24" i="1"/>
  <c r="CL38" i="1"/>
  <c r="CE63" i="1"/>
  <c r="CG63" i="1"/>
  <c r="CH63" i="1" s="1"/>
  <c r="CI63" i="1"/>
  <c r="CJ63" i="1" s="1"/>
  <c r="CK67" i="1"/>
  <c r="CA67" i="1"/>
  <c r="CB67" i="1" s="1"/>
  <c r="BM85" i="1"/>
  <c r="BK85" i="1"/>
  <c r="BM27" i="1"/>
  <c r="BK27" i="1"/>
  <c r="BK7" i="1"/>
  <c r="BM7" i="1"/>
  <c r="BH28" i="1"/>
  <c r="BT28" i="1" s="1"/>
  <c r="BS28" i="1"/>
  <c r="CK28" i="1" s="1"/>
  <c r="CF57" i="1"/>
  <c r="E57" i="1"/>
  <c r="Q14" i="9"/>
  <c r="AE14" i="9" s="1"/>
  <c r="Q21" i="9"/>
  <c r="AE21" i="9" s="1"/>
  <c r="AP21" i="9" s="1"/>
  <c r="Q18" i="9"/>
  <c r="AE18" i="9" s="1"/>
  <c r="AP18" i="9" s="1"/>
  <c r="Q5" i="9"/>
  <c r="AE5" i="9" s="1"/>
  <c r="AP5" i="9" s="1"/>
  <c r="Q16" i="9"/>
  <c r="AE16" i="9" s="1"/>
  <c r="AP16" i="9" s="1"/>
  <c r="Q12" i="9"/>
  <c r="AE12" i="9" s="1"/>
  <c r="Q23" i="9"/>
  <c r="AE23" i="9" s="1"/>
  <c r="Q6" i="9"/>
  <c r="AE6" i="9" s="1"/>
  <c r="AP6" i="9" s="1"/>
  <c r="Q22" i="9"/>
  <c r="AE22" i="9" s="1"/>
  <c r="Q11" i="9"/>
  <c r="AE11" i="9" s="1"/>
  <c r="Q9" i="9"/>
  <c r="AE9" i="9" s="1"/>
  <c r="Q20" i="9"/>
  <c r="AE20" i="9" s="1"/>
  <c r="Q10" i="9"/>
  <c r="AE10" i="9" s="1"/>
  <c r="Q7" i="9"/>
  <c r="AE7" i="9" s="1"/>
  <c r="Q19" i="9"/>
  <c r="AE19" i="9" s="1"/>
  <c r="AP19" i="9" s="1"/>
  <c r="Q15" i="9"/>
  <c r="AE15" i="9" s="1"/>
  <c r="Q13" i="9"/>
  <c r="AE13" i="9" s="1"/>
  <c r="Q8" i="9"/>
  <c r="AE8" i="9" s="1"/>
  <c r="Q17" i="9"/>
  <c r="AE17" i="9" s="1"/>
  <c r="CI79" i="1"/>
  <c r="CJ79" i="1" s="1"/>
  <c r="CE79" i="1"/>
  <c r="CG79" i="1"/>
  <c r="CH79" i="1" s="1"/>
  <c r="CH89" i="1"/>
  <c r="CJ89" i="1"/>
  <c r="CF89" i="1"/>
  <c r="BM13" i="1"/>
  <c r="BK13" i="1"/>
  <c r="BL61" i="1"/>
  <c r="BR61" i="1" s="1"/>
  <c r="BQ61" i="1"/>
  <c r="CL56" i="1"/>
  <c r="CL70" i="1"/>
  <c r="F55" i="1"/>
  <c r="CS55" i="1"/>
  <c r="BO85" i="1"/>
  <c r="BI85" i="1"/>
  <c r="BS73" i="1"/>
  <c r="BH73" i="1"/>
  <c r="BT73" i="1"/>
  <c r="CA33" i="1"/>
  <c r="CB33" i="1" s="1"/>
  <c r="CK33" i="1"/>
  <c r="BK10" i="9" l="1"/>
  <c r="AP9" i="9"/>
  <c r="I32" i="9" s="1"/>
  <c r="I10" i="5" s="1"/>
  <c r="AK12" i="9"/>
  <c r="AP12" i="9" s="1"/>
  <c r="BO10" i="9"/>
  <c r="BK4" i="9"/>
  <c r="AL11" i="9"/>
  <c r="BP11" i="9" s="1"/>
  <c r="AA10" i="9"/>
  <c r="BL10" i="9" s="1"/>
  <c r="AP8" i="9"/>
  <c r="I31" i="9" s="1"/>
  <c r="I9" i="5" s="1"/>
  <c r="AK13" i="9"/>
  <c r="AL13" i="9" s="1"/>
  <c r="BP13" i="9" s="1"/>
  <c r="AP14" i="9"/>
  <c r="AK9" i="9"/>
  <c r="AL9" i="9" s="1"/>
  <c r="Z8" i="9"/>
  <c r="BL8" i="9" s="1"/>
  <c r="Z5" i="9"/>
  <c r="Z6" i="9"/>
  <c r="BL6" i="9" s="1"/>
  <c r="AC12" i="9"/>
  <c r="BO12" i="9" s="1"/>
  <c r="Z9" i="9"/>
  <c r="BL9" i="9" s="1"/>
  <c r="AA12" i="9"/>
  <c r="BL12" i="9" s="1"/>
  <c r="K35" i="9"/>
  <c r="K13" i="5" s="1"/>
  <c r="AL10" i="9"/>
  <c r="BP10" i="9" s="1"/>
  <c r="AL7" i="9"/>
  <c r="BP7" i="9" s="1"/>
  <c r="BO11" i="9"/>
  <c r="O16" i="9"/>
  <c r="AI16" i="9" s="1"/>
  <c r="O17" i="9"/>
  <c r="AI17" i="9" s="1"/>
  <c r="O8" i="9"/>
  <c r="O23" i="9"/>
  <c r="AI23" i="9" s="1"/>
  <c r="O6" i="9"/>
  <c r="AI6" i="9" s="1"/>
  <c r="O13" i="9"/>
  <c r="O22" i="9"/>
  <c r="AI22" i="9" s="1"/>
  <c r="O20" i="9"/>
  <c r="AI20" i="9" s="1"/>
  <c r="O7" i="9"/>
  <c r="O9" i="9"/>
  <c r="O21" i="9"/>
  <c r="AI21" i="9" s="1"/>
  <c r="O18" i="9"/>
  <c r="AI18" i="9" s="1"/>
  <c r="O14" i="9"/>
  <c r="AI14" i="9" s="1"/>
  <c r="O5" i="9"/>
  <c r="AI5" i="9" s="1"/>
  <c r="O12" i="9"/>
  <c r="AI12" i="9" s="1"/>
  <c r="E35" i="9" s="1"/>
  <c r="E13" i="5" s="1"/>
  <c r="O15" i="9"/>
  <c r="AI15" i="9" s="1"/>
  <c r="O11" i="9"/>
  <c r="O19" i="9"/>
  <c r="AI19" i="9" s="1"/>
  <c r="O10" i="9"/>
  <c r="AI10" i="9" s="1"/>
  <c r="BL4" i="9"/>
  <c r="AP10" i="9"/>
  <c r="I33" i="9" s="1"/>
  <c r="I11" i="5" s="1"/>
  <c r="Z7" i="9"/>
  <c r="BL7" i="9" s="1"/>
  <c r="BO7" i="9"/>
  <c r="T11" i="9"/>
  <c r="AA11" i="9" s="1"/>
  <c r="AI8" i="9"/>
  <c r="BL5" i="9"/>
  <c r="AL12" i="9"/>
  <c r="BP12" i="9" s="1"/>
  <c r="Z13" i="9"/>
  <c r="BL13" i="9" s="1"/>
  <c r="CU61" i="1"/>
  <c r="I37" i="9"/>
  <c r="I29" i="9"/>
  <c r="I7" i="5" s="1"/>
  <c r="I39" i="9"/>
  <c r="I28" i="9"/>
  <c r="I6" i="5" s="1"/>
  <c r="I41" i="9"/>
  <c r="I44" i="9"/>
  <c r="C34" i="9"/>
  <c r="AF11" i="9"/>
  <c r="BP19" i="9"/>
  <c r="E79" i="1"/>
  <c r="CF79" i="1"/>
  <c r="C45" i="9"/>
  <c r="AF22" i="9"/>
  <c r="E63" i="1"/>
  <c r="CF63" i="1"/>
  <c r="CG27" i="1"/>
  <c r="BU73" i="1"/>
  <c r="BV73" i="1" s="1"/>
  <c r="CI73" i="1"/>
  <c r="CJ73" i="1" s="1"/>
  <c r="CF51" i="1"/>
  <c r="E51" i="1"/>
  <c r="CG19" i="1"/>
  <c r="CM55" i="1"/>
  <c r="CL55" i="1"/>
  <c r="CV55" i="1" s="1"/>
  <c r="CM59" i="1"/>
  <c r="CL59" i="1"/>
  <c r="CV59" i="1" s="1"/>
  <c r="BL19" i="1"/>
  <c r="BR19" i="1" s="1"/>
  <c r="BQ19" i="1"/>
  <c r="BN19" i="1"/>
  <c r="CR19" i="1" s="1"/>
  <c r="BN65" i="1"/>
  <c r="CR65" i="1" s="1"/>
  <c r="E65" i="1"/>
  <c r="CL63" i="1"/>
  <c r="CV63" i="1" s="1"/>
  <c r="CM63" i="1"/>
  <c r="CK43" i="1"/>
  <c r="BJ7" i="1"/>
  <c r="BP7" i="1" s="1"/>
  <c r="BQ21" i="1"/>
  <c r="BL21" i="1"/>
  <c r="BR21" i="1" s="1"/>
  <c r="CE15" i="1"/>
  <c r="BU5" i="9"/>
  <c r="BV5" i="9" s="1"/>
  <c r="BW5" i="9" s="1"/>
  <c r="BS27" i="1"/>
  <c r="BH27" i="1"/>
  <c r="BT27" i="1" s="1"/>
  <c r="CU27" i="1" s="1"/>
  <c r="C29" i="9"/>
  <c r="AF6" i="9"/>
  <c r="CL28" i="1"/>
  <c r="CL78" i="1"/>
  <c r="CM81" i="1"/>
  <c r="CL81" i="1"/>
  <c r="CV81" i="1" s="1"/>
  <c r="CE19" i="1"/>
  <c r="BS83" i="1"/>
  <c r="BH83" i="1"/>
  <c r="BT83" i="1" s="1"/>
  <c r="CU83" i="1" s="1"/>
  <c r="BQ9" i="1"/>
  <c r="BL9" i="1"/>
  <c r="BR9" i="1" s="1"/>
  <c r="AP11" i="9"/>
  <c r="CM39" i="1"/>
  <c r="CL39" i="1"/>
  <c r="CV39" i="1" s="1"/>
  <c r="CM45" i="1"/>
  <c r="CL45" i="1"/>
  <c r="CV45" i="1" s="1"/>
  <c r="CG7" i="1"/>
  <c r="BP23" i="9"/>
  <c r="CE11" i="1"/>
  <c r="BP14" i="9"/>
  <c r="CE35" i="1"/>
  <c r="BL15" i="1"/>
  <c r="BR15" i="1" s="1"/>
  <c r="BQ15" i="1"/>
  <c r="CG85" i="1"/>
  <c r="C46" i="9"/>
  <c r="AF23" i="9"/>
  <c r="CY41" i="1"/>
  <c r="CZ41" i="1" s="1"/>
  <c r="DA41" i="1" s="1"/>
  <c r="BP16" i="9"/>
  <c r="BH85" i="1"/>
  <c r="BT85" i="1" s="1"/>
  <c r="CU85" i="1" s="1"/>
  <c r="BS85" i="1"/>
  <c r="CB81" i="1"/>
  <c r="CE17" i="1"/>
  <c r="CL90" i="1"/>
  <c r="CE9" i="1"/>
  <c r="BP31" i="1"/>
  <c r="BJ31" i="1"/>
  <c r="AP23" i="9"/>
  <c r="BQ11" i="1"/>
  <c r="BL11" i="1"/>
  <c r="BR11" i="1" s="1"/>
  <c r="CM75" i="1"/>
  <c r="CL75" i="1"/>
  <c r="CV75" i="1" s="1"/>
  <c r="BQ35" i="1"/>
  <c r="BL35" i="1"/>
  <c r="BR35" i="1" s="1"/>
  <c r="BN35" i="1"/>
  <c r="CR35" i="1" s="1"/>
  <c r="CL37" i="1"/>
  <c r="CV37" i="1" s="1"/>
  <c r="CM37" i="1"/>
  <c r="BU8" i="9"/>
  <c r="BV8" i="9" s="1"/>
  <c r="BW8" i="9" s="1"/>
  <c r="C40" i="9"/>
  <c r="AF17" i="9"/>
  <c r="BN61" i="1"/>
  <c r="CR61" i="1" s="1"/>
  <c r="C31" i="9"/>
  <c r="AF8" i="9"/>
  <c r="C35" i="9"/>
  <c r="AF12" i="9"/>
  <c r="CL57" i="1"/>
  <c r="CV57" i="1" s="1"/>
  <c r="CM57" i="1"/>
  <c r="E49" i="1"/>
  <c r="CF49" i="1"/>
  <c r="BQ17" i="1"/>
  <c r="BL17" i="1"/>
  <c r="BR17" i="1" s="1"/>
  <c r="AP22" i="9"/>
  <c r="CG29" i="1"/>
  <c r="CG31" i="1"/>
  <c r="CH31" i="1" s="1"/>
  <c r="CH53" i="1"/>
  <c r="CM41" i="1"/>
  <c r="CL41" i="1"/>
  <c r="CV41" i="1" s="1"/>
  <c r="CE71" i="1"/>
  <c r="BJ5" i="1"/>
  <c r="BP5" i="1" s="1"/>
  <c r="CM69" i="1"/>
  <c r="CL69" i="1"/>
  <c r="CV69" i="1" s="1"/>
  <c r="BJ85" i="1"/>
  <c r="BP85" i="1" s="1"/>
  <c r="CM33" i="1"/>
  <c r="CL33" i="1"/>
  <c r="CV33" i="1" s="1"/>
  <c r="BU61" i="1"/>
  <c r="BV61" i="1" s="1"/>
  <c r="CI61" i="1"/>
  <c r="CJ61" i="1" s="1"/>
  <c r="CU73" i="1"/>
  <c r="C36" i="9"/>
  <c r="AF13" i="9"/>
  <c r="C39" i="9"/>
  <c r="AF16" i="9"/>
  <c r="AQ16" i="9" s="1"/>
  <c r="CE7" i="1"/>
  <c r="BL85" i="1"/>
  <c r="BR85" i="1" s="1"/>
  <c r="BQ85" i="1"/>
  <c r="BH15" i="1"/>
  <c r="BT15" i="1" s="1"/>
  <c r="BS15" i="1"/>
  <c r="CI43" i="1"/>
  <c r="CJ43" i="1" s="1"/>
  <c r="BU43" i="1"/>
  <c r="BV43" i="1" s="1"/>
  <c r="E73" i="1"/>
  <c r="BP15" i="9"/>
  <c r="BJ17" i="1"/>
  <c r="BP17" i="1" s="1"/>
  <c r="BU11" i="9"/>
  <c r="BP22" i="9"/>
  <c r="BJ29" i="1"/>
  <c r="BP29" i="1" s="1"/>
  <c r="CY75" i="1"/>
  <c r="CZ75" i="1"/>
  <c r="DA75" i="1"/>
  <c r="BH11" i="1"/>
  <c r="BT11" i="1" s="1"/>
  <c r="BS11" i="1"/>
  <c r="BL71" i="1"/>
  <c r="BR71" i="1" s="1"/>
  <c r="BQ71" i="1"/>
  <c r="BH29" i="1"/>
  <c r="BT29" i="1" s="1"/>
  <c r="BS29" i="1"/>
  <c r="CG5" i="1"/>
  <c r="BJ35" i="1"/>
  <c r="BP35" i="1"/>
  <c r="BH71" i="1"/>
  <c r="BT71" i="1"/>
  <c r="BS71" i="1"/>
  <c r="BH31" i="1"/>
  <c r="BT31" i="1" s="1"/>
  <c r="BS31" i="1"/>
  <c r="P18" i="9"/>
  <c r="AG18" i="9" s="1"/>
  <c r="P10" i="9"/>
  <c r="AG10" i="9" s="1"/>
  <c r="P21" i="9"/>
  <c r="AG21" i="9" s="1"/>
  <c r="P14" i="9"/>
  <c r="AG14" i="9" s="1"/>
  <c r="P9" i="9"/>
  <c r="AG9" i="9" s="1"/>
  <c r="P6" i="9"/>
  <c r="AG6" i="9" s="1"/>
  <c r="P12" i="9"/>
  <c r="AG12" i="9" s="1"/>
  <c r="P7" i="9"/>
  <c r="AG7" i="9" s="1"/>
  <c r="P17" i="9"/>
  <c r="AG17" i="9" s="1"/>
  <c r="P16" i="9"/>
  <c r="AG16" i="9" s="1"/>
  <c r="P15" i="9"/>
  <c r="AG15" i="9" s="1"/>
  <c r="P19" i="9"/>
  <c r="AG19" i="9" s="1"/>
  <c r="P22" i="9"/>
  <c r="AG22" i="9" s="1"/>
  <c r="P13" i="9"/>
  <c r="AG13" i="9" s="1"/>
  <c r="AG5" i="9"/>
  <c r="P8" i="9"/>
  <c r="AG8" i="9" s="1"/>
  <c r="P11" i="9"/>
  <c r="AG11" i="9" s="1"/>
  <c r="P20" i="9"/>
  <c r="AG20" i="9" s="1"/>
  <c r="P23" i="9"/>
  <c r="AG23" i="9" s="1"/>
  <c r="BQ13" i="1"/>
  <c r="BL13" i="1"/>
  <c r="BR13" i="1" s="1"/>
  <c r="C38" i="9"/>
  <c r="AF15" i="9"/>
  <c r="C28" i="9"/>
  <c r="AF5" i="9"/>
  <c r="AQ5" i="9" s="1"/>
  <c r="BL7" i="1"/>
  <c r="BR7" i="1" s="1"/>
  <c r="BQ7" i="1"/>
  <c r="CE85" i="1"/>
  <c r="CE25" i="1"/>
  <c r="BN43" i="1"/>
  <c r="CR43" i="1" s="1"/>
  <c r="CG17" i="1"/>
  <c r="BH25" i="1"/>
  <c r="BT25" i="1"/>
  <c r="BS25" i="1"/>
  <c r="CG21" i="1"/>
  <c r="BL23" i="1"/>
  <c r="BR23" i="1" s="1"/>
  <c r="BQ23" i="1"/>
  <c r="CH65" i="1"/>
  <c r="BJ9" i="1"/>
  <c r="BP9" i="1"/>
  <c r="BP17" i="9"/>
  <c r="BJ23" i="1"/>
  <c r="BP23" i="1" s="1"/>
  <c r="BP18" i="9"/>
  <c r="CG35" i="1"/>
  <c r="CH35" i="1" s="1"/>
  <c r="I42" i="9"/>
  <c r="CK73" i="1"/>
  <c r="CA73" i="1"/>
  <c r="CE13" i="1"/>
  <c r="AF19" i="9"/>
  <c r="C42" i="9"/>
  <c r="C41" i="9"/>
  <c r="AF18" i="9"/>
  <c r="AQ18" i="9" s="1"/>
  <c r="BQ25" i="1"/>
  <c r="BL25" i="1"/>
  <c r="BR25" i="1" s="1"/>
  <c r="CM51" i="1"/>
  <c r="CL51" i="1"/>
  <c r="CV51" i="1" s="1"/>
  <c r="BH5" i="1"/>
  <c r="BT5" i="1" s="1"/>
  <c r="CY33" i="1"/>
  <c r="CZ33" i="1" s="1"/>
  <c r="DA33" i="1" s="1"/>
  <c r="CL79" i="1"/>
  <c r="CV79" i="1" s="1"/>
  <c r="CM79" i="1"/>
  <c r="AP15" i="9"/>
  <c r="E53" i="1"/>
  <c r="CF53" i="1"/>
  <c r="BJ21" i="1"/>
  <c r="BP21" i="1" s="1"/>
  <c r="CE23" i="1"/>
  <c r="CG9" i="1"/>
  <c r="AP17" i="9"/>
  <c r="CG23" i="1"/>
  <c r="BH9" i="1"/>
  <c r="BT9" i="1" s="1"/>
  <c r="BS9" i="1"/>
  <c r="CE5" i="1"/>
  <c r="BY81" i="1"/>
  <c r="BZ81" i="1" s="1"/>
  <c r="BW81" i="1"/>
  <c r="BX81" i="1" s="1"/>
  <c r="BS23" i="1"/>
  <c r="BH23" i="1"/>
  <c r="BT23" i="1"/>
  <c r="CY55" i="1"/>
  <c r="CZ55" i="1" s="1"/>
  <c r="DA55" i="1" s="1"/>
  <c r="C30" i="9"/>
  <c r="AF7" i="9"/>
  <c r="C44" i="9"/>
  <c r="AF21" i="9"/>
  <c r="CM67" i="1"/>
  <c r="CL67" i="1"/>
  <c r="CV67" i="1" s="1"/>
  <c r="BL83" i="1"/>
  <c r="BR83" i="1" s="1"/>
  <c r="BQ83" i="1"/>
  <c r="BN83" i="1"/>
  <c r="CR83" i="1" s="1"/>
  <c r="CL49" i="1"/>
  <c r="CV49" i="1" s="1"/>
  <c r="CM49" i="1"/>
  <c r="BP20" i="9"/>
  <c r="BJ83" i="1"/>
  <c r="BP83" i="1" s="1"/>
  <c r="CE29" i="1"/>
  <c r="CH43" i="1"/>
  <c r="BH19" i="1"/>
  <c r="BT19" i="1" s="1"/>
  <c r="BS19" i="1"/>
  <c r="BS13" i="1"/>
  <c r="BH13" i="1"/>
  <c r="BT13" i="1" s="1"/>
  <c r="CF59" i="1"/>
  <c r="E59" i="1"/>
  <c r="BU21" i="9"/>
  <c r="BV21" i="9" s="1"/>
  <c r="BW21" i="9" s="1"/>
  <c r="CH73" i="1"/>
  <c r="BQ5" i="1"/>
  <c r="BL5" i="1"/>
  <c r="BR5" i="1" s="1"/>
  <c r="BN5" i="1"/>
  <c r="CR5" i="1" s="1"/>
  <c r="C33" i="9"/>
  <c r="AF10" i="9"/>
  <c r="C37" i="9"/>
  <c r="AF14" i="9"/>
  <c r="AQ14" i="9" s="1"/>
  <c r="BL27" i="1"/>
  <c r="BR27" i="1" s="1"/>
  <c r="BQ27" i="1"/>
  <c r="BN27" i="1"/>
  <c r="CR27" i="1" s="1"/>
  <c r="CE83" i="1"/>
  <c r="CG83" i="1"/>
  <c r="CL18" i="1"/>
  <c r="BQ29" i="1"/>
  <c r="BL29" i="1"/>
  <c r="BR29" i="1" s="1"/>
  <c r="CL47" i="1"/>
  <c r="CV47" i="1" s="1"/>
  <c r="CM47" i="1"/>
  <c r="BJ11" i="1"/>
  <c r="BP11" i="1" s="1"/>
  <c r="CG71" i="1"/>
  <c r="BS21" i="1"/>
  <c r="BH21" i="1"/>
  <c r="BT21" i="1" s="1"/>
  <c r="BJ15" i="1"/>
  <c r="BP15" i="1" s="1"/>
  <c r="BH7" i="1"/>
  <c r="BT7" i="1" s="1"/>
  <c r="BS7" i="1"/>
  <c r="CS89" i="1"/>
  <c r="F89" i="1"/>
  <c r="C43" i="9"/>
  <c r="AF20" i="9"/>
  <c r="CE27" i="1"/>
  <c r="E61" i="1"/>
  <c r="CF61" i="1"/>
  <c r="E43" i="1"/>
  <c r="CF43" i="1"/>
  <c r="AP20" i="9"/>
  <c r="BJ25" i="1"/>
  <c r="BP25" i="1" s="1"/>
  <c r="CK53" i="1"/>
  <c r="CE31" i="1"/>
  <c r="CG11" i="1"/>
  <c r="BJ71" i="1"/>
  <c r="BP71" i="1" s="1"/>
  <c r="CH61" i="1"/>
  <c r="CG15" i="1"/>
  <c r="BS17" i="1"/>
  <c r="BH17" i="1"/>
  <c r="BT17" i="1" s="1"/>
  <c r="BP9" i="9"/>
  <c r="C32" i="9"/>
  <c r="AF9" i="9"/>
  <c r="AQ9" i="9" s="1"/>
  <c r="CS57" i="1"/>
  <c r="F57" i="1"/>
  <c r="AP7" i="9"/>
  <c r="BJ13" i="1"/>
  <c r="BP13" i="1" s="1"/>
  <c r="BN73" i="1"/>
  <c r="CR73" i="1" s="1"/>
  <c r="CM87" i="1"/>
  <c r="CL87" i="1"/>
  <c r="CV87" i="1" s="1"/>
  <c r="CG25" i="1"/>
  <c r="F47" i="1"/>
  <c r="CS47" i="1"/>
  <c r="BU53" i="1"/>
  <c r="CA53" i="1" s="1"/>
  <c r="CI53" i="1"/>
  <c r="CJ53" i="1" s="1"/>
  <c r="BL31" i="1"/>
  <c r="BR31" i="1" s="1"/>
  <c r="BQ31" i="1"/>
  <c r="BN31" i="1"/>
  <c r="CR31" i="1" s="1"/>
  <c r="CU65" i="1"/>
  <c r="CL77" i="1"/>
  <c r="CV77" i="1" s="1"/>
  <c r="CM77" i="1"/>
  <c r="E77" i="1"/>
  <c r="CF77" i="1"/>
  <c r="CK61" i="1"/>
  <c r="CA61" i="1"/>
  <c r="BS35" i="1"/>
  <c r="BH35" i="1"/>
  <c r="BT35" i="1" s="1"/>
  <c r="CG13" i="1"/>
  <c r="BP27" i="1"/>
  <c r="BJ27" i="1"/>
  <c r="BJ19" i="1"/>
  <c r="BP19" i="1"/>
  <c r="BU65" i="1"/>
  <c r="CA65" i="1" s="1"/>
  <c r="CI65" i="1"/>
  <c r="CJ65" i="1" s="1"/>
  <c r="BP6" i="9"/>
  <c r="CK65" i="1"/>
  <c r="CE21" i="1"/>
  <c r="CS81" i="1"/>
  <c r="F81" i="1"/>
  <c r="CL89" i="1"/>
  <c r="CV89" i="1" s="1"/>
  <c r="CM89" i="1"/>
  <c r="AP13" i="9" l="1"/>
  <c r="I36" i="9" s="1"/>
  <c r="I14" i="5" s="1"/>
  <c r="BV11" i="9"/>
  <c r="BW11" i="9" s="1"/>
  <c r="AI7" i="9"/>
  <c r="E30" i="9" s="1"/>
  <c r="AI13" i="9"/>
  <c r="K36" i="9" s="1"/>
  <c r="K14" i="5" s="1"/>
  <c r="AI9" i="9"/>
  <c r="AJ9" i="9" s="1"/>
  <c r="BM9" i="9" s="1"/>
  <c r="E40" i="9"/>
  <c r="K40" i="9"/>
  <c r="AJ17" i="9"/>
  <c r="BM17" i="9" s="1"/>
  <c r="AJ7" i="9"/>
  <c r="BM7" i="9" s="1"/>
  <c r="AJ23" i="9"/>
  <c r="BM23" i="9" s="1"/>
  <c r="K46" i="9"/>
  <c r="E46" i="9"/>
  <c r="AQ13" i="9"/>
  <c r="J36" i="9" s="1"/>
  <c r="J14" i="5" s="1"/>
  <c r="AJ12" i="9"/>
  <c r="L35" i="9" s="1"/>
  <c r="L13" i="5" s="1"/>
  <c r="K37" i="9"/>
  <c r="E37" i="9"/>
  <c r="AJ14" i="9"/>
  <c r="BM14" i="9" s="1"/>
  <c r="K39" i="9"/>
  <c r="E39" i="9"/>
  <c r="AJ16" i="9"/>
  <c r="BM16" i="9" s="1"/>
  <c r="E43" i="9"/>
  <c r="AJ20" i="9"/>
  <c r="BM20" i="9" s="1"/>
  <c r="K43" i="9"/>
  <c r="E41" i="9"/>
  <c r="AJ18" i="9"/>
  <c r="BM18" i="9" s="1"/>
  <c r="K41" i="9"/>
  <c r="E28" i="9"/>
  <c r="K28" i="9"/>
  <c r="AJ5" i="9"/>
  <c r="BM5" i="9" s="1"/>
  <c r="AJ15" i="9"/>
  <c r="BM15" i="9" s="1"/>
  <c r="E38" i="9"/>
  <c r="F38" i="9" s="1"/>
  <c r="K38" i="9"/>
  <c r="E44" i="9"/>
  <c r="K44" i="9"/>
  <c r="AJ21" i="9"/>
  <c r="BM21" i="9" s="1"/>
  <c r="E31" i="9"/>
  <c r="K31" i="9"/>
  <c r="AJ8" i="9"/>
  <c r="BM8" i="9" s="1"/>
  <c r="E33" i="9"/>
  <c r="AJ10" i="9"/>
  <c r="BM10" i="9" s="1"/>
  <c r="AJ22" i="9"/>
  <c r="BM22" i="9" s="1"/>
  <c r="E45" i="9"/>
  <c r="K45" i="9"/>
  <c r="K42" i="9"/>
  <c r="E42" i="9"/>
  <c r="AJ19" i="9"/>
  <c r="BM19" i="9" s="1"/>
  <c r="E36" i="9"/>
  <c r="K33" i="9"/>
  <c r="Z11" i="9"/>
  <c r="BL11" i="9" s="1"/>
  <c r="AI11" i="9"/>
  <c r="AJ11" i="9" s="1"/>
  <c r="BM11" i="9" s="1"/>
  <c r="K29" i="9"/>
  <c r="AJ6" i="9"/>
  <c r="BM6" i="9" s="1"/>
  <c r="E29" i="9"/>
  <c r="D42" i="9"/>
  <c r="D44" i="9"/>
  <c r="D41" i="9"/>
  <c r="CU29" i="1"/>
  <c r="CU35" i="1"/>
  <c r="BN17" i="1"/>
  <c r="CR17" i="1" s="1"/>
  <c r="CU19" i="1"/>
  <c r="BN15" i="1"/>
  <c r="CR15" i="1" s="1"/>
  <c r="BN11" i="1"/>
  <c r="CR11" i="1" s="1"/>
  <c r="CU9" i="1"/>
  <c r="CU7" i="1"/>
  <c r="BN7" i="1"/>
  <c r="CR7" i="1" s="1"/>
  <c r="CU5" i="1"/>
  <c r="CH9" i="1"/>
  <c r="CU13" i="1"/>
  <c r="CU23" i="1"/>
  <c r="CH5" i="1"/>
  <c r="CU21" i="1"/>
  <c r="AM17" i="9"/>
  <c r="G40" i="9" s="1"/>
  <c r="AH17" i="9"/>
  <c r="AH12" i="9"/>
  <c r="AM12" i="9"/>
  <c r="G35" i="9" s="1"/>
  <c r="G13" i="5" s="1"/>
  <c r="CB65" i="1"/>
  <c r="CA9" i="9"/>
  <c r="J32" i="9"/>
  <c r="J10" i="5" s="1"/>
  <c r="BY9" i="9"/>
  <c r="AH6" i="9"/>
  <c r="AM6" i="9"/>
  <c r="G29" i="9" s="1"/>
  <c r="G7" i="5" s="1"/>
  <c r="CA14" i="9"/>
  <c r="J37" i="9"/>
  <c r="BY14" i="9"/>
  <c r="AM11" i="9"/>
  <c r="G34" i="9" s="1"/>
  <c r="G12" i="5" s="1"/>
  <c r="AH11" i="9"/>
  <c r="AM8" i="9"/>
  <c r="G31" i="9" s="1"/>
  <c r="G9" i="5" s="1"/>
  <c r="AH8" i="9"/>
  <c r="AM23" i="9"/>
  <c r="G46" i="9" s="1"/>
  <c r="AH23" i="9"/>
  <c r="CA18" i="9"/>
  <c r="J41" i="9"/>
  <c r="BY18" i="9"/>
  <c r="J28" i="9"/>
  <c r="J6" i="5" s="1"/>
  <c r="CA5" i="9"/>
  <c r="BY5" i="9"/>
  <c r="AM22" i="9"/>
  <c r="G45" i="9" s="1"/>
  <c r="AH22" i="9"/>
  <c r="AH18" i="9"/>
  <c r="AM18" i="9"/>
  <c r="G41" i="9" s="1"/>
  <c r="AM16" i="9"/>
  <c r="G39" i="9" s="1"/>
  <c r="AH16" i="9"/>
  <c r="J39" i="9"/>
  <c r="CA16" i="9"/>
  <c r="BY16" i="9"/>
  <c r="CS43" i="1"/>
  <c r="F43" i="1"/>
  <c r="AM14" i="9"/>
  <c r="G37" i="9" s="1"/>
  <c r="AH14" i="9"/>
  <c r="CS59" i="1"/>
  <c r="F59" i="1"/>
  <c r="BG21" i="9"/>
  <c r="BG15" i="9"/>
  <c r="BU85" i="1"/>
  <c r="BV85" i="1"/>
  <c r="CI85" i="1"/>
  <c r="CJ85" i="1" s="1"/>
  <c r="E71" i="1"/>
  <c r="I35" i="9"/>
  <c r="I13" i="5" s="1"/>
  <c r="AQ12" i="9"/>
  <c r="BZ12" i="9" s="1"/>
  <c r="BG17" i="9"/>
  <c r="CH27" i="1"/>
  <c r="BU19" i="9"/>
  <c r="BV19" i="9" s="1"/>
  <c r="BW19" i="9" s="1"/>
  <c r="CM61" i="1"/>
  <c r="CL61" i="1"/>
  <c r="CV61" i="1" s="1"/>
  <c r="F77" i="1"/>
  <c r="CS77" i="1"/>
  <c r="CK21" i="1"/>
  <c r="D37" i="9"/>
  <c r="AM21" i="9"/>
  <c r="G44" i="9" s="1"/>
  <c r="AH21" i="9"/>
  <c r="BU23" i="1"/>
  <c r="CI23" i="1"/>
  <c r="CJ23" i="1" s="1"/>
  <c r="AH15" i="9"/>
  <c r="AM15" i="9"/>
  <c r="G38" i="9" s="1"/>
  <c r="CK31" i="1"/>
  <c r="CF73" i="1"/>
  <c r="BY61" i="1"/>
  <c r="BZ61" i="1" s="1"/>
  <c r="BW61" i="1"/>
  <c r="BX61" i="1" s="1"/>
  <c r="CS49" i="1"/>
  <c r="F49" i="1"/>
  <c r="CN75" i="1"/>
  <c r="CO75" i="1"/>
  <c r="G75" i="1"/>
  <c r="E17" i="1"/>
  <c r="CF35" i="1"/>
  <c r="E35" i="1"/>
  <c r="G81" i="1"/>
  <c r="CN81" i="1"/>
  <c r="CO81" i="1"/>
  <c r="CN59" i="1"/>
  <c r="CO59" i="1"/>
  <c r="G59" i="1"/>
  <c r="CS63" i="1"/>
  <c r="F63" i="1"/>
  <c r="CN89" i="1"/>
  <c r="CO89" i="1"/>
  <c r="G89" i="1"/>
  <c r="CH15" i="1"/>
  <c r="F61" i="1"/>
  <c r="CS61" i="1"/>
  <c r="BG10" i="9"/>
  <c r="E5" i="1"/>
  <c r="CF5" i="1"/>
  <c r="AH19" i="9"/>
  <c r="AM19" i="9"/>
  <c r="G42" i="9" s="1"/>
  <c r="E25" i="1"/>
  <c r="D38" i="9"/>
  <c r="CU31" i="1"/>
  <c r="BU71" i="1"/>
  <c r="CI71" i="1"/>
  <c r="CJ71" i="1" s="1"/>
  <c r="BU22" i="9"/>
  <c r="BV22" i="9" s="1"/>
  <c r="BW22" i="9" s="1"/>
  <c r="CF7" i="1"/>
  <c r="E7" i="1"/>
  <c r="CN41" i="1"/>
  <c r="G41" i="1"/>
  <c r="CO41" i="1"/>
  <c r="D40" i="9"/>
  <c r="CO39" i="1"/>
  <c r="CN39" i="1"/>
  <c r="G39" i="1"/>
  <c r="CA43" i="1"/>
  <c r="CB43" i="1" s="1"/>
  <c r="I30" i="9"/>
  <c r="I8" i="5" s="1"/>
  <c r="AQ7" i="9"/>
  <c r="CY81" i="1"/>
  <c r="CZ81" i="1" s="1"/>
  <c r="DA81" i="1" s="1"/>
  <c r="BV53" i="1"/>
  <c r="CB53" i="1" s="1"/>
  <c r="CY89" i="1"/>
  <c r="CZ89" i="1" s="1"/>
  <c r="DA89" i="1" s="1"/>
  <c r="AM10" i="9"/>
  <c r="G33" i="9" s="1"/>
  <c r="G11" i="5" s="1"/>
  <c r="AH10" i="9"/>
  <c r="CK13" i="1"/>
  <c r="BU20" i="9"/>
  <c r="BV20" i="9" s="1"/>
  <c r="BW20" i="9" s="1"/>
  <c r="BG7" i="9"/>
  <c r="E23" i="1"/>
  <c r="BG19" i="9"/>
  <c r="BN23" i="1"/>
  <c r="CR23" i="1" s="1"/>
  <c r="BN13" i="1"/>
  <c r="CR13" i="1" s="1"/>
  <c r="BN71" i="1"/>
  <c r="CR71" i="1" s="1"/>
  <c r="CO33" i="1"/>
  <c r="G33" i="1"/>
  <c r="CN33" i="1"/>
  <c r="CN57" i="1"/>
  <c r="G57" i="1"/>
  <c r="CO57" i="1"/>
  <c r="BU14" i="9"/>
  <c r="BV14" i="9"/>
  <c r="BW14" i="9" s="1"/>
  <c r="I34" i="9"/>
  <c r="I12" i="5" s="1"/>
  <c r="AQ11" i="9"/>
  <c r="BU13" i="9"/>
  <c r="BV13" i="9" s="1"/>
  <c r="BW13" i="9" s="1"/>
  <c r="E15" i="1"/>
  <c r="CL43" i="1"/>
  <c r="CV43" i="1" s="1"/>
  <c r="CM43" i="1"/>
  <c r="CN55" i="1"/>
  <c r="G55" i="1"/>
  <c r="CO55" i="1"/>
  <c r="CF31" i="1"/>
  <c r="E31" i="1"/>
  <c r="E21" i="1"/>
  <c r="BW53" i="1"/>
  <c r="BX53" i="1" s="1"/>
  <c r="BY53" i="1"/>
  <c r="BZ53" i="1" s="1"/>
  <c r="CY57" i="1"/>
  <c r="CZ57" i="1" s="1"/>
  <c r="DA57" i="1" s="1"/>
  <c r="CL53" i="1"/>
  <c r="CV53" i="1" s="1"/>
  <c r="CM53" i="1"/>
  <c r="CK7" i="1"/>
  <c r="CH71" i="1"/>
  <c r="CH83" i="1"/>
  <c r="D33" i="9"/>
  <c r="CK19" i="1"/>
  <c r="AM7" i="9"/>
  <c r="G30" i="9" s="1"/>
  <c r="G8" i="5" s="1"/>
  <c r="AH7" i="9"/>
  <c r="BU18" i="9"/>
  <c r="BV18" i="9" s="1"/>
  <c r="BW18" i="9" s="1"/>
  <c r="E85" i="1"/>
  <c r="CF85" i="1"/>
  <c r="CK71" i="1"/>
  <c r="CA71" i="1"/>
  <c r="BW43" i="1"/>
  <c r="BX43" i="1" s="1"/>
  <c r="BY43" i="1"/>
  <c r="BZ43" i="1" s="1"/>
  <c r="BG16" i="9"/>
  <c r="BZ16" i="9"/>
  <c r="BU11" i="1"/>
  <c r="CA11" i="1" s="1"/>
  <c r="CI11" i="1"/>
  <c r="CJ11" i="1" s="1"/>
  <c r="BU12" i="9"/>
  <c r="BV12" i="9" s="1"/>
  <c r="BW12" i="9" s="1"/>
  <c r="BG23" i="9"/>
  <c r="CN63" i="1"/>
  <c r="G63" i="1"/>
  <c r="CO63" i="1"/>
  <c r="BU7" i="9"/>
  <c r="BV7" i="9" s="1"/>
  <c r="BW7" i="9" s="1"/>
  <c r="CN77" i="1"/>
  <c r="CO77" i="1"/>
  <c r="G77" i="1"/>
  <c r="CY47" i="1"/>
  <c r="CZ47" i="1" s="1"/>
  <c r="DA47" i="1" s="1"/>
  <c r="AM9" i="9"/>
  <c r="G32" i="9" s="1"/>
  <c r="G10" i="5" s="1"/>
  <c r="AH9" i="9"/>
  <c r="CO49" i="1"/>
  <c r="G49" i="1"/>
  <c r="CN49" i="1"/>
  <c r="D30" i="9"/>
  <c r="BU10" i="9"/>
  <c r="BV10" i="9" s="1"/>
  <c r="BW10" i="9" s="1"/>
  <c r="E13" i="1"/>
  <c r="CH21" i="1"/>
  <c r="BU13" i="1"/>
  <c r="CA13" i="1" s="1"/>
  <c r="CI13" i="1"/>
  <c r="CJ13" i="1" s="1"/>
  <c r="CU71" i="1"/>
  <c r="CK11" i="1"/>
  <c r="BG12" i="9"/>
  <c r="AQ23" i="9"/>
  <c r="BZ23" i="9" s="1"/>
  <c r="I46" i="9"/>
  <c r="E11" i="1"/>
  <c r="CF11" i="1"/>
  <c r="BU9" i="1"/>
  <c r="BV9" i="1" s="1"/>
  <c r="CI9" i="1"/>
  <c r="CJ9" i="1" s="1"/>
  <c r="CH19" i="1"/>
  <c r="BG11" i="9"/>
  <c r="E27" i="1"/>
  <c r="CF27" i="1"/>
  <c r="CK9" i="1"/>
  <c r="F53" i="1"/>
  <c r="CS53" i="1"/>
  <c r="CN51" i="1"/>
  <c r="G51" i="1"/>
  <c r="CO51" i="1"/>
  <c r="BU7" i="1"/>
  <c r="CA7" i="1" s="1"/>
  <c r="CI7" i="1"/>
  <c r="CJ7" i="1" s="1"/>
  <c r="D39" i="9"/>
  <c r="CA85" i="1"/>
  <c r="CB85" i="1" s="1"/>
  <c r="CK85" i="1"/>
  <c r="D46" i="9"/>
  <c r="BN9" i="1"/>
  <c r="CR9" i="1" s="1"/>
  <c r="CF65" i="1"/>
  <c r="BG22" i="9"/>
  <c r="D34" i="9"/>
  <c r="D32" i="9"/>
  <c r="AM20" i="9"/>
  <c r="G43" i="9" s="1"/>
  <c r="AH20" i="9"/>
  <c r="G47" i="1"/>
  <c r="CN47" i="1"/>
  <c r="CO47" i="1"/>
  <c r="E83" i="1"/>
  <c r="CF83" i="1"/>
  <c r="BU5" i="1"/>
  <c r="BV5" i="1" s="1"/>
  <c r="CI5" i="1"/>
  <c r="CJ5" i="1" s="1"/>
  <c r="CK25" i="1"/>
  <c r="CU11" i="1"/>
  <c r="AM13" i="9"/>
  <c r="G36" i="9" s="1"/>
  <c r="G14" i="5" s="1"/>
  <c r="AH13" i="9"/>
  <c r="CN69" i="1"/>
  <c r="G69" i="1"/>
  <c r="CO69" i="1"/>
  <c r="CH29" i="1"/>
  <c r="D35" i="9"/>
  <c r="G37" i="1"/>
  <c r="CN37" i="1"/>
  <c r="CO37" i="1"/>
  <c r="CH85" i="1"/>
  <c r="BU23" i="9"/>
  <c r="BV23" i="9" s="1"/>
  <c r="BW23" i="9" s="1"/>
  <c r="BG6" i="9"/>
  <c r="F51" i="1"/>
  <c r="CS51" i="1"/>
  <c r="D45" i="9"/>
  <c r="AQ21" i="9"/>
  <c r="BZ21" i="9" s="1"/>
  <c r="AQ6" i="9"/>
  <c r="BZ6" i="9" s="1"/>
  <c r="CH13" i="1"/>
  <c r="BU6" i="9"/>
  <c r="BV6" i="9" s="1"/>
  <c r="BW6" i="9" s="1"/>
  <c r="BG20" i="9"/>
  <c r="BU83" i="1"/>
  <c r="CA83" i="1" s="1"/>
  <c r="CB83" i="1" s="1"/>
  <c r="BV83" i="1"/>
  <c r="CI83" i="1"/>
  <c r="CJ83" i="1" s="1"/>
  <c r="I38" i="9"/>
  <c r="AQ15" i="9"/>
  <c r="BZ15" i="9" s="1"/>
  <c r="BV25" i="1"/>
  <c r="BU25" i="1"/>
  <c r="CA25" i="1" s="1"/>
  <c r="CB25" i="1" s="1"/>
  <c r="CI25" i="1"/>
  <c r="CJ25" i="1" s="1"/>
  <c r="CB73" i="1"/>
  <c r="BU17" i="9"/>
  <c r="BV17" i="9" s="1"/>
  <c r="BW17" i="9" s="1"/>
  <c r="CU25" i="1"/>
  <c r="CK15" i="1"/>
  <c r="BG13" i="9"/>
  <c r="BZ13" i="9"/>
  <c r="I45" i="9"/>
  <c r="AQ22" i="9"/>
  <c r="BZ22" i="9" s="1"/>
  <c r="BG8" i="9"/>
  <c r="CH7" i="1"/>
  <c r="D29" i="9"/>
  <c r="F79" i="1"/>
  <c r="CS79" i="1"/>
  <c r="CL65" i="1"/>
  <c r="CV65" i="1" s="1"/>
  <c r="CM65" i="1"/>
  <c r="BU9" i="9"/>
  <c r="BV9" i="9" s="1"/>
  <c r="BW9" i="9" s="1"/>
  <c r="I43" i="9"/>
  <c r="AQ20" i="9"/>
  <c r="BZ20" i="9" s="1"/>
  <c r="D43" i="9"/>
  <c r="BU27" i="1"/>
  <c r="CI27" i="1"/>
  <c r="CJ27" i="1" s="1"/>
  <c r="BV27" i="1"/>
  <c r="E29" i="1"/>
  <c r="CN79" i="1"/>
  <c r="CO79" i="1"/>
  <c r="G79" i="1"/>
  <c r="BN25" i="1"/>
  <c r="CR25" i="1" s="1"/>
  <c r="CM73" i="1"/>
  <c r="CL73" i="1"/>
  <c r="CV73" i="1" s="1"/>
  <c r="AM5" i="9"/>
  <c r="G28" i="9" s="1"/>
  <c r="G6" i="5" s="1"/>
  <c r="AH5" i="9"/>
  <c r="CU15" i="1"/>
  <c r="D36" i="9"/>
  <c r="BU16" i="9"/>
  <c r="BV16" i="9" s="1"/>
  <c r="BW16" i="9" s="1"/>
  <c r="CK83" i="1"/>
  <c r="BU21" i="1"/>
  <c r="CA21" i="1" s="1"/>
  <c r="CI21" i="1"/>
  <c r="CJ21" i="1" s="1"/>
  <c r="BW65" i="1"/>
  <c r="BY65" i="1"/>
  <c r="CH25" i="1"/>
  <c r="BU31" i="1"/>
  <c r="CI31" i="1"/>
  <c r="CJ31" i="1" s="1"/>
  <c r="BV31" i="1"/>
  <c r="CN87" i="1"/>
  <c r="CO87" i="1"/>
  <c r="G87" i="1"/>
  <c r="CU17" i="1"/>
  <c r="CH11" i="1"/>
  <c r="BN29" i="1"/>
  <c r="CR29" i="1" s="1"/>
  <c r="CH23" i="1"/>
  <c r="CH17" i="1"/>
  <c r="BG5" i="9"/>
  <c r="BZ5" i="9"/>
  <c r="BU15" i="9"/>
  <c r="BV15" i="9" s="1"/>
  <c r="BW15" i="9" s="1"/>
  <c r="D31" i="9"/>
  <c r="BU15" i="1"/>
  <c r="CA15" i="1" s="1"/>
  <c r="CI15" i="1"/>
  <c r="CJ15" i="1" s="1"/>
  <c r="E19" i="1"/>
  <c r="CF19" i="1"/>
  <c r="BN21" i="1"/>
  <c r="CR21" i="1" s="1"/>
  <c r="BU19" i="1"/>
  <c r="CI19" i="1"/>
  <c r="CJ19" i="1" s="1"/>
  <c r="BV19" i="1"/>
  <c r="BY73" i="1"/>
  <c r="BZ73" i="1" s="1"/>
  <c r="BW73" i="1"/>
  <c r="BX73" i="1" s="1"/>
  <c r="CK17" i="1"/>
  <c r="BG9" i="9"/>
  <c r="BZ9" i="9"/>
  <c r="CK35" i="1"/>
  <c r="BV65" i="1"/>
  <c r="CB61" i="1"/>
  <c r="BU29" i="1"/>
  <c r="BV29" i="1"/>
  <c r="CI29" i="1"/>
  <c r="CJ29" i="1" s="1"/>
  <c r="BG14" i="9"/>
  <c r="BZ14" i="9"/>
  <c r="CN67" i="1"/>
  <c r="CO67" i="1"/>
  <c r="G67" i="1"/>
  <c r="CK23" i="1"/>
  <c r="CA23" i="1"/>
  <c r="AQ17" i="9"/>
  <c r="BZ17" i="9" s="1"/>
  <c r="I40" i="9"/>
  <c r="BG18" i="9"/>
  <c r="BZ18" i="9"/>
  <c r="AQ19" i="9"/>
  <c r="D28" i="9"/>
  <c r="CA29" i="1"/>
  <c r="CB29" i="1" s="1"/>
  <c r="CK29" i="1"/>
  <c r="BN85" i="1"/>
  <c r="CR85" i="1" s="1"/>
  <c r="BU17" i="1"/>
  <c r="CI17" i="1"/>
  <c r="CJ17" i="1" s="1"/>
  <c r="CI35" i="1"/>
  <c r="CJ35" i="1" s="1"/>
  <c r="BU35" i="1"/>
  <c r="CA35" i="1" s="1"/>
  <c r="CB35" i="1" s="1"/>
  <c r="BV35" i="1"/>
  <c r="E9" i="1"/>
  <c r="CN45" i="1"/>
  <c r="CO45" i="1"/>
  <c r="G45" i="1"/>
  <c r="CA27" i="1"/>
  <c r="CB27" i="1" s="1"/>
  <c r="CK27" i="1"/>
  <c r="AQ8" i="9"/>
  <c r="BZ8" i="9" s="1"/>
  <c r="AQ10" i="9"/>
  <c r="K32" i="9" l="1"/>
  <c r="L32" i="9" s="1"/>
  <c r="L10" i="5" s="1"/>
  <c r="E32" i="9"/>
  <c r="AJ13" i="9"/>
  <c r="F45" i="9"/>
  <c r="L38" i="9"/>
  <c r="K30" i="9"/>
  <c r="F41" i="9"/>
  <c r="BY13" i="9"/>
  <c r="L43" i="9"/>
  <c r="CA13" i="9"/>
  <c r="F46" i="9"/>
  <c r="L45" i="9"/>
  <c r="L46" i="9"/>
  <c r="L41" i="9"/>
  <c r="F43" i="9"/>
  <c r="K7" i="5"/>
  <c r="L29" i="9"/>
  <c r="L7" i="5" s="1"/>
  <c r="K8" i="5"/>
  <c r="L30" i="9"/>
  <c r="L8" i="5" s="1"/>
  <c r="E8" i="5"/>
  <c r="F30" i="9"/>
  <c r="F8" i="5" s="1"/>
  <c r="F39" i="9"/>
  <c r="K11" i="5"/>
  <c r="L33" i="9"/>
  <c r="L11" i="5" s="1"/>
  <c r="L39" i="9"/>
  <c r="BM13" i="9"/>
  <c r="L36" i="9"/>
  <c r="L14" i="5" s="1"/>
  <c r="K9" i="5"/>
  <c r="L31" i="9"/>
  <c r="L9" i="5" s="1"/>
  <c r="E6" i="5"/>
  <c r="F28" i="9"/>
  <c r="F6" i="5" s="1"/>
  <c r="F40" i="9"/>
  <c r="L37" i="9"/>
  <c r="F42" i="9"/>
  <c r="K10" i="5"/>
  <c r="BM12" i="9"/>
  <c r="F35" i="9"/>
  <c r="F13" i="5" s="1"/>
  <c r="E7" i="5"/>
  <c r="F29" i="9"/>
  <c r="F7" i="5" s="1"/>
  <c r="L44" i="9"/>
  <c r="E34" i="9"/>
  <c r="K34" i="9"/>
  <c r="E11" i="5"/>
  <c r="F33" i="9"/>
  <c r="F11" i="5" s="1"/>
  <c r="E14" i="5"/>
  <c r="F36" i="9"/>
  <c r="F14" i="5" s="1"/>
  <c r="K6" i="5"/>
  <c r="L28" i="9"/>
  <c r="L6" i="5" s="1"/>
  <c r="L40" i="9"/>
  <c r="F37" i="9"/>
  <c r="E9" i="5"/>
  <c r="F31" i="9"/>
  <c r="F9" i="5" s="1"/>
  <c r="L42" i="9"/>
  <c r="E10" i="5"/>
  <c r="F32" i="9"/>
  <c r="F10" i="5" s="1"/>
  <c r="F44" i="9"/>
  <c r="BV21" i="1"/>
  <c r="CF17" i="1"/>
  <c r="F17" i="1" s="1"/>
  <c r="CF15" i="1"/>
  <c r="F15" i="1" s="1"/>
  <c r="CF13" i="1"/>
  <c r="CS13" i="1" s="1"/>
  <c r="CF9" i="1"/>
  <c r="CA9" i="1"/>
  <c r="CB9" i="1" s="1"/>
  <c r="BV11" i="1"/>
  <c r="CB11" i="1" s="1"/>
  <c r="CB21" i="1"/>
  <c r="CW81" i="1"/>
  <c r="H81" i="1"/>
  <c r="H67" i="1"/>
  <c r="CW67" i="1"/>
  <c r="BY17" i="1"/>
  <c r="BW17" i="1"/>
  <c r="BW19" i="1"/>
  <c r="BX19" i="1" s="1"/>
  <c r="BY19" i="1"/>
  <c r="BZ19" i="1" s="1"/>
  <c r="BY27" i="1"/>
  <c r="BZ27" i="1" s="1"/>
  <c r="BW27" i="1"/>
  <c r="BX27" i="1" s="1"/>
  <c r="CY79" i="1"/>
  <c r="CZ79" i="1"/>
  <c r="DA79" i="1" s="1"/>
  <c r="BR13" i="9"/>
  <c r="BS13" i="9" s="1"/>
  <c r="BT13" i="9" s="1"/>
  <c r="AN20" i="9"/>
  <c r="H43" i="9" s="1"/>
  <c r="BJ20" i="9"/>
  <c r="H51" i="1"/>
  <c r="CW51" i="1"/>
  <c r="CL71" i="1"/>
  <c r="CV71" i="1" s="1"/>
  <c r="CM71" i="1"/>
  <c r="BR7" i="9"/>
  <c r="BS7" i="9" s="1"/>
  <c r="BT7" i="9" s="1"/>
  <c r="BW71" i="1"/>
  <c r="BY71" i="1"/>
  <c r="CY61" i="1"/>
  <c r="CZ61" i="1" s="1"/>
  <c r="DA61" i="1"/>
  <c r="CY49" i="1"/>
  <c r="CZ49" i="1" s="1"/>
  <c r="DA49" i="1" s="1"/>
  <c r="BY23" i="1"/>
  <c r="BW23" i="1"/>
  <c r="CF71" i="1"/>
  <c r="AN22" i="9"/>
  <c r="H45" i="9" s="1"/>
  <c r="BJ22" i="9"/>
  <c r="H49" i="1"/>
  <c r="CW49" i="1"/>
  <c r="BJ21" i="9"/>
  <c r="AN21" i="9"/>
  <c r="H44" i="9" s="1"/>
  <c r="CS9" i="1"/>
  <c r="F9" i="1"/>
  <c r="BW83" i="1"/>
  <c r="BX83" i="1" s="1"/>
  <c r="BY83" i="1"/>
  <c r="BZ83" i="1" s="1"/>
  <c r="BW9" i="1"/>
  <c r="BX9" i="1" s="1"/>
  <c r="BY9" i="1"/>
  <c r="BZ9" i="1" s="1"/>
  <c r="BV13" i="1"/>
  <c r="CB13" i="1" s="1"/>
  <c r="J34" i="9"/>
  <c r="J12" i="5" s="1"/>
  <c r="CA11" i="9"/>
  <c r="BY11" i="9"/>
  <c r="J30" i="9"/>
  <c r="J8" i="5" s="1"/>
  <c r="CA7" i="9"/>
  <c r="BY7" i="9"/>
  <c r="CW41" i="1"/>
  <c r="H41" i="1"/>
  <c r="CF25" i="1"/>
  <c r="BY85" i="1"/>
  <c r="BZ85" i="1" s="1"/>
  <c r="BW85" i="1"/>
  <c r="BX85" i="1" s="1"/>
  <c r="BJ11" i="9"/>
  <c r="AN11" i="9"/>
  <c r="H34" i="9" s="1"/>
  <c r="H12" i="5" s="1"/>
  <c r="CL29" i="1"/>
  <c r="CV29" i="1" s="1"/>
  <c r="CM29" i="1"/>
  <c r="BJ8" i="9"/>
  <c r="AN8" i="9"/>
  <c r="H31" i="9" s="1"/>
  <c r="H9" i="5" s="1"/>
  <c r="CS19" i="1"/>
  <c r="F19" i="1"/>
  <c r="CM15" i="1"/>
  <c r="CL15" i="1"/>
  <c r="CV15" i="1" s="1"/>
  <c r="BR14" i="9"/>
  <c r="BS14" i="9" s="1"/>
  <c r="BT14" i="9" s="1"/>
  <c r="CL17" i="1"/>
  <c r="CV17" i="1" s="1"/>
  <c r="CM17" i="1"/>
  <c r="BY31" i="1"/>
  <c r="BZ31" i="1" s="1"/>
  <c r="BW31" i="1"/>
  <c r="BX31" i="1" s="1"/>
  <c r="CY51" i="1"/>
  <c r="CZ51" i="1"/>
  <c r="DA51" i="1" s="1"/>
  <c r="CM9" i="1"/>
  <c r="CL9" i="1"/>
  <c r="CV9" i="1" s="1"/>
  <c r="F11" i="1"/>
  <c r="CS11" i="1"/>
  <c r="CM7" i="1"/>
  <c r="CL7" i="1"/>
  <c r="CV7" i="1" s="1"/>
  <c r="CS31" i="1"/>
  <c r="F31" i="1"/>
  <c r="F73" i="1"/>
  <c r="CS73" i="1"/>
  <c r="CL85" i="1"/>
  <c r="CV85" i="1" s="1"/>
  <c r="CM85" i="1"/>
  <c r="BW35" i="1"/>
  <c r="BX35" i="1" s="1"/>
  <c r="BY35" i="1"/>
  <c r="BZ35" i="1" s="1"/>
  <c r="J42" i="9"/>
  <c r="CA19" i="9"/>
  <c r="BY19" i="9"/>
  <c r="CA17" i="1"/>
  <c r="BY11" i="1"/>
  <c r="BZ11" i="1" s="1"/>
  <c r="BW11" i="1"/>
  <c r="BX11" i="1" s="1"/>
  <c r="CM13" i="1"/>
  <c r="CL13" i="1"/>
  <c r="CV13" i="1" s="1"/>
  <c r="H89" i="1"/>
  <c r="CW89" i="1"/>
  <c r="F35" i="1"/>
  <c r="CS35" i="1"/>
  <c r="CA31" i="1"/>
  <c r="CB31" i="1" s="1"/>
  <c r="BR15" i="9"/>
  <c r="BS15" i="9"/>
  <c r="BT15" i="9" s="1"/>
  <c r="BY13" i="1"/>
  <c r="BW13" i="1"/>
  <c r="BR9" i="9"/>
  <c r="BS9" i="9" s="1"/>
  <c r="BT9" i="9" s="1"/>
  <c r="BY15" i="1"/>
  <c r="BW15" i="1"/>
  <c r="BZ65" i="1"/>
  <c r="CW79" i="1"/>
  <c r="H79" i="1"/>
  <c r="BY5" i="1"/>
  <c r="BZ5" i="1" s="1"/>
  <c r="BW5" i="1"/>
  <c r="BX5" i="1" s="1"/>
  <c r="CS27" i="1"/>
  <c r="F27" i="1"/>
  <c r="CL5" i="1"/>
  <c r="CV5" i="1" s="1"/>
  <c r="CN53" i="1"/>
  <c r="CO53" i="1"/>
  <c r="G53" i="1"/>
  <c r="BJ10" i="9"/>
  <c r="AN10" i="9"/>
  <c r="H33" i="9" s="1"/>
  <c r="H11" i="5" s="1"/>
  <c r="CS7" i="1"/>
  <c r="F7" i="1"/>
  <c r="BJ19" i="9"/>
  <c r="AN19" i="9"/>
  <c r="H42" i="9" s="1"/>
  <c r="CM31" i="1"/>
  <c r="CL31" i="1"/>
  <c r="CV31" i="1" s="1"/>
  <c r="AN16" i="9"/>
  <c r="H39" i="9" s="1"/>
  <c r="BJ16" i="9"/>
  <c r="H37" i="1"/>
  <c r="CW37" i="1"/>
  <c r="CS85" i="1"/>
  <c r="F85" i="1"/>
  <c r="CO73" i="1"/>
  <c r="G73" i="1"/>
  <c r="CN73" i="1"/>
  <c r="BR5" i="9"/>
  <c r="BS5" i="9" s="1"/>
  <c r="BT5" i="9" s="1"/>
  <c r="CA10" i="9"/>
  <c r="J33" i="9"/>
  <c r="J11" i="5" s="1"/>
  <c r="BY10" i="9"/>
  <c r="BR18" i="9"/>
  <c r="BS18" i="9" s="1"/>
  <c r="BT18" i="9" s="1"/>
  <c r="BW29" i="1"/>
  <c r="BX29" i="1" s="1"/>
  <c r="BY29" i="1"/>
  <c r="BZ29" i="1" s="1"/>
  <c r="BV15" i="1"/>
  <c r="BX65" i="1"/>
  <c r="BR20" i="9"/>
  <c r="BS20" i="9" s="1"/>
  <c r="BT20" i="9" s="1"/>
  <c r="BR6" i="9"/>
  <c r="BS6" i="9" s="1"/>
  <c r="BT6" i="9" s="1"/>
  <c r="CS83" i="1"/>
  <c r="F83" i="1"/>
  <c r="CA23" i="9"/>
  <c r="J46" i="9"/>
  <c r="BY23" i="9"/>
  <c r="BJ9" i="9"/>
  <c r="AN9" i="9"/>
  <c r="H32" i="9" s="1"/>
  <c r="H10" i="5" s="1"/>
  <c r="CA5" i="1"/>
  <c r="CB5" i="1" s="1"/>
  <c r="CW55" i="1"/>
  <c r="H55" i="1"/>
  <c r="BZ19" i="9"/>
  <c r="CM21" i="1"/>
  <c r="CL21" i="1"/>
  <c r="CV21" i="1" s="1"/>
  <c r="BR21" i="9"/>
  <c r="BS21" i="9" s="1"/>
  <c r="BT21" i="9" s="1"/>
  <c r="BJ12" i="9"/>
  <c r="AN12" i="9"/>
  <c r="H35" i="9" s="1"/>
  <c r="H13" i="5" s="1"/>
  <c r="J43" i="9"/>
  <c r="CA20" i="9"/>
  <c r="BY20" i="9"/>
  <c r="BR8" i="9"/>
  <c r="BS8" i="9" s="1"/>
  <c r="BT8" i="9" s="1"/>
  <c r="H69" i="1"/>
  <c r="CW69" i="1"/>
  <c r="BR22" i="9"/>
  <c r="BS22" i="9" s="1"/>
  <c r="BT22" i="9" s="1"/>
  <c r="BY7" i="1"/>
  <c r="BW7" i="1"/>
  <c r="CW63" i="1"/>
  <c r="H63" i="1"/>
  <c r="BR16" i="9"/>
  <c r="BS16" i="9" s="1"/>
  <c r="BT16" i="9" s="1"/>
  <c r="AN7" i="9"/>
  <c r="H30" i="9" s="1"/>
  <c r="H8" i="5" s="1"/>
  <c r="BJ7" i="9"/>
  <c r="G43" i="1"/>
  <c r="CN43" i="1"/>
  <c r="CO43" i="1"/>
  <c r="BR19" i="9"/>
  <c r="BS19" i="9" s="1"/>
  <c r="BT19" i="9" s="1"/>
  <c r="F5" i="1"/>
  <c r="CS5" i="1"/>
  <c r="CY63" i="1"/>
  <c r="CZ63" i="1" s="1"/>
  <c r="DA63" i="1" s="1"/>
  <c r="BJ15" i="9"/>
  <c r="AN15" i="9"/>
  <c r="H38" i="9" s="1"/>
  <c r="CY77" i="1"/>
  <c r="CZ77" i="1" s="1"/>
  <c r="DA77" i="1" s="1"/>
  <c r="BR17" i="9"/>
  <c r="BS17" i="9" s="1"/>
  <c r="BT17" i="9" s="1"/>
  <c r="H87" i="1"/>
  <c r="CW87" i="1"/>
  <c r="J31" i="9"/>
  <c r="J9" i="5" s="1"/>
  <c r="CA8" i="9"/>
  <c r="BY8" i="9"/>
  <c r="CM27" i="1"/>
  <c r="CL27" i="1"/>
  <c r="CV27" i="1" s="1"/>
  <c r="BV17" i="1"/>
  <c r="J40" i="9"/>
  <c r="CA17" i="9"/>
  <c r="BY17" i="9"/>
  <c r="CF29" i="1"/>
  <c r="CN65" i="1"/>
  <c r="CO65" i="1"/>
  <c r="G65" i="1"/>
  <c r="J45" i="9"/>
  <c r="CA22" i="9"/>
  <c r="BY22" i="9"/>
  <c r="BY25" i="1"/>
  <c r="BZ25" i="1" s="1"/>
  <c r="BW25" i="1"/>
  <c r="BX25" i="1" s="1"/>
  <c r="BJ13" i="9"/>
  <c r="AN13" i="9"/>
  <c r="H36" i="9" s="1"/>
  <c r="H14" i="5" s="1"/>
  <c r="CS65" i="1"/>
  <c r="F65" i="1"/>
  <c r="BV7" i="1"/>
  <c r="CB7" i="1" s="1"/>
  <c r="BZ11" i="9"/>
  <c r="BR12" i="9"/>
  <c r="BS12" i="9" s="1"/>
  <c r="BT12" i="9" s="1"/>
  <c r="H39" i="1"/>
  <c r="CW39" i="1"/>
  <c r="J35" i="9"/>
  <c r="J13" i="5" s="1"/>
  <c r="CA12" i="9"/>
  <c r="BY12" i="9"/>
  <c r="CY59" i="1"/>
  <c r="CZ59" i="1" s="1"/>
  <c r="DA59" i="1" s="1"/>
  <c r="BJ17" i="9"/>
  <c r="AN17" i="9"/>
  <c r="H40" i="9" s="1"/>
  <c r="CA6" i="9"/>
  <c r="J29" i="9"/>
  <c r="J7" i="5" s="1"/>
  <c r="BY6" i="9"/>
  <c r="CF21" i="1"/>
  <c r="CW77" i="1"/>
  <c r="H77" i="1"/>
  <c r="CY43" i="1"/>
  <c r="CZ43" i="1" s="1"/>
  <c r="DA43" i="1" s="1"/>
  <c r="CW47" i="1"/>
  <c r="H47" i="1"/>
  <c r="BR11" i="9"/>
  <c r="BS11" i="9" s="1"/>
  <c r="BT11" i="9" s="1"/>
  <c r="CM19" i="1"/>
  <c r="CL19" i="1"/>
  <c r="CV19" i="1" s="1"/>
  <c r="CS15" i="1"/>
  <c r="CW57" i="1"/>
  <c r="H57" i="1"/>
  <c r="CF23" i="1"/>
  <c r="BZ10" i="9"/>
  <c r="CW75" i="1"/>
  <c r="H75" i="1"/>
  <c r="BJ14" i="9"/>
  <c r="AN14" i="9"/>
  <c r="H37" i="9" s="1"/>
  <c r="BJ23" i="9"/>
  <c r="AN23" i="9"/>
  <c r="H46" i="9" s="1"/>
  <c r="BJ6" i="9"/>
  <c r="AN6" i="9"/>
  <c r="H29" i="9" s="1"/>
  <c r="H7" i="5" s="1"/>
  <c r="H45" i="1"/>
  <c r="CW45" i="1"/>
  <c r="CL83" i="1"/>
  <c r="CV83" i="1" s="1"/>
  <c r="CM83" i="1"/>
  <c r="CB15" i="1"/>
  <c r="CM25" i="1"/>
  <c r="CL25" i="1"/>
  <c r="CV25" i="1" s="1"/>
  <c r="CY53" i="1"/>
  <c r="CZ53" i="1" s="1"/>
  <c r="DA53" i="1" s="1"/>
  <c r="J44" i="9"/>
  <c r="CA21" i="9"/>
  <c r="BY21" i="9"/>
  <c r="CL23" i="1"/>
  <c r="CV23" i="1" s="1"/>
  <c r="CM23" i="1"/>
  <c r="CL35" i="1"/>
  <c r="CV35" i="1" s="1"/>
  <c r="CM35" i="1"/>
  <c r="BY21" i="1"/>
  <c r="BZ21" i="1" s="1"/>
  <c r="BW21" i="1"/>
  <c r="BX21" i="1" s="1"/>
  <c r="BJ5" i="9"/>
  <c r="AN5" i="9"/>
  <c r="H28" i="9" s="1"/>
  <c r="H6" i="5" s="1"/>
  <c r="J38" i="9"/>
  <c r="CA15" i="9"/>
  <c r="BY15" i="9"/>
  <c r="CL11" i="1"/>
  <c r="CV11" i="1" s="1"/>
  <c r="CM11" i="1"/>
  <c r="BR23" i="9"/>
  <c r="BS23" i="9" s="1"/>
  <c r="BT23" i="9" s="1"/>
  <c r="CA19" i="1"/>
  <c r="CB19" i="1" s="1"/>
  <c r="CW33" i="1"/>
  <c r="H33" i="1"/>
  <c r="BZ7" i="9"/>
  <c r="BV71" i="1"/>
  <c r="CB71" i="1" s="1"/>
  <c r="BR10" i="9"/>
  <c r="BS10" i="9" s="1"/>
  <c r="BT10" i="9" s="1"/>
  <c r="H59" i="1"/>
  <c r="CW59" i="1"/>
  <c r="BV23" i="1"/>
  <c r="CB23" i="1" s="1"/>
  <c r="G61" i="1"/>
  <c r="CO61" i="1"/>
  <c r="CN61" i="1"/>
  <c r="BJ18" i="9"/>
  <c r="AN18" i="9"/>
  <c r="H41" i="9" s="1"/>
  <c r="E12" i="5" l="1"/>
  <c r="F34" i="9"/>
  <c r="F12" i="5" s="1"/>
  <c r="K12" i="5"/>
  <c r="L34" i="9"/>
  <c r="L12" i="5" s="1"/>
  <c r="CS17" i="1"/>
  <c r="F13" i="1"/>
  <c r="BX13" i="1"/>
  <c r="BZ13" i="1"/>
  <c r="CY17" i="1"/>
  <c r="CZ17" i="1"/>
  <c r="DA17" i="1" s="1"/>
  <c r="CN7" i="1"/>
  <c r="CO7" i="1"/>
  <c r="G7" i="1"/>
  <c r="DB51" i="1"/>
  <c r="DC51" i="1"/>
  <c r="DD51" i="1" s="1"/>
  <c r="DE51" i="1" s="1"/>
  <c r="CN13" i="1"/>
  <c r="G13" i="1"/>
  <c r="CO13" i="1"/>
  <c r="G19" i="1"/>
  <c r="CO19" i="1"/>
  <c r="CN19" i="1"/>
  <c r="CS29" i="1"/>
  <c r="F29" i="1"/>
  <c r="DB49" i="1"/>
  <c r="DC49" i="1" s="1"/>
  <c r="DD49" i="1" s="1"/>
  <c r="DE49" i="1" s="1"/>
  <c r="G23" i="1"/>
  <c r="CO23" i="1"/>
  <c r="CN23" i="1"/>
  <c r="DB77" i="1"/>
  <c r="DC77" i="1" s="1"/>
  <c r="DD77" i="1" s="1"/>
  <c r="DE77" i="1" s="1"/>
  <c r="CY65" i="1"/>
  <c r="CZ65" i="1" s="1"/>
  <c r="DA65" i="1" s="1"/>
  <c r="CY83" i="1"/>
  <c r="CZ83" i="1" s="1"/>
  <c r="DA83" i="1" s="1"/>
  <c r="BZ71" i="1"/>
  <c r="BX17" i="1"/>
  <c r="DB87" i="1"/>
  <c r="DC87" i="1" s="1"/>
  <c r="DD87" i="1" s="1"/>
  <c r="DE87" i="1" s="1"/>
  <c r="CN21" i="1"/>
  <c r="CO21" i="1"/>
  <c r="G21" i="1"/>
  <c r="CN83" i="1"/>
  <c r="CO83" i="1"/>
  <c r="G83" i="1"/>
  <c r="F21" i="1"/>
  <c r="CS21" i="1"/>
  <c r="DB63" i="1"/>
  <c r="DC63" i="1"/>
  <c r="DD63" i="1" s="1"/>
  <c r="DE63" i="1" s="1"/>
  <c r="CY85" i="1"/>
  <c r="CZ85" i="1" s="1"/>
  <c r="DA85" i="1" s="1"/>
  <c r="CY73" i="1"/>
  <c r="CZ73" i="1"/>
  <c r="DA73" i="1" s="1"/>
  <c r="G9" i="1"/>
  <c r="CN9" i="1"/>
  <c r="CO9" i="1"/>
  <c r="CS25" i="1"/>
  <c r="F25" i="1"/>
  <c r="BX71" i="1"/>
  <c r="BZ17" i="1"/>
  <c r="G25" i="1"/>
  <c r="CN25" i="1"/>
  <c r="CO25" i="1"/>
  <c r="DB75" i="1"/>
  <c r="DC75" i="1" s="1"/>
  <c r="DD75" i="1" s="1"/>
  <c r="DE75" i="1" s="1"/>
  <c r="DB39" i="1"/>
  <c r="DC39" i="1" s="1"/>
  <c r="DD39" i="1" s="1"/>
  <c r="DE39" i="1" s="1"/>
  <c r="DB37" i="1"/>
  <c r="DC37" i="1"/>
  <c r="DD37" i="1" s="1"/>
  <c r="DE37" i="1" s="1"/>
  <c r="CY7" i="1"/>
  <c r="CZ7" i="1" s="1"/>
  <c r="DA7" i="1" s="1"/>
  <c r="G15" i="1"/>
  <c r="CN15" i="1"/>
  <c r="CO15" i="1"/>
  <c r="DB67" i="1"/>
  <c r="DC67" i="1" s="1"/>
  <c r="DD67" i="1" s="1"/>
  <c r="DE67" i="1" s="1"/>
  <c r="CY27" i="1"/>
  <c r="CZ27" i="1"/>
  <c r="DA27" i="1" s="1"/>
  <c r="DB45" i="1"/>
  <c r="DC45" i="1" s="1"/>
  <c r="DD45" i="1" s="1"/>
  <c r="DE45" i="1" s="1"/>
  <c r="DB47" i="1"/>
  <c r="DC47" i="1"/>
  <c r="DD47" i="1"/>
  <c r="DE47" i="1" s="1"/>
  <c r="BX7" i="1"/>
  <c r="DB55" i="1"/>
  <c r="DC55" i="1" s="1"/>
  <c r="DD55" i="1" s="1"/>
  <c r="DE55" i="1" s="1"/>
  <c r="DB79" i="1"/>
  <c r="DC79" i="1"/>
  <c r="DD79" i="1" s="1"/>
  <c r="DE79" i="1" s="1"/>
  <c r="CY13" i="1"/>
  <c r="CZ13" i="1" s="1"/>
  <c r="DA13" i="1" s="1"/>
  <c r="DB41" i="1"/>
  <c r="DC41" i="1" s="1"/>
  <c r="DD41" i="1" s="1"/>
  <c r="DE41" i="1" s="1"/>
  <c r="CY11" i="1"/>
  <c r="CZ11" i="1" s="1"/>
  <c r="DA11" i="1" s="1"/>
  <c r="CW61" i="1"/>
  <c r="H61" i="1"/>
  <c r="DB33" i="1"/>
  <c r="DC33" i="1" s="1"/>
  <c r="DD33" i="1" s="1"/>
  <c r="DE33" i="1" s="1"/>
  <c r="F23" i="1"/>
  <c r="CS23" i="1"/>
  <c r="BZ7" i="1"/>
  <c r="CB17" i="1"/>
  <c r="CY19" i="1"/>
  <c r="CZ19" i="1" s="1"/>
  <c r="DA19" i="1" s="1"/>
  <c r="CS71" i="1"/>
  <c r="F71" i="1"/>
  <c r="CN35" i="1"/>
  <c r="G35" i="1"/>
  <c r="CO35" i="1"/>
  <c r="CO85" i="1"/>
  <c r="G85" i="1"/>
  <c r="CN85" i="1"/>
  <c r="H43" i="1"/>
  <c r="CW43" i="1"/>
  <c r="BX15" i="1"/>
  <c r="CY35" i="1"/>
  <c r="CZ35" i="1"/>
  <c r="DA35" i="1" s="1"/>
  <c r="BX23" i="1"/>
  <c r="DB81" i="1"/>
  <c r="DC81" i="1" s="1"/>
  <c r="DD81" i="1" s="1"/>
  <c r="DE81" i="1" s="1"/>
  <c r="CY5" i="1"/>
  <c r="CZ5" i="1"/>
  <c r="DA5" i="1" s="1"/>
  <c r="DB57" i="1"/>
  <c r="DC57" i="1" s="1"/>
  <c r="DD57" i="1" s="1"/>
  <c r="DE57" i="1" s="1"/>
  <c r="CN27" i="1"/>
  <c r="CO27" i="1"/>
  <c r="G27" i="1"/>
  <c r="BZ15" i="1"/>
  <c r="BZ23" i="1"/>
  <c r="G71" i="1"/>
  <c r="CN71" i="1"/>
  <c r="CO71" i="1"/>
  <c r="CN11" i="1"/>
  <c r="CO11" i="1"/>
  <c r="G11" i="1"/>
  <c r="CY15" i="1"/>
  <c r="CZ15" i="1" s="1"/>
  <c r="DA15" i="1" s="1"/>
  <c r="CW53" i="1"/>
  <c r="H53" i="1"/>
  <c r="DB89" i="1"/>
  <c r="DC89" i="1" s="1"/>
  <c r="DD89" i="1" s="1"/>
  <c r="DE89" i="1" s="1"/>
  <c r="CY31" i="1"/>
  <c r="CZ31" i="1"/>
  <c r="DA31" i="1" s="1"/>
  <c r="CN29" i="1"/>
  <c r="G29" i="1"/>
  <c r="CO29" i="1"/>
  <c r="H65" i="1"/>
  <c r="CW65" i="1"/>
  <c r="DB59" i="1"/>
  <c r="DC59" i="1" s="1"/>
  <c r="DD59" i="1" s="1"/>
  <c r="DE59" i="1" s="1"/>
  <c r="DB69" i="1"/>
  <c r="DC69" i="1" s="1"/>
  <c r="DD69" i="1" s="1"/>
  <c r="DE69" i="1" s="1"/>
  <c r="CW73" i="1"/>
  <c r="H73" i="1"/>
  <c r="CN31" i="1"/>
  <c r="G31" i="1"/>
  <c r="CO31" i="1"/>
  <c r="CO5" i="1"/>
  <c r="CN5" i="1"/>
  <c r="CO17" i="1"/>
  <c r="CN17" i="1"/>
  <c r="G17" i="1"/>
  <c r="CY9" i="1"/>
  <c r="CZ9" i="1" s="1"/>
  <c r="DA9" i="1" s="1"/>
  <c r="CW11" i="1" l="1"/>
  <c r="H11" i="1"/>
  <c r="DB65" i="1"/>
  <c r="DC65" i="1" s="1"/>
  <c r="DD65" i="1" s="1"/>
  <c r="DE65" i="1" s="1"/>
  <c r="H23" i="1"/>
  <c r="CW23" i="1"/>
  <c r="CW9" i="1"/>
  <c r="H9" i="1"/>
  <c r="CW31" i="1"/>
  <c r="H31" i="1"/>
  <c r="CW71" i="1"/>
  <c r="H71" i="1"/>
  <c r="CY71" i="1"/>
  <c r="CZ71" i="1"/>
  <c r="DA71" i="1" s="1"/>
  <c r="H7" i="1"/>
  <c r="CW7" i="1"/>
  <c r="DB53" i="1"/>
  <c r="DC53" i="1"/>
  <c r="DD53" i="1"/>
  <c r="DE53" i="1" s="1"/>
  <c r="DB43" i="1"/>
  <c r="DC43" i="1" s="1"/>
  <c r="DD43" i="1" s="1"/>
  <c r="DE43" i="1" s="1"/>
  <c r="H83" i="1"/>
  <c r="CW83" i="1"/>
  <c r="CW25" i="1"/>
  <c r="H25" i="1"/>
  <c r="CW13" i="1"/>
  <c r="H13" i="1"/>
  <c r="H19" i="1"/>
  <c r="CW19" i="1"/>
  <c r="DB61" i="1"/>
  <c r="DC61" i="1" s="1"/>
  <c r="DD61" i="1" s="1"/>
  <c r="DE61" i="1" s="1"/>
  <c r="DB73" i="1"/>
  <c r="DC73" i="1" s="1"/>
  <c r="DD73" i="1" s="1"/>
  <c r="DE73" i="1" s="1"/>
  <c r="H17" i="1"/>
  <c r="CW17" i="1"/>
  <c r="H29" i="1"/>
  <c r="CW29" i="1"/>
  <c r="CW85" i="1"/>
  <c r="H85" i="1"/>
  <c r="H21" i="1"/>
  <c r="CW21" i="1"/>
  <c r="CW35" i="1"/>
  <c r="H35" i="1"/>
  <c r="CW27" i="1"/>
  <c r="H27" i="1"/>
  <c r="CW5" i="1"/>
  <c r="H5" i="1"/>
  <c r="H15" i="1"/>
  <c r="CW15" i="1"/>
  <c r="CY25" i="1"/>
  <c r="CZ25" i="1" s="1"/>
  <c r="DA25" i="1" s="1"/>
  <c r="CY21" i="1"/>
  <c r="CZ21" i="1" s="1"/>
  <c r="DA21" i="1" s="1"/>
  <c r="CY23" i="1"/>
  <c r="CZ23" i="1" s="1"/>
  <c r="DA23" i="1" s="1"/>
  <c r="CY29" i="1"/>
  <c r="CZ29" i="1"/>
  <c r="DA29" i="1" s="1"/>
  <c r="DB85" i="1" l="1"/>
  <c r="DC85" i="1"/>
  <c r="DD85" i="1"/>
  <c r="DE85" i="1" s="1"/>
  <c r="DB29" i="1"/>
  <c r="DC29" i="1"/>
  <c r="DD29" i="1" s="1"/>
  <c r="DE29" i="1" s="1"/>
  <c r="DB17" i="1"/>
  <c r="DC17" i="1" s="1"/>
  <c r="DD17" i="1" s="1"/>
  <c r="DE17" i="1" s="1"/>
  <c r="DB9" i="1"/>
  <c r="DC9" i="1" s="1"/>
  <c r="DD9" i="1" s="1"/>
  <c r="DE9" i="1" s="1"/>
  <c r="DB15" i="1"/>
  <c r="DC15" i="1" s="1"/>
  <c r="DD15" i="1" s="1"/>
  <c r="DE15" i="1" s="1"/>
  <c r="DB5" i="1"/>
  <c r="DC5" i="1" s="1"/>
  <c r="DD5" i="1" s="1"/>
  <c r="DE5" i="1" s="1"/>
  <c r="DB13" i="1"/>
  <c r="DC13" i="1" s="1"/>
  <c r="DD13" i="1" s="1"/>
  <c r="DE13" i="1" s="1"/>
  <c r="DB23" i="1"/>
  <c r="DC23" i="1" s="1"/>
  <c r="DD23" i="1" s="1"/>
  <c r="DE23" i="1" s="1"/>
  <c r="DB19" i="1"/>
  <c r="DC19" i="1"/>
  <c r="DD19" i="1" s="1"/>
  <c r="DE19" i="1" s="1"/>
  <c r="DB7" i="1"/>
  <c r="DC7" i="1"/>
  <c r="DD7" i="1"/>
  <c r="DE7" i="1" s="1"/>
  <c r="DB27" i="1"/>
  <c r="DC27" i="1" s="1"/>
  <c r="DD27" i="1" s="1"/>
  <c r="DE27" i="1" s="1"/>
  <c r="DB25" i="1"/>
  <c r="DC25" i="1" s="1"/>
  <c r="DD25" i="1" s="1"/>
  <c r="DE25" i="1" s="1"/>
  <c r="DB83" i="1"/>
  <c r="DC83" i="1"/>
  <c r="DD83" i="1"/>
  <c r="DE83" i="1" s="1"/>
  <c r="DB35" i="1"/>
  <c r="DC35" i="1"/>
  <c r="DD35" i="1" s="1"/>
  <c r="DE35" i="1" s="1"/>
  <c r="DB31" i="1"/>
  <c r="DC31" i="1"/>
  <c r="DD31" i="1" s="1"/>
  <c r="DE31" i="1" s="1"/>
  <c r="DB21" i="1"/>
  <c r="DC21" i="1" s="1"/>
  <c r="DD21" i="1" s="1"/>
  <c r="DE21" i="1" s="1"/>
  <c r="DB71" i="1"/>
  <c r="DC71" i="1"/>
  <c r="DD71" i="1" s="1"/>
  <c r="DE71" i="1" s="1"/>
  <c r="DB11" i="1"/>
  <c r="DC11" i="1" s="1"/>
  <c r="DD11" i="1" s="1"/>
  <c r="DE1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<sst xmlns="http://schemas.openxmlformats.org/spreadsheetml/2006/main" count="846" uniqueCount="356">
  <si>
    <t>238U/236U</t>
  </si>
  <si>
    <t>Error</t>
  </si>
  <si>
    <t>238U/235U</t>
  </si>
  <si>
    <t>236U/233U</t>
  </si>
  <si>
    <t>238U/234U</t>
  </si>
  <si>
    <t>238U (V)</t>
  </si>
  <si>
    <t>236U (V)</t>
  </si>
  <si>
    <t>234U (cps)</t>
  </si>
  <si>
    <t>Date</t>
  </si>
  <si>
    <t>Analysis #</t>
  </si>
  <si>
    <t>Tail 237 (cps)</t>
  </si>
  <si>
    <t>T236.5 (cps)</t>
  </si>
  <si>
    <t>Tail 234.5 (cps)</t>
  </si>
  <si>
    <t>Tail 233.5 (cps)</t>
  </si>
  <si>
    <t>TAIL CORRECTION</t>
  </si>
  <si>
    <t>RAW DATA (Zero-subtracted, corrected for cup gain)</t>
  </si>
  <si>
    <t>238 (V)</t>
  </si>
  <si>
    <t>236 (V)</t>
  </si>
  <si>
    <t>235 (V)</t>
  </si>
  <si>
    <t>234 (cps)</t>
  </si>
  <si>
    <t>233 (V)</t>
  </si>
  <si>
    <t>m</t>
  </si>
  <si>
    <t>Mass</t>
  </si>
  <si>
    <t>Decay constants</t>
  </si>
  <si>
    <t>Spike compositions</t>
  </si>
  <si>
    <t>238U</t>
  </si>
  <si>
    <t>l238 =</t>
  </si>
  <si>
    <t>238U/233U</t>
  </si>
  <si>
    <t>235U/233U</t>
  </si>
  <si>
    <t>234U/233U</t>
  </si>
  <si>
    <t>232Th/229Th</t>
  </si>
  <si>
    <t>230Th/229Th</t>
  </si>
  <si>
    <t>229 (pmol/g)</t>
  </si>
  <si>
    <t>233 (pmol/g)</t>
  </si>
  <si>
    <t>236U</t>
  </si>
  <si>
    <t>MIT-arag</t>
  </si>
  <si>
    <t>235U</t>
  </si>
  <si>
    <t>MIT-calc</t>
  </si>
  <si>
    <t>234U</t>
  </si>
  <si>
    <t>l234 =</t>
  </si>
  <si>
    <t>Standard values</t>
  </si>
  <si>
    <t>Mean</t>
  </si>
  <si>
    <t>±1SD</t>
  </si>
  <si>
    <t>233U</t>
  </si>
  <si>
    <t>CRM 112a</t>
  </si>
  <si>
    <t>238/234</t>
  </si>
  <si>
    <t>232Th</t>
  </si>
  <si>
    <t>l232 =</t>
  </si>
  <si>
    <t>238/235</t>
  </si>
  <si>
    <t>230Th</t>
  </si>
  <si>
    <t>l230 =</t>
  </si>
  <si>
    <t>IRMM 3636a</t>
  </si>
  <si>
    <t>236/233</t>
  </si>
  <si>
    <t>229Th</t>
  </si>
  <si>
    <t>MITh-1</t>
  </si>
  <si>
    <t>232/229</t>
  </si>
  <si>
    <t>230/229</t>
  </si>
  <si>
    <t>239/238</t>
  </si>
  <si>
    <t>234t/238</t>
  </si>
  <si>
    <t>234t/234</t>
  </si>
  <si>
    <t>238/236</t>
  </si>
  <si>
    <t>Beta</t>
  </si>
  <si>
    <t>234/233</t>
  </si>
  <si>
    <t>SPIKE CORRECTION</t>
  </si>
  <si>
    <t>YIELD CORRECTION</t>
  </si>
  <si>
    <t>235t/235</t>
  </si>
  <si>
    <t>236t/236</t>
  </si>
  <si>
    <t>PROCEDURAL BLANK CORRECTION</t>
  </si>
  <si>
    <t>USER INPUT</t>
  </si>
  <si>
    <t>Spike used</t>
  </si>
  <si>
    <t>d234U</t>
  </si>
  <si>
    <t>± (2σ)</t>
  </si>
  <si>
    <t>SPIKE INFORMATION</t>
  </si>
  <si>
    <t>Sample ID</t>
  </si>
  <si>
    <t>g</t>
  </si>
  <si>
    <t>(Calcite or Aragonite)</t>
  </si>
  <si>
    <t>Sample wt</t>
  </si>
  <si>
    <t>Spike wt</t>
  </si>
  <si>
    <t>±</t>
  </si>
  <si>
    <t>Correction factors</t>
  </si>
  <si>
    <t>Corrected ratios</t>
  </si>
  <si>
    <t>PROCEDURAL BLANK</t>
  </si>
  <si>
    <t>pg</t>
  </si>
  <si>
    <t>fg</t>
  </si>
  <si>
    <t>230/232</t>
  </si>
  <si>
    <t>(230Th/238U)</t>
  </si>
  <si>
    <t>230Th/232Th</t>
  </si>
  <si>
    <t>Age (uncorr)</t>
  </si>
  <si>
    <t>Age (corr)</t>
  </si>
  <si>
    <t>d234U init</t>
  </si>
  <si>
    <t>ng/g</t>
  </si>
  <si>
    <t>pg/g</t>
  </si>
  <si>
    <t>per mille</t>
  </si>
  <si>
    <t>activity</t>
  </si>
  <si>
    <t>ppm atomic</t>
  </si>
  <si>
    <t>yr</t>
  </si>
  <si>
    <t>yr BP</t>
  </si>
  <si>
    <t>CUT AND PASTE VALUES FROM U DATA AND TH DATA SHEETS</t>
  </si>
  <si>
    <t>Th230 / Th232 Raw</t>
  </si>
  <si>
    <t>Th232/Th229</t>
  </si>
  <si>
    <t>Th230/Th229</t>
  </si>
  <si>
    <t>Th232 (V)</t>
  </si>
  <si>
    <t>Th230 (cps)</t>
  </si>
  <si>
    <t>Th229 (V)</t>
  </si>
  <si>
    <t>U238 (V)</t>
  </si>
  <si>
    <t>Sample Name</t>
  </si>
  <si>
    <t>Date and Time</t>
  </si>
  <si>
    <t>File Number</t>
  </si>
  <si>
    <t>MASS BIAS AND YIELD CORRECTION</t>
  </si>
  <si>
    <t>Th230/Th232</t>
  </si>
  <si>
    <t>230Th/238U (atomic)</t>
  </si>
  <si>
    <t>FOR MATLAB: CUT AND PASTE COLUMNS C-K for all samples into Matlab, name this matrix "data".</t>
  </si>
  <si>
    <t>Description</t>
  </si>
  <si>
    <t>230tail/232:</t>
  </si>
  <si>
    <t>Notes:</t>
  </si>
  <si>
    <t>per mil</t>
  </si>
  <si>
    <t>Procedural blank</t>
  </si>
  <si>
    <t>USER INPUT VALUES</t>
  </si>
  <si>
    <t>230tail/232</t>
  </si>
  <si>
    <t>Instructions</t>
  </si>
  <si>
    <t>* to calculate 230tail/232, use these cells:</t>
  </si>
  <si>
    <t>232Th (V)</t>
  </si>
  <si>
    <t xml:space="preserve">229.5 (cps) </t>
  </si>
  <si>
    <t>230.5 (cps)</t>
  </si>
  <si>
    <t>Sample name</t>
  </si>
  <si>
    <t>On-mass U measurement</t>
  </si>
  <si>
    <t>236 tail (cps)</t>
  </si>
  <si>
    <t>235 tail (cps)</t>
  </si>
  <si>
    <t>234 tail (cps)</t>
  </si>
  <si>
    <t>233 tail (cps)</t>
  </si>
  <si>
    <t>233.5 residual</t>
  </si>
  <si>
    <t>233.5 predicted</t>
  </si>
  <si>
    <t>error</t>
  </si>
  <si>
    <t>Tail data</t>
  </si>
  <si>
    <t>2. Copy and paste data from tail measurements into columns Y through AM of "U data", making sure that the analyses match with the samples and standards pasted in columns J through X.</t>
  </si>
  <si>
    <t>3. Arrange raw Th data in order so that it can be pasted into columns G through W of the "Th data" worksheet. Leave a missing row if you have two standards in a row at any point.</t>
  </si>
  <si>
    <t>8. Starting in row 25, copy columns C-L for all samples at once. Open MATLAB, define "data=[", then paste this matrix, followed by "];" (without the quotes.)</t>
  </si>
  <si>
    <t>10. Run "agecalc"</t>
  </si>
  <si>
    <t>11. Open "agesum", copy the entire matrix and paste into "U-Th data" worksheet in Excel starting in Row 25, Column M.</t>
  </si>
  <si>
    <t>230Th background columns introduced to Th data sheet</t>
  </si>
  <si>
    <t>230Th background (cps)</t>
  </si>
  <si>
    <t>On-mass Th measurement</t>
  </si>
  <si>
    <t>Date chemistry started</t>
  </si>
  <si>
    <t>Yr before:</t>
  </si>
  <si>
    <t>Yr before chemistry started</t>
  </si>
  <si>
    <r>
      <rPr>
        <b/>
        <vertAlign val="superscript"/>
        <sz val="12"/>
        <color theme="1"/>
        <rFont val="Calibri"/>
        <family val="2"/>
        <scheme val="minor"/>
      </rPr>
      <t>238</t>
    </r>
    <r>
      <rPr>
        <b/>
        <sz val="12"/>
        <color theme="1"/>
        <rFont val="Calibri"/>
        <family val="2"/>
        <charset val="129"/>
        <scheme val="minor"/>
      </rPr>
      <t>U</t>
    </r>
  </si>
  <si>
    <r>
      <rPr>
        <b/>
        <vertAlign val="superscript"/>
        <sz val="12"/>
        <color theme="1"/>
        <rFont val="Calibri"/>
        <family val="2"/>
        <scheme val="minor"/>
      </rPr>
      <t>232</t>
    </r>
    <r>
      <rPr>
        <b/>
        <sz val="12"/>
        <color theme="1"/>
        <rFont val="Calibri"/>
        <family val="2"/>
        <charset val="129"/>
        <scheme val="minor"/>
      </rPr>
      <t>Th</t>
    </r>
  </si>
  <si>
    <r>
      <t>δ</t>
    </r>
    <r>
      <rPr>
        <b/>
        <vertAlign val="superscript"/>
        <sz val="12"/>
        <color theme="1"/>
        <rFont val="Calibri"/>
        <family val="2"/>
        <scheme val="minor"/>
      </rPr>
      <t>234</t>
    </r>
    <r>
      <rPr>
        <b/>
        <sz val="12"/>
        <color theme="1"/>
        <rFont val="Calibri"/>
        <family val="2"/>
        <charset val="129"/>
        <scheme val="minor"/>
      </rPr>
      <t>U</t>
    </r>
  </si>
  <si>
    <r>
      <t>(</t>
    </r>
    <r>
      <rPr>
        <b/>
        <vertAlign val="superscript"/>
        <sz val="12"/>
        <color theme="1"/>
        <rFont val="Calibri"/>
        <family val="2"/>
        <scheme val="minor"/>
      </rPr>
      <t>230</t>
    </r>
    <r>
      <rPr>
        <b/>
        <sz val="12"/>
        <color theme="1"/>
        <rFont val="Calibri"/>
        <family val="2"/>
        <charset val="129"/>
        <scheme val="minor"/>
      </rPr>
      <t>Th/</t>
    </r>
    <r>
      <rPr>
        <b/>
        <vertAlign val="superscript"/>
        <sz val="12"/>
        <color theme="1"/>
        <rFont val="Calibri"/>
        <family val="2"/>
        <scheme val="minor"/>
      </rPr>
      <t>238</t>
    </r>
    <r>
      <rPr>
        <b/>
        <sz val="12"/>
        <color theme="1"/>
        <rFont val="Calibri"/>
        <family val="2"/>
        <charset val="129"/>
        <scheme val="minor"/>
      </rPr>
      <t>U)</t>
    </r>
  </si>
  <si>
    <r>
      <rPr>
        <b/>
        <vertAlign val="superscript"/>
        <sz val="12"/>
        <color theme="1"/>
        <rFont val="Calibri"/>
        <family val="2"/>
        <scheme val="minor"/>
      </rPr>
      <t>230</t>
    </r>
    <r>
      <rPr>
        <b/>
        <sz val="12"/>
        <color theme="1"/>
        <rFont val="Calibri"/>
        <family val="2"/>
        <charset val="129"/>
        <scheme val="minor"/>
      </rPr>
      <t>Th/</t>
    </r>
    <r>
      <rPr>
        <b/>
        <vertAlign val="superscript"/>
        <sz val="12"/>
        <color theme="1"/>
        <rFont val="Calibri"/>
        <family val="2"/>
        <scheme val="minor"/>
      </rPr>
      <t>232</t>
    </r>
    <r>
      <rPr>
        <b/>
        <sz val="12"/>
        <color theme="1"/>
        <rFont val="Calibri"/>
        <family val="2"/>
        <charset val="129"/>
        <scheme val="minor"/>
      </rPr>
      <t>Th</t>
    </r>
  </si>
  <si>
    <r>
      <t>δ</t>
    </r>
    <r>
      <rPr>
        <b/>
        <vertAlign val="superscript"/>
        <sz val="12"/>
        <color theme="1"/>
        <rFont val="Calibri"/>
        <family val="2"/>
        <scheme val="minor"/>
      </rPr>
      <t>234</t>
    </r>
    <r>
      <rPr>
        <b/>
        <sz val="12"/>
        <color theme="1"/>
        <rFont val="Calibri"/>
        <family val="2"/>
        <charset val="129"/>
        <scheme val="minor"/>
      </rPr>
      <t>U initial</t>
    </r>
  </si>
  <si>
    <t>Increased uncertainty in spike 230Th/229Th to 1% 1-sigma</t>
  </si>
  <si>
    <r>
      <t>b</t>
    </r>
    <r>
      <rPr>
        <sz val="10"/>
        <rFont val="Symbol"/>
        <family val="1"/>
      </rPr>
      <t>d</t>
    </r>
    <r>
      <rPr>
        <vertAlign val="superscript"/>
        <sz val="10"/>
        <rFont val="Times New Roman"/>
        <family val="1"/>
      </rPr>
      <t>234</t>
    </r>
    <r>
      <rPr>
        <sz val="10"/>
        <rFont val="Times New Roman"/>
        <family val="1"/>
      </rPr>
      <t>U = ([</t>
    </r>
    <r>
      <rPr>
        <vertAlign val="superscript"/>
        <sz val="10"/>
        <rFont val="Times New Roman"/>
        <family val="1"/>
      </rPr>
      <t>234</t>
    </r>
    <r>
      <rPr>
        <sz val="10"/>
        <rFont val="Times New Roman"/>
        <family val="1"/>
      </rPr>
      <t>U/</t>
    </r>
    <r>
      <rPr>
        <vertAlign val="superscript"/>
        <sz val="10"/>
        <rFont val="Times New Roman"/>
        <family val="1"/>
      </rPr>
      <t>238</t>
    </r>
    <r>
      <rPr>
        <sz val="10"/>
        <rFont val="Times New Roman"/>
        <family val="1"/>
      </rPr>
      <t>U]</t>
    </r>
    <r>
      <rPr>
        <vertAlign val="subscript"/>
        <sz val="10"/>
        <rFont val="Times New Roman"/>
        <family val="1"/>
      </rPr>
      <t>activity</t>
    </r>
    <r>
      <rPr>
        <sz val="10"/>
        <rFont val="Times New Roman"/>
        <family val="1"/>
      </rPr>
      <t xml:space="preserve"> - 1) x 1000. </t>
    </r>
    <r>
      <rPr>
        <sz val="10"/>
        <rFont val="Symbol"/>
        <family val="1"/>
      </rPr>
      <t/>
    </r>
  </si>
  <si>
    <r>
      <t>e</t>
    </r>
    <r>
      <rPr>
        <sz val="10"/>
        <rFont val="Symbol"/>
        <family val="1"/>
      </rPr>
      <t>d</t>
    </r>
    <r>
      <rPr>
        <vertAlign val="superscript"/>
        <sz val="10"/>
        <rFont val="Times New Roman"/>
        <family val="1"/>
      </rPr>
      <t>234</t>
    </r>
    <r>
      <rPr>
        <sz val="10"/>
        <rFont val="Times New Roman"/>
        <family val="1"/>
      </rPr>
      <t>U</t>
    </r>
    <r>
      <rPr>
        <vertAlign val="subscript"/>
        <sz val="10"/>
        <rFont val="Times New Roman"/>
        <family val="1"/>
      </rPr>
      <t>initial</t>
    </r>
    <r>
      <rPr>
        <sz val="10"/>
        <rFont val="Times New Roman"/>
        <family val="1"/>
      </rPr>
      <t xml:space="preserve"> corrected was calculated based on </t>
    </r>
    <r>
      <rPr>
        <vertAlign val="superscript"/>
        <sz val="10"/>
        <rFont val="Times New Roman"/>
        <family val="1"/>
      </rPr>
      <t>230</t>
    </r>
    <r>
      <rPr>
        <sz val="10"/>
        <rFont val="Times New Roman"/>
        <family val="1"/>
      </rPr>
      <t xml:space="preserve">Th age (T), i.e., </t>
    </r>
    <r>
      <rPr>
        <sz val="10"/>
        <rFont val="Symbol"/>
        <family val="1"/>
      </rPr>
      <t>d</t>
    </r>
    <r>
      <rPr>
        <vertAlign val="superscript"/>
        <sz val="10"/>
        <rFont val="Times New Roman"/>
        <family val="1"/>
      </rPr>
      <t>234</t>
    </r>
    <r>
      <rPr>
        <sz val="10"/>
        <rFont val="Times New Roman"/>
        <family val="1"/>
      </rPr>
      <t>U</t>
    </r>
    <r>
      <rPr>
        <vertAlign val="subscript"/>
        <sz val="10"/>
        <rFont val="Times New Roman"/>
        <family val="1"/>
      </rPr>
      <t>initial</t>
    </r>
    <r>
      <rPr>
        <sz val="10"/>
        <rFont val="Times New Roman"/>
        <family val="1"/>
      </rPr>
      <t xml:space="preserve"> = </t>
    </r>
    <r>
      <rPr>
        <sz val="10"/>
        <rFont val="Symbol"/>
        <family val="1"/>
      </rPr>
      <t>d</t>
    </r>
    <r>
      <rPr>
        <vertAlign val="superscript"/>
        <sz val="10"/>
        <rFont val="Times New Roman"/>
        <family val="1"/>
      </rPr>
      <t>234</t>
    </r>
    <r>
      <rPr>
        <sz val="10"/>
        <rFont val="Times New Roman"/>
        <family val="1"/>
      </rPr>
      <t>U</t>
    </r>
    <r>
      <rPr>
        <vertAlign val="subscript"/>
        <sz val="10"/>
        <rFont val="Times New Roman"/>
        <family val="1"/>
      </rPr>
      <t>measured</t>
    </r>
    <r>
      <rPr>
        <sz val="10"/>
        <rFont val="Times New Roman"/>
        <family val="1"/>
      </rPr>
      <t xml:space="preserve"> </t>
    </r>
    <r>
      <rPr>
        <i/>
        <sz val="10"/>
        <rFont val="Times New Roman"/>
        <family val="1"/>
      </rPr>
      <t>X</t>
    </r>
    <r>
      <rPr>
        <sz val="10"/>
        <rFont val="Times New Roman"/>
        <family val="1"/>
      </rPr>
      <t xml:space="preserve"> e</t>
    </r>
    <r>
      <rPr>
        <vertAlign val="superscript"/>
        <sz val="11"/>
        <rFont val="Symbol"/>
        <family val="1"/>
      </rPr>
      <t>l</t>
    </r>
    <r>
      <rPr>
        <vertAlign val="superscript"/>
        <sz val="10"/>
        <rFont val="Times New Roman"/>
        <family val="1"/>
      </rPr>
      <t>234*T</t>
    </r>
    <r>
      <rPr>
        <sz val="10"/>
        <rFont val="Times New Roman"/>
        <family val="1"/>
      </rPr>
      <t>, and T is corrected age.</t>
    </r>
  </si>
  <si>
    <r>
      <t xml:space="preserve">Decay constants for </t>
    </r>
    <r>
      <rPr>
        <vertAlign val="superscript"/>
        <sz val="10"/>
        <rFont val="Times New Roman"/>
        <family val="1"/>
      </rPr>
      <t>230</t>
    </r>
    <r>
      <rPr>
        <sz val="10"/>
        <rFont val="Times New Roman"/>
        <family val="1"/>
      </rPr>
      <t xml:space="preserve">Th and </t>
    </r>
    <r>
      <rPr>
        <vertAlign val="superscript"/>
        <sz val="10"/>
        <rFont val="Times New Roman"/>
        <family val="1"/>
      </rPr>
      <t>234</t>
    </r>
    <r>
      <rPr>
        <sz val="10"/>
        <rFont val="Times New Roman"/>
        <family val="1"/>
      </rPr>
      <t xml:space="preserve">U are from Cheng et al. (2013); decay constant for </t>
    </r>
    <r>
      <rPr>
        <vertAlign val="superscript"/>
        <sz val="10"/>
        <rFont val="Times New Roman"/>
        <family val="1"/>
      </rPr>
      <t>238</t>
    </r>
    <r>
      <rPr>
        <sz val="10"/>
        <rFont val="Times New Roman"/>
        <family val="1"/>
      </rPr>
      <t>U is 1.55125 x 10</t>
    </r>
    <r>
      <rPr>
        <vertAlign val="superscript"/>
        <sz val="10"/>
        <rFont val="Times New Roman"/>
        <family val="1"/>
      </rPr>
      <t>-10</t>
    </r>
    <r>
      <rPr>
        <sz val="10"/>
        <rFont val="Times New Roman"/>
        <family val="1"/>
      </rPr>
      <t xml:space="preserve"> yr</t>
    </r>
    <r>
      <rPr>
        <vertAlign val="superscript"/>
        <sz val="10"/>
        <rFont val="Times New Roman"/>
        <family val="1"/>
      </rPr>
      <t>-1</t>
    </r>
    <r>
      <rPr>
        <sz val="10"/>
        <rFont val="Times New Roman"/>
        <family val="1"/>
      </rPr>
      <t xml:space="preserve"> (Jaffey et al., 1971).</t>
    </r>
  </si>
  <si>
    <r>
      <rPr>
        <vertAlign val="superscript"/>
        <sz val="10"/>
        <rFont val="Times New Roman"/>
        <family val="1"/>
      </rPr>
      <t>a</t>
    </r>
    <r>
      <rPr>
        <sz val="10"/>
        <rFont val="Times New Roman"/>
        <family val="1"/>
      </rPr>
      <t xml:space="preserve">Reported errors for </t>
    </r>
    <r>
      <rPr>
        <vertAlign val="superscript"/>
        <sz val="10"/>
        <rFont val="Times New Roman"/>
        <family val="1"/>
      </rPr>
      <t>238</t>
    </r>
    <r>
      <rPr>
        <sz val="10"/>
        <rFont val="Times New Roman"/>
        <family val="1"/>
      </rPr>
      <t xml:space="preserve">U and </t>
    </r>
    <r>
      <rPr>
        <vertAlign val="superscript"/>
        <sz val="10"/>
        <rFont val="Times New Roman"/>
        <family val="1"/>
      </rPr>
      <t>232</t>
    </r>
    <r>
      <rPr>
        <sz val="10"/>
        <rFont val="Times New Roman"/>
        <family val="1"/>
      </rPr>
      <t>Th concentrations are estimated to be ±1% due to uncertainties in spike concentration; analytical uncertainties are smaller.</t>
    </r>
  </si>
  <si>
    <r>
      <t>(ng/g)</t>
    </r>
    <r>
      <rPr>
        <b/>
        <vertAlign val="superscript"/>
        <sz val="12"/>
        <color theme="1"/>
        <rFont val="Calibri"/>
        <family val="2"/>
        <scheme val="minor"/>
      </rPr>
      <t>a</t>
    </r>
  </si>
  <si>
    <r>
      <t>(pg/g)</t>
    </r>
    <r>
      <rPr>
        <b/>
        <vertAlign val="superscript"/>
        <sz val="12"/>
        <color theme="1"/>
        <rFont val="Calibri"/>
        <family val="2"/>
        <scheme val="minor"/>
      </rPr>
      <t>a</t>
    </r>
  </si>
  <si>
    <r>
      <t>(per mil)</t>
    </r>
    <r>
      <rPr>
        <b/>
        <vertAlign val="superscript"/>
        <sz val="12"/>
        <color theme="1"/>
        <rFont val="Calibri"/>
        <family val="2"/>
        <scheme val="minor"/>
      </rPr>
      <t>b</t>
    </r>
  </si>
  <si>
    <t>Age (yr)</t>
  </si>
  <si>
    <r>
      <t>(uncorrected)</t>
    </r>
    <r>
      <rPr>
        <b/>
        <vertAlign val="superscript"/>
        <sz val="12"/>
        <color theme="1"/>
        <rFont val="Calibri"/>
        <family val="2"/>
        <scheme val="minor"/>
      </rPr>
      <t>c</t>
    </r>
  </si>
  <si>
    <r>
      <t>c</t>
    </r>
    <r>
      <rPr>
        <sz val="10"/>
        <rFont val="Times New Roman"/>
        <family val="1"/>
      </rPr>
      <t>[</t>
    </r>
    <r>
      <rPr>
        <vertAlign val="superscript"/>
        <sz val="10"/>
        <rFont val="Times New Roman"/>
        <family val="1"/>
      </rPr>
      <t>230</t>
    </r>
    <r>
      <rPr>
        <sz val="10"/>
        <rFont val="Times New Roman"/>
        <family val="1"/>
      </rPr>
      <t>Th/</t>
    </r>
    <r>
      <rPr>
        <vertAlign val="superscript"/>
        <sz val="10"/>
        <rFont val="Times New Roman"/>
        <family val="1"/>
      </rPr>
      <t>238</t>
    </r>
    <r>
      <rPr>
        <sz val="10"/>
        <rFont val="Times New Roman"/>
        <family val="1"/>
      </rPr>
      <t>U]</t>
    </r>
    <r>
      <rPr>
        <vertAlign val="subscript"/>
        <sz val="10"/>
        <rFont val="Times New Roman"/>
        <family val="1"/>
      </rPr>
      <t>activity</t>
    </r>
    <r>
      <rPr>
        <sz val="10"/>
        <rFont val="Times New Roman"/>
        <family val="1"/>
      </rPr>
      <t xml:space="preserve"> = 1 - e</t>
    </r>
    <r>
      <rPr>
        <vertAlign val="superscript"/>
        <sz val="10"/>
        <rFont val="Times New Roman"/>
        <family val="1"/>
      </rPr>
      <t>-</t>
    </r>
    <r>
      <rPr>
        <vertAlign val="superscript"/>
        <sz val="11"/>
        <rFont val="Symbol"/>
        <family val="1"/>
      </rPr>
      <t>l</t>
    </r>
    <r>
      <rPr>
        <vertAlign val="superscript"/>
        <sz val="9"/>
        <rFont val="Times New Roman"/>
        <family val="1"/>
      </rPr>
      <t>230</t>
    </r>
    <r>
      <rPr>
        <i/>
        <vertAlign val="superscript"/>
        <sz val="11"/>
        <rFont val="Times New Roman"/>
        <family val="1"/>
      </rPr>
      <t>T</t>
    </r>
    <r>
      <rPr>
        <sz val="10"/>
        <rFont val="Times New Roman"/>
        <family val="1"/>
      </rPr>
      <t xml:space="preserve"> + (</t>
    </r>
    <r>
      <rPr>
        <sz val="10"/>
        <rFont val="Symbol"/>
        <family val="1"/>
      </rPr>
      <t>d</t>
    </r>
    <r>
      <rPr>
        <vertAlign val="superscript"/>
        <sz val="10"/>
        <rFont val="Times New Roman"/>
        <family val="1"/>
      </rPr>
      <t>234</t>
    </r>
    <r>
      <rPr>
        <sz val="10"/>
        <rFont val="Times New Roman"/>
        <family val="1"/>
      </rPr>
      <t>U</t>
    </r>
    <r>
      <rPr>
        <vertAlign val="subscript"/>
        <sz val="10"/>
        <rFont val="Times New Roman"/>
        <family val="1"/>
      </rPr>
      <t>measured</t>
    </r>
    <r>
      <rPr>
        <sz val="10"/>
        <rFont val="Times New Roman"/>
        <family val="1"/>
      </rPr>
      <t>/1000)[</t>
    </r>
    <r>
      <rPr>
        <sz val="10"/>
        <rFont val="Symbol"/>
        <family val="1"/>
      </rPr>
      <t>l</t>
    </r>
    <r>
      <rPr>
        <vertAlign val="subscript"/>
        <sz val="10"/>
        <rFont val="Times New Roman"/>
        <family val="1"/>
      </rPr>
      <t>230</t>
    </r>
    <r>
      <rPr>
        <sz val="10"/>
        <rFont val="Times New Roman"/>
        <family val="1"/>
      </rPr>
      <t>/(</t>
    </r>
    <r>
      <rPr>
        <sz val="10"/>
        <rFont val="Symbol"/>
        <family val="1"/>
      </rPr>
      <t>l</t>
    </r>
    <r>
      <rPr>
        <vertAlign val="subscript"/>
        <sz val="10"/>
        <rFont val="Times New Roman"/>
        <family val="1"/>
      </rPr>
      <t>230</t>
    </r>
    <r>
      <rPr>
        <sz val="10"/>
        <rFont val="Times New Roman"/>
        <family val="1"/>
      </rPr>
      <t xml:space="preserve"> - </t>
    </r>
    <r>
      <rPr>
        <sz val="10"/>
        <rFont val="Symbol"/>
        <family val="1"/>
      </rPr>
      <t>l</t>
    </r>
    <r>
      <rPr>
        <vertAlign val="subscript"/>
        <sz val="10"/>
        <rFont val="Times New Roman"/>
        <family val="1"/>
      </rPr>
      <t>234</t>
    </r>
    <r>
      <rPr>
        <sz val="10"/>
        <rFont val="Times New Roman"/>
        <family val="1"/>
      </rPr>
      <t>)](1 - e</t>
    </r>
    <r>
      <rPr>
        <vertAlign val="superscript"/>
        <sz val="10"/>
        <rFont val="Times New Roman"/>
        <family val="1"/>
      </rPr>
      <t>-(</t>
    </r>
    <r>
      <rPr>
        <vertAlign val="superscript"/>
        <sz val="11"/>
        <rFont val="Symbol"/>
        <family val="1"/>
      </rPr>
      <t>l</t>
    </r>
    <r>
      <rPr>
        <vertAlign val="superscript"/>
        <sz val="9"/>
        <rFont val="Times New Roman"/>
        <family val="1"/>
      </rPr>
      <t>230</t>
    </r>
    <r>
      <rPr>
        <vertAlign val="superscript"/>
        <sz val="10"/>
        <rFont val="Times New Roman"/>
        <family val="1"/>
      </rPr>
      <t xml:space="preserve"> - </t>
    </r>
    <r>
      <rPr>
        <vertAlign val="superscript"/>
        <sz val="11"/>
        <rFont val="Symbol"/>
        <family val="1"/>
      </rPr>
      <t>l</t>
    </r>
    <r>
      <rPr>
        <vertAlign val="superscript"/>
        <sz val="9"/>
        <rFont val="Times New Roman"/>
        <family val="1"/>
      </rPr>
      <t>234</t>
    </r>
    <r>
      <rPr>
        <vertAlign val="superscript"/>
        <sz val="10"/>
        <rFont val="Times New Roman"/>
        <family val="1"/>
      </rPr>
      <t xml:space="preserve">) </t>
    </r>
    <r>
      <rPr>
        <i/>
        <vertAlign val="superscript"/>
        <sz val="11"/>
        <rFont val="Times New Roman"/>
        <family val="1"/>
      </rPr>
      <t>T</t>
    </r>
    <r>
      <rPr>
        <sz val="10"/>
        <rFont val="Times New Roman"/>
        <family val="1"/>
      </rPr>
      <t xml:space="preserve">), where </t>
    </r>
    <r>
      <rPr>
        <i/>
        <sz val="10"/>
        <rFont val="Times New Roman"/>
        <family val="1"/>
      </rPr>
      <t>T</t>
    </r>
    <r>
      <rPr>
        <sz val="10"/>
        <rFont val="Times New Roman"/>
        <family val="1"/>
      </rPr>
      <t xml:space="preserve"> is the age. "Uncorrected" indicates that no correction has been made for initial </t>
    </r>
    <r>
      <rPr>
        <vertAlign val="superscript"/>
        <sz val="10"/>
        <rFont val="Times New Roman"/>
        <family val="1"/>
      </rPr>
      <t>230</t>
    </r>
    <r>
      <rPr>
        <sz val="10"/>
        <rFont val="Times New Roman"/>
        <family val="1"/>
      </rPr>
      <t>Th.</t>
    </r>
  </si>
  <si>
    <r>
      <t>(corrected)</t>
    </r>
    <r>
      <rPr>
        <b/>
        <vertAlign val="superscript"/>
        <sz val="12"/>
        <color theme="1"/>
        <rFont val="Calibri"/>
        <family val="2"/>
        <scheme val="minor"/>
      </rPr>
      <t>d</t>
    </r>
  </si>
  <si>
    <r>
      <t>(per mil)</t>
    </r>
    <r>
      <rPr>
        <b/>
        <vertAlign val="superscript"/>
        <sz val="12"/>
        <color theme="1"/>
        <rFont val="Calibri"/>
        <family val="2"/>
        <scheme val="minor"/>
      </rPr>
      <t>e</t>
    </r>
  </si>
  <si>
    <r>
      <rPr>
        <vertAlign val="superscript"/>
        <sz val="10"/>
        <rFont val="Times New Roman"/>
        <family val="1"/>
      </rPr>
      <t>f</t>
    </r>
    <r>
      <rPr>
        <sz val="10"/>
        <rFont val="Times New Roman"/>
        <family val="1"/>
      </rPr>
      <t xml:space="preserve">B.P. stands for “Before Present” where the “Present” is defined as the January 1, 1950 C.E.  </t>
    </r>
  </si>
  <si>
    <t>Revised December 2014 version with following changes</t>
  </si>
  <si>
    <t>5. On the "U-Th data" sheet, input the Sample IDs, the date that chemistry started, the spike name, the sample weight and the spike weight. By default, the first row is used for the procedural blank.</t>
  </si>
  <si>
    <r>
      <t xml:space="preserve">6. Cut and paste </t>
    </r>
    <r>
      <rPr>
        <b/>
        <sz val="12"/>
        <color theme="1"/>
        <rFont val="Calibri"/>
        <family val="2"/>
        <charset val="129"/>
        <scheme val="minor"/>
      </rPr>
      <t>as values</t>
    </r>
    <r>
      <rPr>
        <sz val="12"/>
        <color theme="1"/>
        <rFont val="Calibri"/>
        <family val="2"/>
        <scheme val="minor"/>
      </rPr>
      <t xml:space="preserve"> the U data for each sample from the columns C-F in the "U data" worksheet into the correct row, columns E-H of the "U-Th data" worksheet. (Or carefully make links to the correct cells in the "U data" sheet.)</t>
    </r>
  </si>
  <si>
    <r>
      <t xml:space="preserve">7. Cut and paste </t>
    </r>
    <r>
      <rPr>
        <b/>
        <sz val="12"/>
        <color theme="1"/>
        <rFont val="Calibri"/>
        <family val="2"/>
        <charset val="129"/>
        <scheme val="minor"/>
      </rPr>
      <t>as values</t>
    </r>
    <r>
      <rPr>
        <sz val="12"/>
        <color theme="1"/>
        <rFont val="Calibri"/>
        <family val="2"/>
        <scheme val="minor"/>
      </rPr>
      <t xml:space="preserve"> the Th data for each sample from the columns C-F in the "Th data" worksheet into the correct row, columns I-L of the "U-Th data" worksheet. (Or carefully make links to the correct cells in the "Th data" sheet.)</t>
    </r>
  </si>
  <si>
    <t>9. Open file "agecalc.m". Check the 230Th/232Th ratio used for the initial correction and its uncertainty (default is 4.4 ± 2.2 ppm atomic.)</t>
  </si>
  <si>
    <t>12. Check to see that your final data are correctly represented in the "Summary" worksheet.</t>
  </si>
  <si>
    <t>13. Update information in rows 1-2 of the "Summary" worksheet.</t>
  </si>
  <si>
    <t>14. In the footnotes of the "Summary" worksheet (row 30), change the initial 230Th/232Th ratio used to reflect the correct value if you didn't use the default.</t>
  </si>
  <si>
    <t>Changed 238/234 uncertainty related to mass bias to be a function of 238/235 ratio for both samples and standards</t>
  </si>
  <si>
    <t>Changed flags in Th data file to include flags for mass bias and ion counter yield variability</t>
  </si>
  <si>
    <t>Fixed flags for U data to reference correct cells.</t>
  </si>
  <si>
    <t>Fixed reference cells for U blank calculation</t>
  </si>
  <si>
    <t>± (1σ)</t>
  </si>
  <si>
    <r>
      <t>Added correction for U tailing in Th analysis based on measurement of 238U signal; uncertainty for this correction also added</t>
    </r>
    <r>
      <rPr>
        <b/>
        <sz val="12"/>
        <color theme="1"/>
        <rFont val="Calibri"/>
        <family val="2"/>
        <charset val="129"/>
        <scheme val="minor"/>
      </rPr>
      <t xml:space="preserve"> ('Th data' AB:AE)</t>
    </r>
  </si>
  <si>
    <r>
      <t xml:space="preserve">Fixed problem in tail correction in which slope of tail from standard was applied to next sample. </t>
    </r>
    <r>
      <rPr>
        <b/>
        <sz val="12"/>
        <color theme="1"/>
        <rFont val="Calibri"/>
        <family val="2"/>
        <charset val="129"/>
        <scheme val="minor"/>
      </rPr>
      <t>('U data' BB)</t>
    </r>
  </si>
  <si>
    <r>
      <t xml:space="preserve">Changed (±2sigma) to (±1sigma) in </t>
    </r>
    <r>
      <rPr>
        <b/>
        <sz val="12"/>
        <color theme="1"/>
        <rFont val="Calibri"/>
        <family val="2"/>
        <charset val="129"/>
        <scheme val="minor"/>
      </rPr>
      <t>columns D and F headers for "U data"</t>
    </r>
    <r>
      <rPr>
        <sz val="12"/>
        <color theme="1"/>
        <rFont val="Calibri"/>
        <family val="2"/>
        <scheme val="minor"/>
      </rPr>
      <t xml:space="preserve"> sheet; previous heading was incorrect. (1 sigma uncertainties are multiplied by two in "U-Th data" sheet)</t>
    </r>
  </si>
  <si>
    <r>
      <t xml:space="preserve">Reduced uncertainty in spike 230Th/229Th to 0.5% 1-sigma due to analyses in which 1% uncertainty suggested negative 230Th counts after spike correction </t>
    </r>
    <r>
      <rPr>
        <b/>
        <sz val="12"/>
        <color theme="1"/>
        <rFont val="Calibri"/>
        <family val="2"/>
        <charset val="129"/>
        <scheme val="minor"/>
      </rPr>
      <t>('U-Th data' AC)</t>
    </r>
  </si>
  <si>
    <r>
      <t xml:space="preserve">230/229 of spikes reset to values measured by Alan Hsieh (previously spike 230/229 was set to constant, lower value and did not reference 'Constants' sheet) </t>
    </r>
    <r>
      <rPr>
        <b/>
        <sz val="12"/>
        <color theme="1"/>
        <rFont val="Calibri"/>
        <family val="2"/>
        <charset val="129"/>
        <scheme val="minor"/>
      </rPr>
      <t>('U-Th data' BL)</t>
    </r>
  </si>
  <si>
    <r>
      <t xml:space="preserve">Changed 234U tail estimate to be modified by residual at 233.5 (even if it is negative), not maximum of 0.001 and 233.5 residual. </t>
    </r>
    <r>
      <rPr>
        <b/>
        <sz val="12"/>
        <color theme="1"/>
        <rFont val="Calibri"/>
        <family val="2"/>
        <charset val="129"/>
        <scheme val="minor"/>
      </rPr>
      <t>('U data' AW)</t>
    </r>
  </si>
  <si>
    <r>
      <t xml:space="preserve">234.5 no longer used for tail correction due to issue of spuriously high 234.5 counts </t>
    </r>
    <r>
      <rPr>
        <b/>
        <sz val="12"/>
        <color theme="1"/>
        <rFont val="Calibri"/>
        <family val="2"/>
        <charset val="129"/>
        <scheme val="minor"/>
      </rPr>
      <t>('U data' AW)</t>
    </r>
  </si>
  <si>
    <r>
      <t xml:space="preserve">Changed procedural blank correction to be uniformly 25% 1-sigma </t>
    </r>
    <r>
      <rPr>
        <b/>
        <sz val="12"/>
        <color theme="1"/>
        <rFont val="Calibri"/>
        <family val="2"/>
        <charset val="129"/>
        <scheme val="minor"/>
      </rPr>
      <t>('U-Th data' AF, AH, AJ, AL)</t>
    </r>
  </si>
  <si>
    <r>
      <t xml:space="preserve">230Th background uncertainty introduced to 230Th data; assumed to be 25% of 230Th background correction (1-sigma) </t>
    </r>
    <r>
      <rPr>
        <b/>
        <sz val="12"/>
        <color theme="1"/>
        <rFont val="Calibri"/>
        <family val="2"/>
        <charset val="129"/>
        <scheme val="minor"/>
      </rPr>
      <t>('Th data' AC,AE)</t>
    </r>
  </si>
  <si>
    <t>YIELD</t>
  </si>
  <si>
    <t>Sample</t>
  </si>
  <si>
    <t>238U signal on 12.5 ng/g std (V)</t>
  </si>
  <si>
    <t>Expected 236U signal (V)</t>
  </si>
  <si>
    <t>232Th signal on 250 pg/g std (V)</t>
  </si>
  <si>
    <t>U sample volume (mL)</t>
  </si>
  <si>
    <t>Th sample volume (mL)</t>
  </si>
  <si>
    <t>U yield (%)</t>
  </si>
  <si>
    <t>Th yield (%)</t>
  </si>
  <si>
    <t>Expected 229Th signal (V)</t>
  </si>
  <si>
    <t>Input information in orange box</t>
  </si>
  <si>
    <t>Measured 236U signal (V)</t>
  </si>
  <si>
    <t>Measured 229Th signal (V)</t>
  </si>
  <si>
    <t>MIT McGee lab; samples prepared and run XXX; data processed by XXX.</t>
  </si>
  <si>
    <t>Dating results from XX/XX/XXX analyses</t>
  </si>
  <si>
    <r>
      <t>d</t>
    </r>
    <r>
      <rPr>
        <sz val="10"/>
        <rFont val="Times New Roman"/>
        <family val="1"/>
      </rPr>
      <t xml:space="preserve">Ages are corrected for detrital </t>
    </r>
    <r>
      <rPr>
        <vertAlign val="superscript"/>
        <sz val="10"/>
        <rFont val="Times New Roman"/>
        <family val="1"/>
      </rPr>
      <t>230</t>
    </r>
    <r>
      <rPr>
        <sz val="10"/>
        <rFont val="Times New Roman"/>
        <family val="1"/>
      </rPr>
      <t xml:space="preserve">Th assuming an initial </t>
    </r>
    <r>
      <rPr>
        <vertAlign val="superscript"/>
        <sz val="10"/>
        <rFont val="Times New Roman"/>
        <family val="1"/>
      </rPr>
      <t>230</t>
    </r>
    <r>
      <rPr>
        <sz val="10"/>
        <rFont val="Times New Roman"/>
        <family val="1"/>
      </rPr>
      <t>Th/</t>
    </r>
    <r>
      <rPr>
        <vertAlign val="superscript"/>
        <sz val="10"/>
        <rFont val="Times New Roman"/>
        <family val="1"/>
      </rPr>
      <t>232</t>
    </r>
    <r>
      <rPr>
        <sz val="10"/>
        <rFont val="Times New Roman"/>
        <family val="1"/>
      </rPr>
      <t>Th of (XX±XX) x 10</t>
    </r>
    <r>
      <rPr>
        <vertAlign val="superscript"/>
        <sz val="10"/>
        <rFont val="Times New Roman"/>
        <family val="1"/>
      </rPr>
      <t>-6</t>
    </r>
    <r>
      <rPr>
        <sz val="10"/>
        <rFont val="Times New Roman"/>
        <family val="1"/>
      </rPr>
      <t>.</t>
    </r>
  </si>
  <si>
    <t>Version of spreadsheet without U tail measurement, created by DM and uploaded to the Google Drive by CYC with minor formatting corrections.</t>
  </si>
  <si>
    <t>233U/229Th</t>
  </si>
  <si>
    <t>1 sig unc.</t>
  </si>
  <si>
    <t>1 sig unc</t>
  </si>
  <si>
    <t>Updated spike concentrations and ratios based on results from spike calibration. Ages now calculated based on new ratios (absolute concentrations less precise)</t>
  </si>
  <si>
    <t>('U-Th data'AP:AQ,BP:BQ)</t>
  </si>
  <si>
    <t>Updated Th tail calculation in Instructions</t>
  </si>
  <si>
    <t>('Instructions'D19)</t>
  </si>
  <si>
    <t>('Constants'G:H,J:K)</t>
  </si>
  <si>
    <t>Updated Summary sheet to calculate significant figures. User may still need to adjust number of decimal places to the correct number</t>
  </si>
  <si>
    <t>Updated 234/233 correction values for spike contribution based on results from spiked 112a runs</t>
  </si>
  <si>
    <t>Low 229Th flag</t>
  </si>
  <si>
    <t>Th mass bias flag</t>
  </si>
  <si>
    <t>Th IC yield flag</t>
  </si>
  <si>
    <t>Low 236U flag</t>
  </si>
  <si>
    <t>U mass bias flag</t>
  </si>
  <si>
    <t>U IC yield flag</t>
  </si>
  <si>
    <t>V</t>
  </si>
  <si>
    <t>Spike flag</t>
  </si>
  <si>
    <t>Mass bias flag</t>
  </si>
  <si>
    <t>IC yield flag</t>
  </si>
  <si>
    <t>relative change</t>
  </si>
  <si>
    <t>Updated uncertainties on 234/233 and 238/236 corrections to 1% 2-sigma to reflect measurements of d234U of spiked standards [DM]</t>
  </si>
  <si>
    <t>Added separate flag columns for spike voltage, mass bias, IC yield. Thresholds can be specified by user using values in cells B27:B32 in 'Constants' worksheet. [DM]</t>
  </si>
  <si>
    <t>Tail Correction</t>
  </si>
  <si>
    <t>Mass Bias and Yield Correction</t>
  </si>
  <si>
    <t>Raw</t>
  </si>
  <si>
    <t>Mass Bias &amp; Yield Correction</t>
  </si>
  <si>
    <t>percent change (e.g., 1.5 = 150%)</t>
  </si>
  <si>
    <t xml:space="preserve">Green uncertainty threshold </t>
  </si>
  <si>
    <t>Yellow uncertainty threshold</t>
  </si>
  <si>
    <t>Red uncertainty threshold</t>
  </si>
  <si>
    <t>Th230/Th232 relative uncertainty</t>
  </si>
  <si>
    <t>Th230/Th229 relative uncertainty</t>
  </si>
  <si>
    <t>Tail</t>
  </si>
  <si>
    <t>Mass Bias</t>
  </si>
  <si>
    <t>Yield</t>
  </si>
  <si>
    <t>238U/236U relative uncertainties</t>
  </si>
  <si>
    <t>238U/234U relative uncertainties</t>
  </si>
  <si>
    <t>Added conditional formatting on the relative uncertainty columns in 'Th data', 'U data', and 'U-Th data' tabs to highlight places where uncertainties increase above a certain threshold. [CYC]</t>
  </si>
  <si>
    <t>spike</t>
  </si>
  <si>
    <t>Spike</t>
  </si>
  <si>
    <t>Blank</t>
  </si>
  <si>
    <t>Tenderized</t>
  </si>
  <si>
    <t>232Th/229Th relative uncertainties</t>
  </si>
  <si>
    <t>230Th/229Th relative uncertainties</t>
  </si>
  <si>
    <t>FLAGS</t>
  </si>
  <si>
    <t>UNCERTAINTY TRACING</t>
  </si>
  <si>
    <t>if both green and yellow are tripped</t>
  </si>
  <si>
    <t>FARADAY CUP AND ION COUNTER CAPACITY LIMITS</t>
  </si>
  <si>
    <t>cps</t>
  </si>
  <si>
    <t>234U, 230Th</t>
  </si>
  <si>
    <t>238U, Th232</t>
  </si>
  <si>
    <t>Cup - upper</t>
  </si>
  <si>
    <t>Cup - lower</t>
  </si>
  <si>
    <t>Ion counter - upper</t>
  </si>
  <si>
    <t>Cup with special resistor - upper</t>
  </si>
  <si>
    <t>Cup with special resistor - lower</t>
  </si>
  <si>
    <t>TRACING UNCERTAINTIES - PERCENT CONTRIBUTION</t>
  </si>
  <si>
    <t>TRACING UNCERTAINTIES - RELATIVE UNCERTAINTIES</t>
  </si>
  <si>
    <t>TRACING UNCERTAINTIES - RELATIVE UNCERTAINTY</t>
  </si>
  <si>
    <t>TRACING UNCERTAINTIES - RELATIVE</t>
  </si>
  <si>
    <t>TRACING UNCERTAINTIES - PERCENT CONTRIBUTIONS</t>
  </si>
  <si>
    <t>238U/236U percent contributions</t>
  </si>
  <si>
    <t>230Th/229Th percent contributions</t>
  </si>
  <si>
    <t>CONTRIBUTIONS TO FINAL 230TH/238U UNCERTAINTY</t>
  </si>
  <si>
    <t>MASS BIAS CORRECTION USING 236/233</t>
  </si>
  <si>
    <t>MASS BIAS CORRECTION USING 238/235</t>
  </si>
  <si>
    <t>Changed calculation of errors for mass bias and yield correction in 'Th data'. [DM]</t>
  </si>
  <si>
    <t>Added columns for mass bias correction using 236/233 or 238/235 in 'U data'. [DM]</t>
  </si>
  <si>
    <t>Thresholds are defined in 'Constants' where there are yellow, green, and red conditional formatting flags. [CYC]</t>
  </si>
  <si>
    <t>Also set the '230tail/232' value in 'Constants' to be equal to the equivalent cell value in the 'Instructions' tab. [CYC]</t>
  </si>
  <si>
    <t>New columns added are the following: AP-BB in 'Th data', CQ-DE in 'U data', and BE-CA in 'U-Th data'. [CYC]</t>
  </si>
  <si>
    <t>Age (yr BP)</t>
  </si>
  <si>
    <r>
      <t>(corrected)</t>
    </r>
    <r>
      <rPr>
        <b/>
        <vertAlign val="superscript"/>
        <sz val="12"/>
        <color theme="1"/>
        <rFont val="Calibri"/>
        <family val="2"/>
        <scheme val="minor"/>
      </rPr>
      <t>f</t>
    </r>
  </si>
  <si>
    <t xml:space="preserve">When a correction is made based on bracketing standards, 95% CI of correction factor is proportional to difference between bracketing standard means </t>
  </si>
  <si>
    <t>Tailing correction uncertainty on 234, 235, 236 is 20% (2-sigma)</t>
  </si>
  <si>
    <t>Tailing correction uncertainty on 230 is 50% (2 sigma), as tailing is only measured once per day</t>
  </si>
  <si>
    <t>Correction for 230Th background is given 50% 2-sigma uncertainty</t>
  </si>
  <si>
    <t>Procedural blank correction is given 50% 2-sigma uncertainty</t>
  </si>
  <si>
    <t>Assumptions made in uncertainty propagation:</t>
  </si>
  <si>
    <t>Spike corrections are given 1% relative uncertainty, with the exception of 232/229, which has 2% relative uncertainty (2 sigma)</t>
  </si>
  <si>
    <t>Edited flag formulas (cols B-D) in 'U data' and 'Th data' so that it only displays text when there is an analysis associated with that line. [CYC]</t>
  </si>
  <si>
    <t>Tail at 230.5 (cps)</t>
  </si>
  <si>
    <t>Tail at 229.5 (cps)</t>
  </si>
  <si>
    <t>In the 'Instructions' tab, added space to paste the raw ratios for the 230tail/232 measurement(s); also added conditional formatting flags to trip when tail measurement is likely outside acceptable bounds. [CYC]</t>
  </si>
  <si>
    <t>(See 'Instructions' tab for calculation of this value.)</t>
  </si>
  <si>
    <t>Long Term Average 237U/238U:</t>
  </si>
  <si>
    <t>Long Term Average 230tail/232 (Sept 2016 to Feb 2018):</t>
  </si>
  <si>
    <t>Also added values for the long term 237U/238U average and 230tail/232 average for situations in which 230tail/232 measurements must be re-calculated due to bad measurements. [CYC]</t>
  </si>
  <si>
    <t>MITh-2</t>
  </si>
  <si>
    <t>1. Arrange raw U data from standards and samples (not tails) in order of analysis number so that it can be pasted into columns J through X in "U data" tab. If you stopped the run and have two standards in a row, just leave two rows between the standard data. If you did not measure tails for samples, choose "Paste Special" and check "Skip Blanks".</t>
  </si>
  <si>
    <t>4. Replace the 239/238 and 230tail/232 ratios with values measured during your run*. In 'Constants', cell A20, input the Th standard you used (MITh-1 or MITh-2)</t>
  </si>
  <si>
    <t>Added ability to choose MITh-1 or MITh-2 as Th standard. Th standard needs to be specified in "Constants" cell A20.</t>
  </si>
  <si>
    <t xml:space="preserve">Updated column AD in the 'U-Th data spreadsheet (234U/233U). There was an error in the calculation, in which 236U/233U was dividing, rather than being multiplied, the 234U/234U ratio.  </t>
  </si>
  <si>
    <t>The impact on ages was very small as it only affected the blank correction. [BH]</t>
  </si>
  <si>
    <t>There was an error in the formula calculating the 234U g of the procedural blank (cell P4 in "U-Th data"), in which the value for 233 from the spike was not targetted correctly. [CYC]</t>
  </si>
  <si>
    <t>Before, the formula was looking at the value in BN. It has since been fixed. [CYC]</t>
  </si>
  <si>
    <t>Fixed problem in tail correction in which 233.5 residual was not used to correct 234 tail estimate for standards. [DM]</t>
  </si>
  <si>
    <t>Added statement to prevent negative 234U blanks by making 234U blank the maximum of the measured blank or the 238U blank/15000 (a very rough average 238/234 of our samples). [DM]</t>
  </si>
  <si>
    <t>Added statement to prevent negative 230Th blanks by making 230Th blank the maximum of the measured blank or 0.01 fg. [DM]</t>
  </si>
  <si>
    <t>Corrected issues with conditional formatting formulas in the `Th data` tab, which resolves the annoying pop up as well as incorrect triggering of conditional formatting colors. [CYC]</t>
  </si>
  <si>
    <t>OTHER TRIPS</t>
  </si>
  <si>
    <t>For 238U and 232Th beams</t>
  </si>
  <si>
    <t>Raw measurement uncertainty is large, suggesting that the solution ran out before all X cycles of the measurement were completed.</t>
  </si>
  <si>
    <t>NUMBERS HIGHLIGHTED IN RED</t>
  </si>
  <si>
    <t>CPS per V:</t>
  </si>
  <si>
    <t>T237 (cps)</t>
  </si>
  <si>
    <t>T234.5 (cps)</t>
  </si>
  <si>
    <t>T233.5 (cps)</t>
  </si>
  <si>
    <t>237/238</t>
  </si>
  <si>
    <t>If 232Th voltage for the 230tail/232 tail measurement is too low, calculate best estimate 230tail/232 using the U tail data of standards measured around the same time as the Th data.</t>
  </si>
  <si>
    <t>Check the corresponding Data_XXXXX.csv file and re-calculate ratios if necessary.</t>
  </si>
  <si>
    <t>Added conditional formatting to column S in 'U data' and column Q in 'Th data' to indicate when raw measurement uncertainty is unusually high;</t>
  </si>
  <si>
    <t>This may suggest that the sample solution ran out before all cycles of the measurement were completed. Check the corresponding Data_XXXXX.csv file to confirm. [CYC]</t>
  </si>
  <si>
    <t>Added some additional template information to 'Instructions' for calculating a best estimate of the 230tail/232 when no valid measurement exists. [CYC]</t>
  </si>
  <si>
    <t>Ion counter - lower</t>
  </si>
  <si>
    <t>Added conditional formatting to column R in 'Th data' for lower limit of 230Th on the ion counter. [CYC]</t>
  </si>
  <si>
    <t>Raw data pasted into the spreadsheet may not contain all significant figures that are available.</t>
  </si>
  <si>
    <t>Check that your data contain more than 3 significant figures; if not, you may have a summary file that was accidentally saved over.</t>
  </si>
  <si>
    <t>NUMBER WITH RED TEXT</t>
  </si>
  <si>
    <t>Added conditional formatting to 'U data' and 'Th data' that trips if the raw data that has been pasted in the spreadsheet may be missing the total number of sig figs. [CYC]</t>
  </si>
  <si>
    <t>Samples and standards</t>
  </si>
  <si>
    <t>[BHT] AB11-2A</t>
  </si>
  <si>
    <t xml:space="preserve"> March 14</t>
  </si>
  <si>
    <t>[BHT] AB11-2B</t>
  </si>
  <si>
    <t>[BHT] AB13-2A</t>
  </si>
  <si>
    <t>[BHT] AB13-2B</t>
  </si>
  <si>
    <t>[BHT] AB13-2C</t>
  </si>
  <si>
    <t>[BHT] AB13-2D</t>
  </si>
  <si>
    <t>[BHT] AB13-2E</t>
  </si>
  <si>
    <t>[BHT] AB13-2F</t>
  </si>
  <si>
    <t>[BHT] AB11_AB13_CC5A</t>
  </si>
  <si>
    <t>[BHT] AB11_AB13_TPB</t>
  </si>
  <si>
    <t>U 13.5 ppb</t>
  </si>
  <si>
    <t>Tails</t>
  </si>
  <si>
    <t>U 13.5 ppb tail</t>
  </si>
  <si>
    <t>Th230 / Th232</t>
  </si>
  <si>
    <t>U238(V)</t>
  </si>
  <si>
    <t>Th230 background (cps)</t>
  </si>
  <si>
    <t xml:space="preserve"> March 16</t>
  </si>
  <si>
    <t>MITh2 247 pg/g</t>
  </si>
  <si>
    <t>10ppb ICP std</t>
  </si>
  <si>
    <t>AB13-2A (34mm)</t>
  </si>
  <si>
    <t>AB13-2B (85.5mm)</t>
  </si>
  <si>
    <t>AB13-2C (130mm)</t>
  </si>
  <si>
    <t>AB13-2D (177mm)</t>
  </si>
  <si>
    <t>AB13-2E (229mm)</t>
  </si>
  <si>
    <t>AB13-2F (265mm)</t>
  </si>
  <si>
    <t>AB11-2A (138mm)</t>
  </si>
  <si>
    <t>AB11-2B (270mm)</t>
  </si>
  <si>
    <t>Aragonite</t>
  </si>
  <si>
    <t>CC5A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</si>
</sst>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0.000000"/>
    <numFmt numFmtId="165" formatCode="0.0"/>
    <numFmt numFmtId="166" formatCode="0.000"/>
    <numFmt numFmtId="167" formatCode="0.00000"/>
    <numFmt numFmtId="168" formatCode="0.0000E+00"/>
    <numFmt numFmtId="169" formatCode="0.00E+00;\_x0000_"/>
    <numFmt numFmtId="170" formatCode="0.00000000"/>
    <numFmt numFmtId="171" formatCode="0.0E+00"/>
    <numFmt numFmtId="172" formatCode="0.00000E+00"/>
    <numFmt numFmtId="173" formatCode="0.0000"/>
    <numFmt numFmtId="174" formatCode="0.0%"/>
  </numFmts>
  <fonts count="25">
    <font>
      <sz val="12"/>
      <color theme="1"/>
      <name val="Calibri"/>
      <family val="2"/>
      <scheme val="minor"/>
    </font>
    <font>
      <sz val="12"/>
      <color theme="1"/>
      <name val="Calibri"/>
      <family val="2"/>
      <scheme val="minor"/>
    </font>
    <font>
      <sz val="11"/>
      <color theme="1"/>
      <name val="Calibri"/>
      <family val="2"/>
      <scheme val="minor"/>
    </font>
    <font>
      <b/>
      <sz val="12"/>
      <color theme="1"/>
      <name val="Calibri"/>
      <family val="2"/>
      <charset val="129"/>
      <scheme val="minor"/>
    </font>
    <font>
      <u/>
      <sz val="12"/>
      <color theme="10"/>
      <name val="Calibri"/>
      <family val="2"/>
      <charset val="129"/>
      <scheme val="minor"/>
    </font>
    <font>
      <u/>
      <sz val="12"/>
      <color theme="11"/>
      <name val="Calibri"/>
      <family val="2"/>
      <charset val="129"/>
      <scheme val="minor"/>
    </font>
    <font>
      <sz val="12"/>
      <color rgb="FF000000"/>
      <name val="Calibri"/>
      <family val="2"/>
      <scheme val="minor"/>
    </font>
    <font>
      <sz val="10"/>
      <name val="Arial"/>
      <family val="2"/>
    </font>
    <font>
      <sz val="10"/>
      <name val="Symbol"/>
      <family val="1"/>
    </font>
    <font>
      <b/>
      <sz val="12"/>
      <color rgb="FF000000"/>
      <name val="Calibri"/>
      <family val="2"/>
      <scheme val="minor"/>
    </font>
    <font>
      <b/>
      <vertAlign val="superscript"/>
      <sz val="12"/>
      <color theme="1"/>
      <name val="Calibri"/>
      <family val="2"/>
      <scheme val="minor"/>
    </font>
    <font>
      <i/>
      <vertAlign val="superscript"/>
      <sz val="10"/>
      <name val="Times New Roman"/>
      <family val="1"/>
    </font>
    <font>
      <vertAlign val="superscript"/>
      <sz val="10"/>
      <name val="Times New Roman"/>
      <family val="1"/>
    </font>
    <font>
      <sz val="10"/>
      <name val="Times New Roman"/>
      <family val="1"/>
    </font>
    <font>
      <vertAlign val="subscript"/>
      <sz val="10"/>
      <name val="Times New Roman"/>
      <family val="1"/>
    </font>
    <font>
      <vertAlign val="superscript"/>
      <sz val="11"/>
      <name val="Symbol"/>
      <family val="1"/>
    </font>
    <font>
      <vertAlign val="superscript"/>
      <sz val="9"/>
      <name val="Times New Roman"/>
      <family val="1"/>
    </font>
    <font>
      <i/>
      <vertAlign val="superscript"/>
      <sz val="11"/>
      <name val="Times New Roman"/>
      <family val="1"/>
    </font>
    <font>
      <i/>
      <sz val="10"/>
      <name val="Times New Roman"/>
      <family val="1"/>
    </font>
    <font>
      <sz val="12"/>
      <color rgb="FF006100"/>
      <name val="Calibri"/>
      <family val="2"/>
      <scheme val="minor"/>
    </font>
    <font>
      <sz val="12"/>
      <color rgb="FF9C0006"/>
      <name val="Calibri"/>
      <family val="2"/>
      <scheme val="minor"/>
    </font>
    <font>
      <sz val="12"/>
      <color rgb="FF9C6500"/>
      <name val="Calibri"/>
      <family val="2"/>
      <scheme val="minor"/>
    </font>
    <font>
      <i/>
      <sz val="12"/>
      <color theme="1"/>
      <name val="Calibri"/>
      <family val="2"/>
      <scheme val="minor"/>
    </font>
    <font>
      <b/>
      <sz val="12"/>
      <color theme="1"/>
      <name val="Calibri"/>
      <family val="2"/>
      <scheme val="minor"/>
    </font>
    <font>
      <sz val="12"/>
      <color rgb="FFFF0000"/>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0000"/>
        <bgColor indexed="64"/>
      </patternFill>
    </fill>
  </fills>
  <borders count="1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bottom style="thin">
        <color auto="1"/>
      </bottom>
      <diagonal/>
    </border>
    <border>
      <left style="thin">
        <color rgb="FFFF0000"/>
      </left>
      <right style="thin">
        <color rgb="FFFF0000"/>
      </right>
      <top style="thin">
        <color rgb="FFFF0000"/>
      </top>
      <bottom style="thin">
        <color rgb="FFFF0000"/>
      </bottom>
      <diagonal/>
    </border>
    <border>
      <left style="thin">
        <color rgb="FF800000"/>
      </left>
      <right style="thin">
        <color rgb="FF800000"/>
      </right>
      <top style="thin">
        <color rgb="FF800000"/>
      </top>
      <bottom style="thin">
        <color rgb="FF800000"/>
      </bottom>
      <diagonal/>
    </border>
  </borders>
  <cellStyleXfs count="149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7"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9" fillId="8" borderId="0" applyNumberFormat="0" applyBorder="0" applyAlignment="0" applyProtection="0"/>
    <xf numFmtId="0" fontId="20" fillId="9" borderId="0" applyNumberFormat="0" applyBorder="0" applyAlignment="0" applyProtection="0"/>
    <xf numFmtId="0" fontId="21" fillId="10"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4">
    <xf numFmtId="0" fontId="0" fillId="0" borderId="0" xfId="0"/>
    <xf numFmtId="11" fontId="0" fillId="0" borderId="0" xfId="0" applyNumberFormat="1"/>
    <xf numFmtId="0" fontId="3" fillId="0" borderId="0" xfId="0" applyFont="1"/>
    <xf numFmtId="0" fontId="7" fillId="0" borderId="1" xfId="7" applyBorder="1"/>
    <xf numFmtId="0" fontId="7" fillId="0" borderId="2" xfId="7" applyBorder="1"/>
    <xf numFmtId="0" fontId="7" fillId="0" borderId="2" xfId="0" applyFont="1" applyBorder="1"/>
    <xf numFmtId="0" fontId="0" fillId="0" borderId="1" xfId="0" applyBorder="1"/>
    <xf numFmtId="11" fontId="0" fillId="0" borderId="2" xfId="0" applyNumberFormat="1" applyBorder="1"/>
    <xf numFmtId="0" fontId="0" fillId="0" borderId="2" xfId="0" applyBorder="1"/>
    <xf numFmtId="0" fontId="0" fillId="0" borderId="3" xfId="0" applyBorder="1"/>
    <xf numFmtId="0" fontId="7" fillId="0" borderId="4" xfId="7" applyBorder="1" applyAlignment="1">
      <alignment horizontal="center"/>
    </xf>
    <xf numFmtId="0" fontId="7" fillId="0" borderId="0" xfId="7"/>
    <xf numFmtId="0" fontId="8" fillId="0" borderId="0" xfId="0" applyFont="1" applyAlignment="1">
      <alignment horizontal="center"/>
    </xf>
    <xf numFmtId="0" fontId="7" fillId="0" borderId="0" xfId="0" applyFont="1"/>
    <xf numFmtId="11" fontId="0" fillId="0" borderId="4" xfId="0" applyNumberFormat="1" applyBorder="1"/>
    <xf numFmtId="0" fontId="0" fillId="0" borderId="5" xfId="0" applyBorder="1"/>
    <xf numFmtId="164" fontId="0" fillId="0" borderId="5" xfId="0" applyNumberFormat="1" applyBorder="1"/>
    <xf numFmtId="11" fontId="0" fillId="0" borderId="6" xfId="0" applyNumberFormat="1" applyBorder="1"/>
    <xf numFmtId="0" fontId="0" fillId="0" borderId="7" xfId="0" applyBorder="1"/>
    <xf numFmtId="11" fontId="0" fillId="0" borderId="7" xfId="0" applyNumberFormat="1" applyBorder="1"/>
    <xf numFmtId="0" fontId="0" fillId="0" borderId="8" xfId="0" applyBorder="1"/>
    <xf numFmtId="0" fontId="0" fillId="0" borderId="4" xfId="0" applyBorder="1"/>
    <xf numFmtId="165" fontId="0" fillId="0" borderId="5" xfId="0" applyNumberFormat="1" applyBorder="1"/>
    <xf numFmtId="166" fontId="0" fillId="0" borderId="5" xfId="0" applyNumberFormat="1" applyBorder="1"/>
    <xf numFmtId="167" fontId="0" fillId="0" borderId="5" xfId="0" applyNumberFormat="1" applyBorder="1"/>
    <xf numFmtId="0" fontId="7" fillId="0" borderId="6" xfId="7" applyBorder="1" applyAlignment="1">
      <alignment horizontal="center"/>
    </xf>
    <xf numFmtId="0" fontId="7" fillId="0" borderId="7" xfId="0" applyFont="1" applyBorder="1"/>
    <xf numFmtId="168" fontId="0" fillId="0" borderId="0" xfId="0" applyNumberFormat="1"/>
    <xf numFmtId="168" fontId="0" fillId="0" borderId="5" xfId="0" applyNumberFormat="1" applyBorder="1"/>
    <xf numFmtId="0" fontId="0" fillId="0" borderId="6" xfId="0" applyBorder="1"/>
    <xf numFmtId="168" fontId="0" fillId="0" borderId="7" xfId="0" applyNumberFormat="1" applyBorder="1"/>
    <xf numFmtId="168" fontId="0" fillId="0" borderId="8" xfId="0" applyNumberFormat="1" applyBorder="1"/>
    <xf numFmtId="11" fontId="6" fillId="0" borderId="0" xfId="0" applyNumberFormat="1" applyFont="1"/>
    <xf numFmtId="169" fontId="0" fillId="0" borderId="0" xfId="0" applyNumberFormat="1"/>
    <xf numFmtId="0" fontId="0" fillId="2" borderId="0" xfId="0" applyFill="1"/>
    <xf numFmtId="0" fontId="3" fillId="2" borderId="0" xfId="0" applyFont="1" applyFill="1"/>
    <xf numFmtId="166" fontId="0" fillId="0" borderId="0" xfId="0" applyNumberFormat="1"/>
    <xf numFmtId="2" fontId="0" fillId="0" borderId="0" xfId="0" applyNumberFormat="1"/>
    <xf numFmtId="165" fontId="0" fillId="0" borderId="0" xfId="0" applyNumberFormat="1"/>
    <xf numFmtId="1" fontId="0" fillId="0" borderId="0" xfId="0" applyNumberFormat="1"/>
    <xf numFmtId="0" fontId="0" fillId="0" borderId="0" xfId="0" applyAlignment="1">
      <alignment horizontal="left"/>
    </xf>
    <xf numFmtId="0" fontId="0" fillId="0" borderId="0" xfId="0" applyAlignment="1">
      <alignment horizontal="center"/>
    </xf>
    <xf numFmtId="0" fontId="0" fillId="3" borderId="0" xfId="0" applyFill="1"/>
    <xf numFmtId="0" fontId="3" fillId="3" borderId="0" xfId="0" applyFont="1" applyFill="1"/>
    <xf numFmtId="0" fontId="3" fillId="4" borderId="0" xfId="0" applyFont="1" applyFill="1"/>
    <xf numFmtId="168" fontId="3" fillId="4" borderId="0" xfId="0" applyNumberFormat="1" applyFont="1" applyFill="1"/>
    <xf numFmtId="2" fontId="3" fillId="4" borderId="0" xfId="0" applyNumberFormat="1" applyFont="1" applyFill="1"/>
    <xf numFmtId="166" fontId="3" fillId="4" borderId="0" xfId="0" applyNumberFormat="1" applyFont="1" applyFill="1"/>
    <xf numFmtId="169" fontId="0" fillId="2" borderId="0" xfId="0" applyNumberFormat="1" applyFill="1"/>
    <xf numFmtId="11" fontId="0" fillId="2" borderId="0" xfId="0" applyNumberFormat="1" applyFill="1"/>
    <xf numFmtId="1" fontId="3" fillId="0" borderId="0" xfId="0" applyNumberFormat="1" applyFont="1"/>
    <xf numFmtId="0" fontId="2" fillId="0" borderId="0" xfId="540"/>
    <xf numFmtId="164" fontId="3" fillId="4" borderId="0" xfId="0" applyNumberFormat="1" applyFont="1" applyFill="1"/>
    <xf numFmtId="170" fontId="3" fillId="4" borderId="0" xfId="0" applyNumberFormat="1" applyFont="1" applyFill="1"/>
    <xf numFmtId="167" fontId="0" fillId="0" borderId="0" xfId="0" applyNumberFormat="1"/>
    <xf numFmtId="11" fontId="3" fillId="0" borderId="0" xfId="0" applyNumberFormat="1" applyFont="1"/>
    <xf numFmtId="11" fontId="3" fillId="4" borderId="0" xfId="0" applyNumberFormat="1" applyFont="1" applyFill="1"/>
    <xf numFmtId="171" fontId="3" fillId="4" borderId="0" xfId="0" applyNumberFormat="1" applyFont="1" applyFill="1"/>
    <xf numFmtId="172" fontId="3" fillId="4" borderId="0" xfId="0" applyNumberFormat="1" applyFont="1" applyFill="1"/>
    <xf numFmtId="0" fontId="0" fillId="5" borderId="0" xfId="0" applyFill="1"/>
    <xf numFmtId="0" fontId="3" fillId="0" borderId="9" xfId="0" applyFont="1" applyBorder="1"/>
    <xf numFmtId="14" fontId="0" fillId="0" borderId="0" xfId="0" applyNumberFormat="1"/>
    <xf numFmtId="11" fontId="0" fillId="6" borderId="0" xfId="0" applyNumberFormat="1" applyFill="1"/>
    <xf numFmtId="0" fontId="0" fillId="6" borderId="0" xfId="0" applyFill="1"/>
    <xf numFmtId="168" fontId="3" fillId="0" borderId="0" xfId="0" applyNumberFormat="1" applyFont="1"/>
    <xf numFmtId="14" fontId="0" fillId="3" borderId="0" xfId="0" applyNumberFormat="1" applyFill="1"/>
    <xf numFmtId="0" fontId="3" fillId="0" borderId="7" xfId="0" applyFont="1" applyBorder="1"/>
    <xf numFmtId="0" fontId="9" fillId="0" borderId="0" xfId="0" applyFont="1"/>
    <xf numFmtId="0" fontId="11" fillId="0" borderId="0" xfId="0" applyFont="1" applyAlignment="1">
      <alignment horizontal="left"/>
    </xf>
    <xf numFmtId="0" fontId="13" fillId="0" borderId="0" xfId="0" applyFont="1" applyAlignment="1">
      <alignment horizontal="left"/>
    </xf>
    <xf numFmtId="49" fontId="13" fillId="0" borderId="0" xfId="0" applyNumberFormat="1" applyFont="1" applyAlignment="1">
      <alignment horizontal="left"/>
    </xf>
    <xf numFmtId="173" fontId="13" fillId="0" borderId="0" xfId="0" applyNumberFormat="1" applyFont="1" applyAlignment="1">
      <alignment horizontal="left"/>
    </xf>
    <xf numFmtId="11" fontId="0" fillId="3" borderId="0" xfId="0" applyNumberFormat="1" applyFill="1"/>
    <xf numFmtId="49" fontId="0" fillId="0" borderId="0" xfId="0" applyNumberFormat="1"/>
    <xf numFmtId="9" fontId="0" fillId="0" borderId="0" xfId="1203" applyFont="1"/>
    <xf numFmtId="0" fontId="0" fillId="0" borderId="0" xfId="0" applyAlignment="1">
      <alignment wrapText="1"/>
    </xf>
    <xf numFmtId="0" fontId="0" fillId="7" borderId="0" xfId="0" applyFill="1"/>
    <xf numFmtId="164" fontId="0" fillId="0" borderId="7" xfId="0" applyNumberFormat="1" applyBorder="1"/>
    <xf numFmtId="0" fontId="0" fillId="0" borderId="0" xfId="0" applyAlignment="1">
      <alignment vertical="center"/>
    </xf>
    <xf numFmtId="0" fontId="19" fillId="8" borderId="0" xfId="1266"/>
    <xf numFmtId="0" fontId="21" fillId="10" borderId="0" xfId="1268"/>
    <xf numFmtId="0" fontId="20" fillId="9" borderId="0" xfId="1267"/>
    <xf numFmtId="174" fontId="0" fillId="0" borderId="0" xfId="1203" applyNumberFormat="1" applyFont="1"/>
    <xf numFmtId="0" fontId="22" fillId="0" borderId="0" xfId="0" applyFont="1" applyAlignment="1">
      <alignment horizontal="center" vertical="center"/>
    </xf>
    <xf numFmtId="10" fontId="0" fillId="0" borderId="0" xfId="1203" applyNumberFormat="1" applyFont="1"/>
    <xf numFmtId="174" fontId="3" fillId="0" borderId="0" xfId="1203" applyNumberFormat="1" applyFont="1"/>
    <xf numFmtId="174" fontId="0" fillId="0" borderId="0" xfId="1203" applyNumberFormat="1" applyFont="1" applyAlignment="1">
      <alignment vertical="center"/>
    </xf>
    <xf numFmtId="174" fontId="0" fillId="0" borderId="0" xfId="1203" applyNumberFormat="1" applyFont="1" applyAlignment="1"/>
    <xf numFmtId="0" fontId="23" fillId="0" borderId="0" xfId="0" applyFont="1"/>
    <xf numFmtId="168" fontId="0" fillId="0" borderId="2" xfId="0" applyNumberFormat="1" applyBorder="1"/>
    <xf numFmtId="168" fontId="0" fillId="0" borderId="3" xfId="0" applyNumberFormat="1" applyBorder="1"/>
    <xf numFmtId="11" fontId="24" fillId="0" borderId="10" xfId="1267" applyNumberFormat="1" applyFont="1" applyFill="1" applyBorder="1"/>
    <xf numFmtId="0" fontId="0" fillId="11" borderId="11" xfId="0" applyFill="1" applyBorder="1"/>
    <xf numFmtId="11" fontId="0" fillId="7" borderId="0" xfId="0" applyNumberFormat="1" applyFill="1"/>
    <xf numFmtId="2" fontId="3" fillId="0" borderId="0" xfId="0" applyNumberFormat="1" applyFont="1"/>
    <xf numFmtId="166" fontId="3" fillId="0" borderId="0" xfId="0" applyNumberFormat="1" applyFont="1"/>
    <xf numFmtId="173" fontId="3" fillId="0" borderId="0" xfId="0" applyNumberFormat="1" applyFont="1"/>
    <xf numFmtId="164" fontId="3" fillId="0" borderId="0" xfId="0" applyNumberFormat="1" applyFont="1"/>
    <xf numFmtId="11" fontId="0" fillId="0" borderId="8" xfId="0" applyNumberFormat="1" applyBorder="1"/>
    <xf numFmtId="0" fontId="22" fillId="0" borderId="0" xfId="0" applyFont="1" applyAlignment="1">
      <alignment horizontal="center" vertical="center"/>
    </xf>
    <xf numFmtId="0" fontId="22" fillId="0" borderId="0" xfId="0" applyFont="1" applyAlignment="1">
      <alignment horizontal="center"/>
    </xf>
    <xf numFmtId="174" fontId="22" fillId="0" borderId="0" xfId="1203" applyNumberFormat="1" applyFont="1" applyAlignment="1">
      <alignment horizontal="center"/>
    </xf>
    <xf numFmtId="174" fontId="22" fillId="0" borderId="0" xfId="1203" applyNumberFormat="1" applyFont="1" applyAlignment="1">
      <alignment horizontal="center" vertical="center"/>
    </xf>
    <xf numFmtId="172" fontId="0" fillId="2" borderId="0" xfId="0" applyNumberFormat="1" applyFill="1"/>
  </cellXfs>
  <cellStyles count="1497">
    <cellStyle name="Bad" xfId="1267" builtinId="27"/>
    <cellStyle name="Followed Hyperlink" xfId="2" builtinId="9" hidden="1"/>
    <cellStyle name="Followed Hyperlink" xfId="4" builtinId="9" hidden="1"/>
    <cellStyle name="Followed Hyperlink" xfId="6"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Good" xfId="1266" builtinId="26"/>
    <cellStyle name="Hyperlink" xfId="1" builtinId="8" hidden="1"/>
    <cellStyle name="Hyperlink" xfId="3" builtinId="8" hidden="1"/>
    <cellStyle name="Hyperlink" xfId="5"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Neutral" xfId="1268" builtinId="28"/>
    <cellStyle name="Normal" xfId="0" builtinId="0"/>
    <cellStyle name="Normal 2" xfId="540" xr:uid="{00000000-0005-0000-0000-0000D6050000}"/>
    <cellStyle name="Normal_Neptune-Data-B-II-U" xfId="7" xr:uid="{00000000-0005-0000-0000-0000D7050000}"/>
    <cellStyle name="Percent" xfId="1203" builtinId="5"/>
  </cellStyles>
  <dxfs count="50">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FF0000"/>
      </font>
      <fill>
        <patternFill patternType="none">
          <fgColor indexed="64"/>
          <bgColor auto="1"/>
        </patternFill>
      </fill>
      <border>
        <left style="thin">
          <color rgb="FFFF0000"/>
        </left>
        <right style="thin">
          <color rgb="FFFF0000"/>
        </right>
        <top style="thin">
          <color rgb="FFFF0000"/>
        </top>
        <bottom style="thin">
          <color rgb="FFFF0000"/>
        </bottom>
      </border>
    </dxf>
    <dxf>
      <font>
        <color rgb="FF9C6500"/>
      </font>
      <fill>
        <patternFill>
          <bgColor rgb="FFFFEB9C"/>
        </patternFill>
      </fill>
    </dxf>
    <dxf>
      <font>
        <color auto="1"/>
      </font>
      <fill>
        <patternFill patternType="solid">
          <fgColor indexed="64"/>
          <bgColor rgb="FFFF0000"/>
        </patternFill>
      </fill>
      <border>
        <left style="thin">
          <color rgb="FF800000"/>
        </left>
        <right style="thin">
          <color rgb="FF800000"/>
        </right>
        <top style="thin">
          <color rgb="FF800000"/>
        </top>
        <bottom style="thin">
          <color rgb="FF800000"/>
        </bottom>
      </border>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auto="1"/>
      </font>
      <fill>
        <patternFill patternType="solid">
          <fgColor indexed="64"/>
          <bgColor rgb="FFFF0000"/>
        </patternFill>
      </fill>
      <border>
        <left style="thin">
          <color rgb="FF800000"/>
        </left>
        <right style="thin">
          <color rgb="FF800000"/>
        </right>
        <top style="thin">
          <color rgb="FF800000"/>
        </top>
        <bottom style="thin">
          <color rgb="FF800000"/>
        </bottom>
      </border>
    </dxf>
    <dxf>
      <font>
        <color rgb="FF9C6500"/>
      </font>
      <fill>
        <patternFill>
          <bgColor rgb="FFFFEB9C"/>
        </patternFill>
      </fill>
    </dxf>
    <dxf>
      <font>
        <color rgb="FF9C0006"/>
      </font>
      <fill>
        <patternFill>
          <bgColor rgb="FFFFC7CE"/>
        </patternFill>
      </fill>
    </dxf>
    <dxf>
      <font>
        <color rgb="FFFF0000"/>
      </font>
      <border>
        <left style="thin">
          <color rgb="FFFF0000"/>
        </left>
        <right style="thin">
          <color rgb="FFFF0000"/>
        </right>
        <top style="thin">
          <color rgb="FFFF0000"/>
        </top>
        <bottom style="thin">
          <color rgb="FFFF0000"/>
        </bottom>
      </border>
    </dxf>
    <dxf>
      <font>
        <color rgb="FF9C6500"/>
      </font>
      <fill>
        <patternFill>
          <bgColor rgb="FFFFEB9C"/>
        </patternFill>
      </fill>
    </dxf>
    <dxf>
      <font>
        <color theme="1"/>
      </font>
      <fill>
        <patternFill patternType="solid">
          <fgColor indexed="64"/>
          <bgColor rgb="FFFF0000"/>
        </patternFill>
      </fill>
      <border>
        <left style="thin">
          <color rgb="FF800000"/>
        </left>
        <right style="thin">
          <color rgb="FF800000"/>
        </right>
        <top style="thin">
          <color rgb="FF800000"/>
        </top>
        <bottom style="thin">
          <color rgb="FF800000"/>
        </bottom>
      </border>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2"/>
  <sheetViews>
    <sheetView zoomScale="125" zoomScaleNormal="125" zoomScalePageLayoutView="125" workbookViewId="0">
      <pane xSplit="2" ySplit="5" topLeftCell="C6" activePane="bottomRight" state="frozen"/>
      <selection activeCell="E9" sqref="E9"/>
      <selection pane="topRight" activeCell="E9" sqref="E9"/>
      <selection pane="bottomLeft" activeCell="E9" sqref="E9"/>
      <selection pane="bottomRight" activeCell="E15" sqref="E15"/>
    </sheetView>
  </sheetViews>
  <sheetFormatPr defaultColWidth="11" defaultRowHeight="15.75"/>
  <cols>
    <col min="1" max="1" width="16.75" customWidth="1"/>
    <col min="2" max="2" width="13.75" customWidth="1"/>
    <col min="4" max="4" width="11.75" bestFit="1" customWidth="1"/>
    <col min="5" max="5" width="11" bestFit="1" customWidth="1"/>
    <col min="10" max="10" width="11.75" bestFit="1" customWidth="1"/>
    <col min="11" max="11" width="14" customWidth="1"/>
    <col min="12" max="12" width="13" bestFit="1" customWidth="1"/>
    <col min="13" max="13" width="12.75" bestFit="1" customWidth="1"/>
    <col min="14" max="14" width="12" bestFit="1" customWidth="1"/>
    <col min="15" max="15" width="12.75" bestFit="1" customWidth="1"/>
    <col min="16" max="16" width="15" customWidth="1"/>
    <col min="18" max="18" width="18.25" customWidth="1"/>
  </cols>
  <sheetData>
    <row r="1" spans="1:20">
      <c r="A1" t="s">
        <v>201</v>
      </c>
    </row>
    <row r="2" spans="1:20">
      <c r="A2" t="s">
        <v>200</v>
      </c>
      <c r="O2" s="2"/>
      <c r="Q2" s="2"/>
    </row>
    <row r="3" spans="1:20">
      <c r="O3" s="2"/>
      <c r="Q3" s="2"/>
    </row>
    <row r="4" spans="1:20" ht="18">
      <c r="A4" s="2" t="s">
        <v>73</v>
      </c>
      <c r="B4" s="2" t="s">
        <v>112</v>
      </c>
      <c r="C4" s="2" t="s">
        <v>145</v>
      </c>
      <c r="D4" s="2" t="s">
        <v>71</v>
      </c>
      <c r="E4" s="2" t="s">
        <v>146</v>
      </c>
      <c r="F4" s="2" t="s">
        <v>71</v>
      </c>
      <c r="G4" s="2" t="s">
        <v>147</v>
      </c>
      <c r="H4" s="2" t="s">
        <v>71</v>
      </c>
      <c r="I4" s="2" t="s">
        <v>148</v>
      </c>
      <c r="J4" s="2" t="s">
        <v>71</v>
      </c>
      <c r="K4" s="2" t="s">
        <v>149</v>
      </c>
      <c r="L4" s="2" t="s">
        <v>71</v>
      </c>
      <c r="M4" s="2" t="s">
        <v>159</v>
      </c>
      <c r="N4" s="2" t="s">
        <v>71</v>
      </c>
      <c r="O4" s="2" t="s">
        <v>159</v>
      </c>
      <c r="P4" s="2" t="s">
        <v>71</v>
      </c>
      <c r="Q4" s="2" t="s">
        <v>150</v>
      </c>
      <c r="R4" s="2" t="s">
        <v>71</v>
      </c>
      <c r="S4" s="2" t="s">
        <v>276</v>
      </c>
      <c r="T4" s="2" t="s">
        <v>71</v>
      </c>
    </row>
    <row r="5" spans="1:20" ht="18">
      <c r="A5" s="2"/>
      <c r="B5" s="2"/>
      <c r="C5" s="2" t="s">
        <v>156</v>
      </c>
      <c r="D5" s="2"/>
      <c r="E5" s="2" t="s">
        <v>157</v>
      </c>
      <c r="F5" s="2"/>
      <c r="G5" s="2" t="s">
        <v>158</v>
      </c>
      <c r="H5" s="2"/>
      <c r="I5" s="2" t="s">
        <v>93</v>
      </c>
      <c r="J5" s="2"/>
      <c r="K5" s="2" t="s">
        <v>94</v>
      </c>
      <c r="L5" s="2"/>
      <c r="M5" s="2" t="s">
        <v>160</v>
      </c>
      <c r="N5" s="2"/>
      <c r="O5" s="2" t="s">
        <v>162</v>
      </c>
      <c r="P5" s="2"/>
      <c r="Q5" s="2" t="s">
        <v>163</v>
      </c>
      <c r="R5" s="2"/>
      <c r="S5" s="2" t="s">
        <v>277</v>
      </c>
      <c r="T5" s="2"/>
    </row>
    <row r="6" spans="1:20">
      <c r="A6" s="2" t="str">
        <f>'U-Th data'!A28</f>
        <v>AB11-2A (138mm)</v>
      </c>
      <c r="B6" s="2">
        <f>'U-Th data'!B28</f>
        <v>0</v>
      </c>
      <c r="C6" s="94">
        <f>'U-Th data'!C28</f>
        <v>416.32574659683348</v>
      </c>
      <c r="D6" s="95">
        <f>'U-Th data'!D28</f>
        <v>8.3265421575736802</v>
      </c>
      <c r="E6" s="95">
        <f>'U-Th data'!E28</f>
        <v>3191.1871787889536</v>
      </c>
      <c r="F6" s="95">
        <f>'U-Th data'!F28</f>
        <v>65.023237727116665</v>
      </c>
      <c r="G6" s="95">
        <f>'U-Th data'!G28</f>
        <v>3.4405763331404327</v>
      </c>
      <c r="H6" s="95">
        <f>'U-Th data'!H28</f>
        <v>2.2191951826005436</v>
      </c>
      <c r="I6" s="96">
        <f>'U-Th data'!I28</f>
        <v>3.7676264629100432E-2</v>
      </c>
      <c r="J6" s="97">
        <f>'U-Th data'!J28</f>
        <v>4.0516313960534448E-4</v>
      </c>
      <c r="K6" s="95">
        <f>'U-Th data'!K28</f>
        <v>78.041698690217558</v>
      </c>
      <c r="L6" s="95">
        <f>'U-Th data'!L28</f>
        <v>0.88008107688859427</v>
      </c>
      <c r="M6" s="50">
        <f>'U-Th data'!M28</f>
        <v>4173.0515971559498</v>
      </c>
      <c r="N6" s="50">
        <f>'U-Th data'!N28</f>
        <v>46.713283384010801</v>
      </c>
      <c r="O6" s="50">
        <f>'U-Th data'!O28</f>
        <v>3941.8556489437201</v>
      </c>
      <c r="P6" s="50">
        <f>'U-Th data'!P28</f>
        <v>124.755409514365</v>
      </c>
      <c r="Q6" s="50">
        <f>'U-Th data'!Q28</f>
        <v>3.4794919090070899</v>
      </c>
      <c r="R6" s="50">
        <f>'U-Th data'!R28</f>
        <v>2.2438226378828401</v>
      </c>
      <c r="S6" s="50">
        <f>'U-Th data'!S28</f>
        <v>3876.8</v>
      </c>
      <c r="T6" s="50">
        <f>'U-Th data'!T28</f>
        <v>124.8</v>
      </c>
    </row>
    <row r="7" spans="1:20">
      <c r="A7" s="2" t="str">
        <f>'U-Th data'!A29</f>
        <v>AB11-2B (270mm)</v>
      </c>
      <c r="B7" s="2">
        <f>'U-Th data'!B29</f>
        <v>0</v>
      </c>
      <c r="C7" s="94">
        <f>'U-Th data'!C29</f>
        <v>1563.812634737817</v>
      </c>
      <c r="D7" s="95">
        <f>'U-Th data'!D29</f>
        <v>31.278703855227462</v>
      </c>
      <c r="E7" s="95">
        <f>'U-Th data'!E29</f>
        <v>1803.9543376799854</v>
      </c>
      <c r="F7" s="95">
        <f>'U-Th data'!F29</f>
        <v>38.275009968764493</v>
      </c>
      <c r="G7" s="95">
        <f>'U-Th data'!G29</f>
        <v>5.3433384790551042</v>
      </c>
      <c r="H7" s="95">
        <f>'U-Th data'!H29</f>
        <v>2.3116792563021837</v>
      </c>
      <c r="I7" s="96">
        <f>'U-Th data'!I29</f>
        <v>4.3925341032340623E-2</v>
      </c>
      <c r="J7" s="97">
        <f>'U-Th data'!J29</f>
        <v>2.428870292730464E-4</v>
      </c>
      <c r="K7" s="95">
        <f>'U-Th data'!K29</f>
        <v>604.57781055239286</v>
      </c>
      <c r="L7" s="95">
        <f>'U-Th data'!L29</f>
        <v>5.3034361229445519</v>
      </c>
      <c r="M7" s="50">
        <f>'U-Th data'!M29</f>
        <v>4871.3828339945303</v>
      </c>
      <c r="N7" s="50">
        <f>'U-Th data'!N29</f>
        <v>29.864201577442898</v>
      </c>
      <c r="O7" s="50">
        <f>'U-Th data'!O29</f>
        <v>4836.7059817477602</v>
      </c>
      <c r="P7" s="50">
        <f>'U-Th data'!P29</f>
        <v>34.506950677144197</v>
      </c>
      <c r="Q7" s="50">
        <f>'U-Th data'!Q29</f>
        <v>5.4164291366919599</v>
      </c>
      <c r="R7" s="50">
        <f>'U-Th data'!R29</f>
        <v>2.3437739998424498</v>
      </c>
      <c r="S7" s="50">
        <f>'U-Th data'!S29</f>
        <v>4771.7</v>
      </c>
      <c r="T7" s="50">
        <f>'U-Th data'!T29</f>
        <v>34.5</v>
      </c>
    </row>
    <row r="8" spans="1:20">
      <c r="A8" s="2" t="str">
        <f>'U-Th data'!A30</f>
        <v>AB13-2A (34mm)</v>
      </c>
      <c r="B8" s="2">
        <f>'U-Th data'!B30</f>
        <v>0</v>
      </c>
      <c r="C8" s="94">
        <f>'U-Th data'!C30</f>
        <v>1450.4132183463273</v>
      </c>
      <c r="D8" s="95">
        <f>'U-Th data'!D30</f>
        <v>29.009345469079371</v>
      </c>
      <c r="E8" s="95">
        <f>'U-Th data'!E30</f>
        <v>2879.605822121342</v>
      </c>
      <c r="F8" s="95">
        <f>'U-Th data'!F30</f>
        <v>59.089326249682429</v>
      </c>
      <c r="G8" s="95">
        <f>'U-Th data'!G30</f>
        <v>7.2264634081136148</v>
      </c>
      <c r="H8" s="95">
        <f>'U-Th data'!H30</f>
        <v>1.9980405984698817</v>
      </c>
      <c r="I8" s="96">
        <f>'U-Th data'!I30</f>
        <v>2.8516248786233468E-2</v>
      </c>
      <c r="J8" s="97">
        <f>'U-Th data'!J30</f>
        <v>2.3196034117789672E-4</v>
      </c>
      <c r="K8" s="95">
        <f>'U-Th data'!K30</f>
        <v>228.04942693253361</v>
      </c>
      <c r="L8" s="95">
        <f>'U-Th data'!L30</f>
        <v>2.0852008151780996</v>
      </c>
      <c r="M8" s="50">
        <f>'U-Th data'!M30</f>
        <v>3131.6650083582399</v>
      </c>
      <c r="N8" s="50">
        <f>'U-Th data'!N30</f>
        <v>26.6065286248711</v>
      </c>
      <c r="O8" s="50">
        <f>'U-Th data'!O30</f>
        <v>3072.0876068622802</v>
      </c>
      <c r="P8" s="50">
        <f>'U-Th data'!P30</f>
        <v>39.928267734383297</v>
      </c>
      <c r="Q8" s="50">
        <f>'U-Th data'!Q30</f>
        <v>7.2889189896090496</v>
      </c>
      <c r="R8" s="50">
        <f>'U-Th data'!R30</f>
        <v>2.0153973637679599</v>
      </c>
      <c r="S8" s="50">
        <f>'U-Th data'!S30</f>
        <v>3007</v>
      </c>
      <c r="T8" s="50">
        <f>'U-Th data'!T30</f>
        <v>39.9</v>
      </c>
    </row>
    <row r="9" spans="1:20">
      <c r="A9" s="2" t="str">
        <f>'U-Th data'!A31</f>
        <v>AB13-2B (85.5mm)</v>
      </c>
      <c r="B9" s="2">
        <f>'U-Th data'!B31</f>
        <v>0</v>
      </c>
      <c r="C9" s="94">
        <f>'U-Th data'!C31</f>
        <v>2061.2099939421582</v>
      </c>
      <c r="D9" s="95">
        <f>'U-Th data'!D31</f>
        <v>41.240038106581856</v>
      </c>
      <c r="E9" s="95">
        <f>'U-Th data'!E31</f>
        <v>1957.9829278411405</v>
      </c>
      <c r="F9" s="95">
        <f>'U-Th data'!F31</f>
        <v>40.710092102926595</v>
      </c>
      <c r="G9" s="95">
        <f>'U-Th data'!G31</f>
        <v>6.5116719449600513</v>
      </c>
      <c r="H9" s="95">
        <f>'U-Th data'!H31</f>
        <v>1.9438115009939587</v>
      </c>
      <c r="I9" s="96">
        <f>'U-Th data'!I31</f>
        <v>3.2039590341385427E-2</v>
      </c>
      <c r="J9" s="97">
        <f>'U-Th data'!J31</f>
        <v>1.7848498406621455E-4</v>
      </c>
      <c r="K9" s="95">
        <f>'U-Th data'!K31</f>
        <v>535.52306105753178</v>
      </c>
      <c r="L9" s="95">
        <f>'U-Th data'!L31</f>
        <v>4.1294742574254473</v>
      </c>
      <c r="M9" s="50">
        <f>'U-Th data'!M31</f>
        <v>3527.53443434063</v>
      </c>
      <c r="N9" s="50">
        <f>'U-Th data'!N31</f>
        <v>21.148479647350999</v>
      </c>
      <c r="O9" s="50">
        <f>'U-Th data'!O31</f>
        <v>3499.0120800527402</v>
      </c>
      <c r="P9" s="50">
        <f>'U-Th data'!P31</f>
        <v>25.493565755712002</v>
      </c>
      <c r="Q9" s="50">
        <f>'U-Th data'!Q31</f>
        <v>6.5766207575138296</v>
      </c>
      <c r="R9" s="50">
        <f>'U-Th data'!R31</f>
        <v>1.9632910202546101</v>
      </c>
      <c r="S9" s="50">
        <f>'U-Th data'!S31</f>
        <v>3434</v>
      </c>
      <c r="T9" s="50">
        <f>'U-Th data'!T31</f>
        <v>25.5</v>
      </c>
    </row>
    <row r="10" spans="1:20">
      <c r="A10" s="2" t="str">
        <f>'U-Th data'!A32</f>
        <v>AB13-2C (130mm)</v>
      </c>
      <c r="B10" s="2">
        <f>'U-Th data'!B32</f>
        <v>0</v>
      </c>
      <c r="C10" s="94">
        <f>'U-Th data'!C32</f>
        <v>1591.0379244750909</v>
      </c>
      <c r="D10" s="95">
        <f>'U-Th data'!D32</f>
        <v>31.822805741327869</v>
      </c>
      <c r="E10" s="95">
        <f>'U-Th data'!E32</f>
        <v>231.09666640946742</v>
      </c>
      <c r="F10" s="95">
        <f>'U-Th data'!F32</f>
        <v>13.392593833606737</v>
      </c>
      <c r="G10" s="95">
        <f>'U-Th data'!G32</f>
        <v>6.9188878356967187</v>
      </c>
      <c r="H10" s="95">
        <f>'U-Th data'!H32</f>
        <v>1.8154838020258512</v>
      </c>
      <c r="I10" s="96">
        <f>'U-Th data'!I32</f>
        <v>3.3075723338131136E-2</v>
      </c>
      <c r="J10" s="97">
        <f>'U-Th data'!J32</f>
        <v>2.023676132057314E-4</v>
      </c>
      <c r="K10" s="95">
        <f>'U-Th data'!K32</f>
        <v>3615.5476181455379</v>
      </c>
      <c r="L10" s="95">
        <f>'U-Th data'!L32</f>
        <v>197.77516523861883</v>
      </c>
      <c r="M10" s="50">
        <f>'U-Th data'!M32</f>
        <v>3642.0133349121302</v>
      </c>
      <c r="N10" s="50">
        <f>'U-Th data'!N32</f>
        <v>23.631048918245099</v>
      </c>
      <c r="O10" s="50">
        <f>'U-Th data'!O32</f>
        <v>3637.65439723707</v>
      </c>
      <c r="P10" s="50">
        <f>'U-Th data'!P32</f>
        <v>23.729104249121999</v>
      </c>
      <c r="Q10" s="50">
        <f>'U-Th data'!Q32</f>
        <v>6.9903940600492804</v>
      </c>
      <c r="R10" s="50">
        <f>'U-Th data'!R32</f>
        <v>1.83372823130646</v>
      </c>
      <c r="S10" s="50">
        <f>'U-Th data'!S32</f>
        <v>3572.6</v>
      </c>
      <c r="T10" s="50">
        <f>'U-Th data'!T32</f>
        <v>23.7</v>
      </c>
    </row>
    <row r="11" spans="1:20">
      <c r="A11" s="2" t="str">
        <f>'U-Th data'!A33</f>
        <v>AB13-2D (177mm)</v>
      </c>
      <c r="B11" s="2">
        <f>'U-Th data'!B33</f>
        <v>0</v>
      </c>
      <c r="C11" s="94">
        <f>'U-Th data'!C33</f>
        <v>1570.6005827923473</v>
      </c>
      <c r="D11" s="95">
        <f>'U-Th data'!D33</f>
        <v>31.415625512110235</v>
      </c>
      <c r="E11" s="95">
        <f>'U-Th data'!E33</f>
        <v>110.93790784803356</v>
      </c>
      <c r="F11" s="95">
        <f>'U-Th data'!F33</f>
        <v>11.314848885535666</v>
      </c>
      <c r="G11" s="95">
        <f>'U-Th data'!G33</f>
        <v>5.3027049107017277</v>
      </c>
      <c r="H11" s="95">
        <f>'U-Th data'!H33</f>
        <v>2.1810141115063209</v>
      </c>
      <c r="I11" s="96">
        <f>'U-Th data'!I33</f>
        <v>3.4988479044725525E-2</v>
      </c>
      <c r="J11" s="97">
        <f>'U-Th data'!J33</f>
        <v>1.8655412570066948E-4</v>
      </c>
      <c r="K11" s="95">
        <f>'U-Th data'!K33</f>
        <v>7864.818978658398</v>
      </c>
      <c r="L11" s="95">
        <f>'U-Th data'!L33</f>
        <v>787.5449302785828</v>
      </c>
      <c r="M11" s="50">
        <f>'U-Th data'!M33</f>
        <v>3862.64598425951</v>
      </c>
      <c r="N11" s="50">
        <f>'U-Th data'!N33</f>
        <v>22.649872180560902</v>
      </c>
      <c r="O11" s="50">
        <f>'U-Th data'!O33</f>
        <v>3860.5228752325702</v>
      </c>
      <c r="P11" s="50">
        <f>'U-Th data'!P33</f>
        <v>22.672975488010099</v>
      </c>
      <c r="Q11" s="50">
        <f>'U-Th data'!Q33</f>
        <v>5.3610900682095997</v>
      </c>
      <c r="R11" s="50">
        <f>'U-Th data'!R33</f>
        <v>2.2048911145145902</v>
      </c>
      <c r="S11" s="50">
        <f>'U-Th data'!S33</f>
        <v>3795.5</v>
      </c>
      <c r="T11" s="50">
        <f>'U-Th data'!T33</f>
        <v>22.7</v>
      </c>
    </row>
    <row r="12" spans="1:20">
      <c r="A12" s="2" t="str">
        <f>'U-Th data'!A34</f>
        <v>AB13-2E (229mm)</v>
      </c>
      <c r="B12" s="2">
        <f>'U-Th data'!B34</f>
        <v>0</v>
      </c>
      <c r="C12" s="94">
        <f>'U-Th data'!C34</f>
        <v>2020.1583560216438</v>
      </c>
      <c r="D12" s="95">
        <f>'U-Th data'!D34</f>
        <v>40.407606394081597</v>
      </c>
      <c r="E12" s="95">
        <f>'U-Th data'!E34</f>
        <v>178.65290169504181</v>
      </c>
      <c r="F12" s="95">
        <f>'U-Th data'!F34</f>
        <v>13.543373452634905</v>
      </c>
      <c r="G12" s="95">
        <f>'U-Th data'!G34</f>
        <v>5.5351552234010892</v>
      </c>
      <c r="H12" s="95">
        <f>'U-Th data'!H34</f>
        <v>2.1008351604809024</v>
      </c>
      <c r="I12" s="96">
        <f>'U-Th data'!I34</f>
        <v>3.7575591553279483E-2</v>
      </c>
      <c r="J12" s="97">
        <f>'U-Th data'!J34</f>
        <v>1.6725355408808902E-4</v>
      </c>
      <c r="K12" s="95">
        <f>'U-Th data'!K34</f>
        <v>6746.1974847515557</v>
      </c>
      <c r="L12" s="95">
        <f>'U-Th data'!L34</f>
        <v>494.0413753681683</v>
      </c>
      <c r="M12" s="50">
        <f>'U-Th data'!M34</f>
        <v>4152.8765133385496</v>
      </c>
      <c r="N12" s="50">
        <f>'U-Th data'!N34</f>
        <v>20.834780706661601</v>
      </c>
      <c r="O12" s="50">
        <f>'U-Th data'!O34</f>
        <v>4150.2189111198404</v>
      </c>
      <c r="P12" s="50">
        <f>'U-Th data'!P34</f>
        <v>20.874720541051399</v>
      </c>
      <c r="Q12" s="50">
        <f>'U-Th data'!Q34</f>
        <v>5.60020796098026</v>
      </c>
      <c r="R12" s="50">
        <f>'U-Th data'!R34</f>
        <v>2.1257519544208798</v>
      </c>
      <c r="S12" s="50">
        <f>'U-Th data'!S34</f>
        <v>4085.2</v>
      </c>
      <c r="T12" s="50">
        <f>'U-Th data'!T34</f>
        <v>20.9</v>
      </c>
    </row>
    <row r="13" spans="1:20">
      <c r="A13" s="2" t="str">
        <f>'U-Th data'!A35</f>
        <v>AB13-2F (265mm)</v>
      </c>
      <c r="B13" s="2">
        <f>'U-Th data'!B35</f>
        <v>0</v>
      </c>
      <c r="C13" s="94">
        <f>'U-Th data'!C35</f>
        <v>1560.7662649234308</v>
      </c>
      <c r="D13" s="95">
        <f>'U-Th data'!D35</f>
        <v>31.218237255380352</v>
      </c>
      <c r="E13" s="95">
        <f>'U-Th data'!E35</f>
        <v>958.86405111154204</v>
      </c>
      <c r="F13" s="95">
        <f>'U-Th data'!F35</f>
        <v>22.450637248930946</v>
      </c>
      <c r="G13" s="95">
        <f>'U-Th data'!G35</f>
        <v>5.8336317754439371</v>
      </c>
      <c r="H13" s="95">
        <f>'U-Th data'!H35</f>
        <v>2.2376313436668234</v>
      </c>
      <c r="I13" s="96">
        <f>'U-Th data'!I35</f>
        <v>3.9943640119438101E-2</v>
      </c>
      <c r="J13" s="97">
        <f>'U-Th data'!J35</f>
        <v>2.1874867884151989E-4</v>
      </c>
      <c r="K13" s="95">
        <f>'U-Th data'!K35</f>
        <v>1032.3010214372712</v>
      </c>
      <c r="L13" s="95">
        <f>'U-Th data'!L35</f>
        <v>13.635895334061489</v>
      </c>
      <c r="M13" s="50">
        <f>'U-Th data'!M35</f>
        <v>4418.6021618292498</v>
      </c>
      <c r="N13" s="50">
        <f>'U-Th data'!N35</f>
        <v>26.677943259689101</v>
      </c>
      <c r="O13" s="50">
        <f>'U-Th data'!O35</f>
        <v>4400.14422122822</v>
      </c>
      <c r="P13" s="50">
        <f>'U-Th data'!P35</f>
        <v>28.214598687752499</v>
      </c>
      <c r="Q13" s="50">
        <f>'U-Th data'!Q35</f>
        <v>5.9068951760251602</v>
      </c>
      <c r="R13" s="50">
        <f>'U-Th data'!R35</f>
        <v>2.2659636079392902</v>
      </c>
      <c r="S13" s="50">
        <f>'U-Th data'!S35</f>
        <v>4335.1000000000004</v>
      </c>
      <c r="T13" s="50">
        <f>'U-Th data'!T35</f>
        <v>28.2</v>
      </c>
    </row>
    <row r="14" spans="1:20">
      <c r="A14" s="2" t="str">
        <f>'U-Th data'!A36</f>
        <v>CC5A</v>
      </c>
      <c r="B14" s="2">
        <f>'U-Th data'!B36</f>
        <v>0</v>
      </c>
      <c r="C14" s="94">
        <f>'U-Th data'!C36</f>
        <v>13993.072510266404</v>
      </c>
      <c r="D14" s="95">
        <f>'U-Th data'!D36</f>
        <v>279.86203667662051</v>
      </c>
      <c r="E14" s="95">
        <f>'U-Th data'!E36</f>
        <v>40939.62214223991</v>
      </c>
      <c r="F14" s="95">
        <f>'U-Th data'!F36</f>
        <v>859.37776051626156</v>
      </c>
      <c r="G14" s="95">
        <f>'U-Th data'!G36</f>
        <v>921.34988629036661</v>
      </c>
      <c r="H14" s="95">
        <f>'U-Th data'!H36</f>
        <v>1.7322121072071275</v>
      </c>
      <c r="I14" s="96">
        <f>'U-Th data'!I36</f>
        <v>0.34401308911190492</v>
      </c>
      <c r="J14" s="97">
        <f>'U-Th data'!J36</f>
        <v>1.3676167916964362E-3</v>
      </c>
      <c r="K14" s="95">
        <f>'U-Th data'!K36</f>
        <v>1866.9045141954823</v>
      </c>
      <c r="L14" s="95">
        <f>'U-Th data'!L36</f>
        <v>13.575516235650376</v>
      </c>
      <c r="M14" s="50">
        <f>'U-Th data'!M36</f>
        <v>21182.307424105202</v>
      </c>
      <c r="N14" s="50">
        <f>'U-Th data'!N36</f>
        <v>93.949843357785795</v>
      </c>
      <c r="O14" s="50">
        <f>'U-Th data'!O36</f>
        <v>21137.601447060501</v>
      </c>
      <c r="P14" s="50">
        <f>'U-Th data'!P36</f>
        <v>96.570267924204103</v>
      </c>
      <c r="Q14" s="50">
        <f>ROUND('U-Th data'!Q36,1-(1+INT(LOG10(ABS('U-Th data'!R36/2)))))</f>
        <v>978</v>
      </c>
      <c r="R14" s="50">
        <f>'U-Th data'!R36</f>
        <v>1.8576819325231</v>
      </c>
      <c r="S14" s="50">
        <f>'U-Th data'!S36</f>
        <v>21072.6</v>
      </c>
      <c r="T14" s="50">
        <f>'U-Th data'!T36</f>
        <v>96.6</v>
      </c>
    </row>
    <row r="15" spans="1:20">
      <c r="A15" s="2"/>
      <c r="B15" s="2"/>
      <c r="C15" s="2"/>
      <c r="D15" s="2"/>
      <c r="E15" s="2"/>
      <c r="F15" s="2"/>
      <c r="G15" s="2"/>
      <c r="H15" s="2"/>
      <c r="I15" s="2"/>
      <c r="J15" s="2"/>
      <c r="K15" s="2"/>
      <c r="L15" s="2"/>
      <c r="M15" s="2"/>
      <c r="N15" s="2"/>
      <c r="O15" s="2"/>
      <c r="P15" s="2"/>
      <c r="Q15" s="2"/>
      <c r="R15" s="2"/>
      <c r="S15" s="2"/>
      <c r="T15" s="2"/>
    </row>
    <row r="16" spans="1:20">
      <c r="A16" s="2"/>
      <c r="B16" s="2"/>
      <c r="C16" s="2"/>
      <c r="D16" s="2"/>
      <c r="E16" s="2"/>
      <c r="F16" s="2"/>
      <c r="G16" s="2"/>
      <c r="H16" s="2"/>
      <c r="I16" s="2"/>
      <c r="J16" s="2"/>
      <c r="K16" s="2"/>
      <c r="L16" s="2"/>
      <c r="M16" s="2"/>
      <c r="N16" s="2"/>
      <c r="O16" s="2"/>
      <c r="P16" s="2"/>
      <c r="Q16" s="2"/>
      <c r="R16" s="2"/>
      <c r="S16" s="2"/>
      <c r="T16" s="2"/>
    </row>
    <row r="17" spans="1:20">
      <c r="A17" s="2"/>
      <c r="B17" s="2"/>
      <c r="C17" s="2"/>
      <c r="D17" s="2"/>
      <c r="E17" s="2"/>
      <c r="F17" s="2"/>
      <c r="G17" s="2"/>
      <c r="H17" s="2"/>
      <c r="I17" s="2"/>
      <c r="J17" s="2"/>
      <c r="K17" s="2"/>
      <c r="L17" s="2"/>
      <c r="M17" s="2"/>
      <c r="N17" s="2"/>
      <c r="O17" s="2"/>
      <c r="P17" s="2"/>
      <c r="Q17" s="2"/>
      <c r="R17" s="2"/>
      <c r="S17" s="2"/>
      <c r="T17" s="2"/>
    </row>
    <row r="18" spans="1:20">
      <c r="A18" s="2"/>
      <c r="B18" s="2"/>
      <c r="C18" s="2"/>
      <c r="D18" s="2"/>
      <c r="E18" s="2"/>
      <c r="F18" s="2"/>
      <c r="G18" s="2"/>
      <c r="H18" s="2"/>
      <c r="I18" s="2"/>
      <c r="J18" s="2"/>
      <c r="K18" s="2"/>
      <c r="L18" s="2"/>
      <c r="M18" s="2"/>
      <c r="N18" s="2"/>
      <c r="O18" s="2"/>
      <c r="P18" s="2"/>
      <c r="Q18" s="2"/>
      <c r="R18" s="2"/>
      <c r="S18" s="2"/>
      <c r="T18" s="2"/>
    </row>
    <row r="19" spans="1:20">
      <c r="A19" s="2"/>
      <c r="B19" s="2"/>
      <c r="C19" s="2"/>
      <c r="D19" s="2"/>
      <c r="E19" s="2"/>
      <c r="F19" s="2"/>
      <c r="G19" s="2"/>
      <c r="H19" s="2"/>
      <c r="I19" s="2"/>
      <c r="J19" s="2"/>
      <c r="K19" s="2"/>
      <c r="L19" s="2"/>
      <c r="M19" s="2"/>
      <c r="N19" s="2"/>
      <c r="O19" s="2"/>
      <c r="P19" s="2"/>
      <c r="Q19" s="2"/>
      <c r="R19" s="2"/>
      <c r="S19" s="2"/>
      <c r="T19" s="2"/>
    </row>
    <row r="20" spans="1:20">
      <c r="A20" s="2"/>
      <c r="B20" s="2"/>
      <c r="C20" s="2"/>
      <c r="D20" s="2"/>
      <c r="E20" s="2"/>
      <c r="F20" s="2"/>
      <c r="G20" s="2"/>
      <c r="H20" s="2"/>
      <c r="I20" s="2"/>
      <c r="J20" s="2"/>
      <c r="K20" s="2"/>
      <c r="L20" s="2"/>
      <c r="M20" s="2"/>
      <c r="N20" s="2"/>
      <c r="O20" s="2"/>
      <c r="P20" s="2"/>
      <c r="Q20" s="2"/>
      <c r="R20" s="2"/>
      <c r="S20" s="2"/>
      <c r="T20" s="2"/>
    </row>
    <row r="21" spans="1:20">
      <c r="A21" s="2"/>
      <c r="B21" s="2"/>
      <c r="C21" s="2"/>
      <c r="D21" s="2"/>
      <c r="E21" s="2"/>
      <c r="F21" s="2"/>
      <c r="G21" s="2"/>
      <c r="H21" s="2"/>
      <c r="I21" s="2"/>
      <c r="J21" s="2"/>
      <c r="K21" s="2"/>
      <c r="L21" s="2"/>
      <c r="M21" s="2"/>
      <c r="N21" s="2"/>
      <c r="O21" s="2"/>
      <c r="P21" s="2"/>
      <c r="Q21" s="2"/>
      <c r="R21" s="2"/>
      <c r="S21" s="2"/>
      <c r="T21" s="2"/>
    </row>
    <row r="22" spans="1:20">
      <c r="A22" s="2"/>
      <c r="B22" s="2"/>
      <c r="C22" s="2"/>
      <c r="D22" s="2"/>
      <c r="E22" s="2"/>
      <c r="F22" s="2"/>
      <c r="G22" s="2"/>
      <c r="H22" s="2"/>
      <c r="I22" s="2"/>
      <c r="J22" s="2"/>
      <c r="K22" s="2"/>
      <c r="L22" s="2"/>
      <c r="M22" s="2"/>
      <c r="N22" s="2"/>
      <c r="O22" s="2"/>
      <c r="P22" s="2"/>
      <c r="Q22" s="2"/>
      <c r="R22" s="2"/>
      <c r="S22" s="2"/>
      <c r="T22" s="2"/>
    </row>
    <row r="23" spans="1:20">
      <c r="A23" s="2"/>
      <c r="B23" s="2"/>
      <c r="C23" s="2"/>
      <c r="D23" s="2"/>
      <c r="E23" s="2"/>
      <c r="F23" s="2"/>
      <c r="G23" s="2"/>
      <c r="H23" s="2"/>
      <c r="I23" s="2"/>
      <c r="J23" s="2"/>
      <c r="K23" s="2"/>
      <c r="L23" s="2"/>
      <c r="M23" s="2"/>
      <c r="N23" s="2"/>
      <c r="O23" s="2"/>
      <c r="P23" s="2"/>
      <c r="Q23" s="2"/>
      <c r="R23" s="2"/>
      <c r="S23" s="2"/>
      <c r="T23" s="2"/>
    </row>
    <row r="24" spans="1:20">
      <c r="A24" s="2"/>
      <c r="B24" s="2"/>
      <c r="C24" s="2"/>
      <c r="D24" s="2"/>
      <c r="E24" s="2"/>
      <c r="F24" s="2"/>
      <c r="G24" s="2"/>
      <c r="H24" s="2"/>
      <c r="I24" s="2"/>
      <c r="J24" s="2"/>
      <c r="K24" s="2"/>
      <c r="L24" s="2"/>
      <c r="M24" s="2"/>
      <c r="N24" s="2"/>
      <c r="O24" s="2"/>
      <c r="P24" s="2"/>
      <c r="Q24" s="2"/>
      <c r="R24" s="2"/>
      <c r="S24" s="2"/>
      <c r="T24" s="2"/>
    </row>
    <row r="25" spans="1:20">
      <c r="A25" t="s">
        <v>114</v>
      </c>
      <c r="B25" s="51"/>
      <c r="C25" s="38"/>
      <c r="D25" s="38"/>
      <c r="E25" s="39"/>
      <c r="F25" s="39"/>
      <c r="G25" s="38"/>
      <c r="H25" s="38"/>
      <c r="I25" s="54"/>
      <c r="J25" s="54"/>
      <c r="K25" s="37"/>
      <c r="L25" s="37"/>
      <c r="M25" s="39"/>
      <c r="N25" s="39"/>
      <c r="O25" s="39"/>
      <c r="P25" s="39"/>
      <c r="S25" s="38"/>
      <c r="T25" s="38"/>
    </row>
    <row r="26" spans="1:20">
      <c r="A26" s="71" t="s">
        <v>155</v>
      </c>
      <c r="B26" s="51"/>
      <c r="C26" s="38"/>
      <c r="D26" s="38"/>
      <c r="E26" s="39"/>
      <c r="F26" s="39"/>
      <c r="G26" s="38"/>
      <c r="H26" s="38"/>
      <c r="I26" s="54"/>
      <c r="J26" s="54"/>
      <c r="K26" s="37"/>
      <c r="L26" s="37"/>
      <c r="M26" s="39"/>
      <c r="N26" s="39"/>
      <c r="O26" s="39"/>
      <c r="P26" s="39"/>
      <c r="S26" s="38"/>
      <c r="T26" s="38"/>
    </row>
    <row r="27" spans="1:20">
      <c r="A27" s="68" t="s">
        <v>152</v>
      </c>
      <c r="B27" s="51"/>
      <c r="C27" s="38"/>
      <c r="D27" s="38"/>
      <c r="E27" s="39"/>
      <c r="F27" s="39"/>
      <c r="G27" s="38"/>
      <c r="H27" s="38"/>
      <c r="I27" s="54"/>
      <c r="J27" s="54"/>
      <c r="K27" s="37"/>
      <c r="L27" s="37"/>
      <c r="M27" s="39"/>
      <c r="N27" s="39"/>
      <c r="O27" s="39"/>
      <c r="P27" s="39"/>
    </row>
    <row r="28" spans="1:20" ht="16.149999999999999">
      <c r="A28" s="68" t="s">
        <v>161</v>
      </c>
      <c r="B28" s="51"/>
      <c r="C28" s="38"/>
      <c r="D28" s="38"/>
      <c r="E28" s="39"/>
      <c r="F28" s="39"/>
      <c r="G28" s="38"/>
      <c r="H28" s="38"/>
      <c r="I28" s="54"/>
      <c r="J28" s="54"/>
      <c r="K28" s="37"/>
      <c r="L28" s="37"/>
      <c r="M28" s="39"/>
      <c r="N28" s="39"/>
      <c r="O28" s="39"/>
      <c r="P28" s="39"/>
    </row>
    <row r="29" spans="1:20">
      <c r="A29" s="68" t="s">
        <v>202</v>
      </c>
      <c r="B29" s="51"/>
      <c r="C29" s="38"/>
      <c r="D29" s="38"/>
      <c r="E29" s="39"/>
      <c r="F29" s="39"/>
      <c r="G29" s="38"/>
      <c r="H29" s="38"/>
      <c r="I29" s="54"/>
      <c r="J29" s="54"/>
      <c r="K29" s="37"/>
      <c r="L29" s="37"/>
      <c r="M29" s="39"/>
      <c r="N29" s="39"/>
      <c r="O29" s="39"/>
      <c r="P29" s="39"/>
    </row>
    <row r="30" spans="1:20" ht="16.149999999999999">
      <c r="A30" s="68" t="s">
        <v>153</v>
      </c>
      <c r="B30" s="51"/>
      <c r="C30" s="38"/>
      <c r="D30" s="38"/>
      <c r="E30" s="39"/>
      <c r="F30" s="39"/>
      <c r="G30" s="38"/>
      <c r="H30" s="38"/>
      <c r="I30" s="54"/>
      <c r="J30" s="54"/>
      <c r="K30" s="37"/>
      <c r="L30" s="37"/>
      <c r="M30" s="39"/>
      <c r="N30" s="39"/>
      <c r="O30" s="39"/>
      <c r="P30" s="39"/>
    </row>
    <row r="31" spans="1:20">
      <c r="A31" s="69" t="s">
        <v>164</v>
      </c>
      <c r="B31" s="51"/>
      <c r="C31" s="38"/>
      <c r="D31" s="38"/>
      <c r="E31" s="39"/>
      <c r="F31" s="39"/>
      <c r="G31" s="38"/>
      <c r="H31" s="38"/>
      <c r="I31" s="54"/>
      <c r="J31" s="54"/>
      <c r="K31" s="37"/>
      <c r="L31" s="37"/>
      <c r="M31" s="39"/>
      <c r="N31" s="39"/>
      <c r="O31" s="39"/>
      <c r="P31" s="39"/>
    </row>
    <row r="32" spans="1:20">
      <c r="A32" s="70" t="s">
        <v>154</v>
      </c>
      <c r="B32" s="51"/>
      <c r="C32" s="38"/>
      <c r="D32" s="38"/>
      <c r="E32" s="39"/>
      <c r="F32" s="39"/>
      <c r="G32" s="38"/>
      <c r="H32" s="38"/>
      <c r="I32" s="54"/>
      <c r="J32" s="54"/>
      <c r="K32" s="37"/>
      <c r="L32" s="37"/>
      <c r="M32" s="39"/>
      <c r="N32" s="39"/>
      <c r="O32" s="39"/>
      <c r="P32" s="3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A65"/>
  <sheetViews>
    <sheetView tabSelected="1" topLeftCell="F1" workbookViewId="0">
      <selection activeCell="P4" sqref="P4"/>
    </sheetView>
  </sheetViews>
  <sheetFormatPr defaultColWidth="11" defaultRowHeight="15.75"/>
  <cols>
    <col min="1" max="1" width="23.75" customWidth="1"/>
    <col min="2" max="2" width="21.75" customWidth="1"/>
    <col min="3" max="3" width="20" customWidth="1"/>
    <col min="5" max="6" width="11" bestFit="1" customWidth="1"/>
    <col min="7" max="7" width="12.75" bestFit="1" customWidth="1"/>
    <col min="8" max="8" width="11" bestFit="1" customWidth="1"/>
    <col min="11" max="11" width="12.5" bestFit="1" customWidth="1"/>
    <col min="37" max="37" width="12.25" bestFit="1" customWidth="1"/>
    <col min="44" max="48" width="11" customWidth="1"/>
    <col min="49" max="49" width="12.25" customWidth="1"/>
    <col min="50" max="52" width="11" customWidth="1"/>
    <col min="53" max="53" width="11.25" customWidth="1"/>
    <col min="54" max="54" width="11" customWidth="1"/>
    <col min="55" max="55" width="12.25" customWidth="1"/>
    <col min="56" max="76" width="11" customWidth="1"/>
  </cols>
  <sheetData>
    <row r="1" spans="1:79">
      <c r="A1" s="43" t="s">
        <v>68</v>
      </c>
      <c r="B1" s="43" t="s">
        <v>68</v>
      </c>
      <c r="C1" s="43" t="s">
        <v>68</v>
      </c>
      <c r="D1" s="43" t="s">
        <v>68</v>
      </c>
      <c r="E1" s="43" t="s">
        <v>68</v>
      </c>
      <c r="F1" s="2" t="s">
        <v>97</v>
      </c>
      <c r="N1" s="2" t="s">
        <v>81</v>
      </c>
      <c r="R1" s="2" t="s">
        <v>63</v>
      </c>
      <c r="AE1" s="2" t="s">
        <v>67</v>
      </c>
      <c r="AS1" s="2" t="s">
        <v>72</v>
      </c>
      <c r="BE1" s="2" t="s">
        <v>264</v>
      </c>
      <c r="BR1" s="2" t="s">
        <v>265</v>
      </c>
      <c r="BY1" s="2" t="s">
        <v>268</v>
      </c>
    </row>
    <row r="2" spans="1:79">
      <c r="A2" s="41" t="s">
        <v>73</v>
      </c>
      <c r="B2" s="41" t="s">
        <v>69</v>
      </c>
      <c r="C2" s="40" t="s">
        <v>142</v>
      </c>
      <c r="D2" s="41" t="s">
        <v>76</v>
      </c>
      <c r="E2" s="41" t="s">
        <v>77</v>
      </c>
      <c r="N2" t="s">
        <v>49</v>
      </c>
      <c r="O2" t="s">
        <v>46</v>
      </c>
      <c r="P2" t="s">
        <v>38</v>
      </c>
      <c r="Q2" t="s">
        <v>25</v>
      </c>
      <c r="R2" t="s">
        <v>79</v>
      </c>
      <c r="U2" s="41"/>
      <c r="V2" s="40" t="s">
        <v>80</v>
      </c>
      <c r="AE2" s="40" t="s">
        <v>80</v>
      </c>
      <c r="BE2" s="99" t="s">
        <v>240</v>
      </c>
      <c r="BF2" s="99"/>
      <c r="BG2" s="99"/>
      <c r="BH2" s="99" t="s">
        <v>241</v>
      </c>
      <c r="BI2" s="99"/>
      <c r="BJ2" s="99"/>
      <c r="BK2" s="99" t="s">
        <v>247</v>
      </c>
      <c r="BL2" s="99"/>
      <c r="BM2" s="99"/>
      <c r="BN2" s="99" t="s">
        <v>248</v>
      </c>
      <c r="BO2" s="99"/>
      <c r="BP2" s="99"/>
      <c r="BQ2" s="83"/>
      <c r="BR2" s="99" t="s">
        <v>266</v>
      </c>
      <c r="BS2" s="99"/>
      <c r="BT2" s="99"/>
      <c r="BU2" s="99" t="s">
        <v>267</v>
      </c>
      <c r="BV2" s="99"/>
      <c r="BW2" s="99"/>
      <c r="BX2" s="83"/>
    </row>
    <row r="3" spans="1:79">
      <c r="A3" s="41"/>
      <c r="B3" s="41" t="s">
        <v>75</v>
      </c>
      <c r="C3" s="41"/>
      <c r="D3" s="41" t="s">
        <v>74</v>
      </c>
      <c r="E3" s="41" t="s">
        <v>74</v>
      </c>
      <c r="F3" s="41" t="s">
        <v>0</v>
      </c>
      <c r="G3" s="41" t="s">
        <v>78</v>
      </c>
      <c r="H3" s="41" t="s">
        <v>4</v>
      </c>
      <c r="I3" s="41" t="s">
        <v>78</v>
      </c>
      <c r="J3" s="41" t="s">
        <v>30</v>
      </c>
      <c r="K3" s="41" t="s">
        <v>78</v>
      </c>
      <c r="L3" s="41" t="s">
        <v>31</v>
      </c>
      <c r="M3" s="41" t="s">
        <v>78</v>
      </c>
      <c r="N3" s="41" t="s">
        <v>83</v>
      </c>
      <c r="O3" s="41" t="s">
        <v>82</v>
      </c>
      <c r="P3" s="41" t="s">
        <v>83</v>
      </c>
      <c r="Q3" s="41" t="s">
        <v>82</v>
      </c>
      <c r="R3" t="s">
        <v>25</v>
      </c>
      <c r="S3" t="s">
        <v>38</v>
      </c>
      <c r="T3" t="s">
        <v>46</v>
      </c>
      <c r="U3" t="s">
        <v>49</v>
      </c>
      <c r="V3" s="41" t="s">
        <v>0</v>
      </c>
      <c r="W3" s="41" t="s">
        <v>78</v>
      </c>
      <c r="X3" s="41" t="s">
        <v>4</v>
      </c>
      <c r="Y3" s="41" t="s">
        <v>78</v>
      </c>
      <c r="Z3" s="41" t="s">
        <v>30</v>
      </c>
      <c r="AA3" s="41" t="s">
        <v>78</v>
      </c>
      <c r="AB3" s="41" t="s">
        <v>31</v>
      </c>
      <c r="AC3" s="41" t="s">
        <v>78</v>
      </c>
      <c r="AD3" s="41" t="s">
        <v>29</v>
      </c>
      <c r="AE3" s="41" t="s">
        <v>0</v>
      </c>
      <c r="AF3" s="41" t="s">
        <v>78</v>
      </c>
      <c r="AG3" s="41" t="s">
        <v>4</v>
      </c>
      <c r="AH3" s="41" t="s">
        <v>78</v>
      </c>
      <c r="AI3" s="41" t="s">
        <v>30</v>
      </c>
      <c r="AJ3" s="41" t="s">
        <v>78</v>
      </c>
      <c r="AK3" s="41" t="s">
        <v>31</v>
      </c>
      <c r="AL3" s="41" t="s">
        <v>78</v>
      </c>
      <c r="AM3" s="41" t="s">
        <v>70</v>
      </c>
      <c r="AN3" s="41" t="s">
        <v>78</v>
      </c>
      <c r="AP3" s="41" t="s">
        <v>110</v>
      </c>
      <c r="AQ3" s="41" t="s">
        <v>78</v>
      </c>
      <c r="AT3" t="s">
        <v>27</v>
      </c>
      <c r="AU3" s="1" t="s">
        <v>28</v>
      </c>
      <c r="AV3" t="s">
        <v>29</v>
      </c>
      <c r="AW3" t="s">
        <v>30</v>
      </c>
      <c r="AX3" t="s">
        <v>31</v>
      </c>
      <c r="AY3" t="s">
        <v>32</v>
      </c>
      <c r="AZ3" t="s">
        <v>33</v>
      </c>
      <c r="BA3" t="s">
        <v>3</v>
      </c>
      <c r="BB3" t="s">
        <v>204</v>
      </c>
      <c r="BC3" t="s">
        <v>206</v>
      </c>
      <c r="BE3" t="s">
        <v>246</v>
      </c>
      <c r="BF3" t="s">
        <v>244</v>
      </c>
      <c r="BG3" t="s">
        <v>245</v>
      </c>
      <c r="BH3" t="s">
        <v>246</v>
      </c>
      <c r="BI3" t="s">
        <v>244</v>
      </c>
      <c r="BJ3" t="s">
        <v>245</v>
      </c>
      <c r="BK3" t="s">
        <v>246</v>
      </c>
      <c r="BL3" t="s">
        <v>244</v>
      </c>
      <c r="BM3" t="s">
        <v>245</v>
      </c>
      <c r="BN3" t="s">
        <v>246</v>
      </c>
      <c r="BO3" t="s">
        <v>244</v>
      </c>
      <c r="BP3" t="s">
        <v>245</v>
      </c>
      <c r="BR3" t="s">
        <v>246</v>
      </c>
      <c r="BS3" t="s">
        <v>244</v>
      </c>
      <c r="BT3" t="s">
        <v>245</v>
      </c>
      <c r="BU3" t="s">
        <v>246</v>
      </c>
      <c r="BV3" t="s">
        <v>244</v>
      </c>
      <c r="BW3" t="s">
        <v>245</v>
      </c>
      <c r="BY3" t="s">
        <v>31</v>
      </c>
      <c r="BZ3" t="s">
        <v>0</v>
      </c>
      <c r="CA3" t="s">
        <v>243</v>
      </c>
    </row>
    <row r="4" spans="1:79">
      <c r="A4" s="42" t="s">
        <v>116</v>
      </c>
      <c r="B4" s="42" t="s">
        <v>354</v>
      </c>
      <c r="C4" s="65">
        <v>42005</v>
      </c>
      <c r="D4" s="42"/>
      <c r="E4" s="42">
        <v>2.2790000000000001E-2</v>
      </c>
      <c r="F4" s="34" cm="1">
        <f t="array" ref="F4:I4">'U data'!E5:H5</f>
        <v>0.10599929281048938</v>
      </c>
      <c r="G4" s="34">
        <v>9.4138434575568846E-3</v>
      </c>
      <c r="H4" s="34">
        <v>288.52556470320383</v>
      </c>
      <c r="I4" s="48">
        <v>24.625822400378969</v>
      </c>
      <c r="J4" s="49" cm="1">
        <f t="array" ref="J4:M4">'Th data'!E5:H5</f>
        <v>0.6387236237584758</v>
      </c>
      <c r="K4" s="49">
        <v>0.59250287514828237</v>
      </c>
      <c r="L4" s="49">
        <v>1.0804664906155287E-4</v>
      </c>
      <c r="M4" s="49">
        <v>8.9027010831783472E-6</v>
      </c>
      <c r="N4">
        <f>MAX(AB4*AY4*230*E4*1000,0.01)</f>
        <v>9.9875734923987838E-2</v>
      </c>
      <c r="O4">
        <f>Z4*AY4*232*E4</f>
        <v>1.2508473428230642</v>
      </c>
      <c r="P4" s="39">
        <f>MAX(E$4*AZ$4*AD$4*234*1000,Q4/15)</f>
        <v>0.25963086783899858</v>
      </c>
      <c r="Q4" s="39">
        <f>E$4*AZ$4*BA$4*V$4*238</f>
        <v>3.8944630175849788</v>
      </c>
      <c r="R4">
        <f>(1-AT4/Constants!$C$19/F4)</f>
        <v>0.99726793879071862</v>
      </c>
      <c r="S4">
        <f t="shared" ref="S4:S23" si="0">(1-AV4*H4/F4/BA4)</f>
        <v>9.7398488338373834E-3</v>
      </c>
      <c r="T4" s="36">
        <f t="shared" ref="T4:T23" si="1">1-AW4/J4</f>
        <v>0.99441246600915134</v>
      </c>
      <c r="U4">
        <f t="shared" ref="U4:U23" si="2">1-AX4/L4</f>
        <v>0.47346083917166981</v>
      </c>
      <c r="V4">
        <f>F4*R4</f>
        <v>0.10570969625439058</v>
      </c>
      <c r="W4">
        <f>SQRT((G4*R4)^2+(F4*(0.005*(1-R4)))^2)</f>
        <v>9.3881243726814771E-3</v>
      </c>
      <c r="X4">
        <f>H4*R4/S4</f>
        <v>29542.275255890927</v>
      </c>
      <c r="Y4">
        <f>SQRT((I4*R4/S4)^2+(H4*R4*(1-S4)*0.005/S4^2)^2)</f>
        <v>15228.162221810931</v>
      </c>
      <c r="Z4">
        <f>J4*T4</f>
        <v>0.63515473379996734</v>
      </c>
      <c r="AA4">
        <f>SQRT((K4*T4)^2+(J4*(1-T4)*0.01)^2)</f>
        <v>0.58919224627460032</v>
      </c>
      <c r="AB4">
        <f>L4*U4</f>
        <v>5.1155857134369727E-5</v>
      </c>
      <c r="AC4">
        <f>SQRT((M4*U4)^2+(L4*(1-U4)*0.005)^2)</f>
        <v>4.2246675854510197E-6</v>
      </c>
      <c r="AD4">
        <f>V4/X4*BA4</f>
        <v>3.511325816337423E-6</v>
      </c>
      <c r="AP4" s="27"/>
      <c r="AQ4" s="1"/>
      <c r="AR4" s="1"/>
      <c r="AS4" t="str">
        <f t="shared" ref="AS4:AS23" si="3">B4</f>
        <v>Aragonite</v>
      </c>
      <c r="AT4">
        <f>IF($AS4="Calcite",Constants!B$14*1,IF($AS4="Aragonite",Constants!B$13*1,"Spike ID Error"))</f>
        <v>2.8418008370340747E-4</v>
      </c>
      <c r="AU4">
        <f>IF($AS4="Calcite",Constants!C$14*1,IF($AS4="Aragonite",Constants!C$13*1,"Spike ID Error"))</f>
        <v>4.3656412515058804E-5</v>
      </c>
      <c r="AV4">
        <f>IF($AS4="Calcite",Constants!D$14*1,IF($AS4="Aragonite",Constants!D$13*1,"Spike ID Error"))</f>
        <v>3.57E-4</v>
      </c>
      <c r="AW4">
        <f>IF($AS4="Calcite",Constants!E$14*1,IF($AS4="Aragonite",Constants!E$13*1,"Spike ID Error"))</f>
        <v>3.5688899585084996E-3</v>
      </c>
      <c r="AX4">
        <f>IF($AS4="Calcite",Constants!F$14*1,IF($AS4="Aragonite",Constants!F$13*1,"Spike ID Error"))</f>
        <v>5.6890791927183131E-5</v>
      </c>
      <c r="AY4">
        <f>IF($AS4="Calcite",Constants!G$14*1,IF($AS4="Aragonite",Constants!G$13*1,"Spike ID Error"))</f>
        <v>0.37247099665446171</v>
      </c>
      <c r="AZ4">
        <f>IF($AS4="Calcite",Constants!H$14*1,IF($AS4="Aragonite",Constants!H$13*1,"Spike ID Error"))</f>
        <v>6.9216754520917103</v>
      </c>
      <c r="BA4">
        <f>IF($AS4="Calcite",Constants!I$14*1,IF($AS4="Aragonite",Constants!I$13*1,"Spike ID Error"))</f>
        <v>0.98129648892116261</v>
      </c>
      <c r="BB4">
        <f>IF($AS4="Calcite",Constants!J$14*1,IF($AS4="Aragonite",Constants!J$13*1,"Spike ID Error"))</f>
        <v>18.583125972927476</v>
      </c>
      <c r="BC4">
        <f>IF($AS4="Calcite",Constants!K$14*1,IF($AS4="Aragonite",Constants!K$13*1,"Spike ID Error"))</f>
        <v>1.7442466578521214E-2</v>
      </c>
      <c r="BE4">
        <f>$G4/$F4</f>
        <v>8.8810436446848801E-2</v>
      </c>
      <c r="BF4" s="1">
        <f>$W4/$V4</f>
        <v>8.8810437503187387E-2</v>
      </c>
      <c r="BH4">
        <f>$I4/$H4</f>
        <v>8.5350573442983094E-2</v>
      </c>
      <c r="BI4" s="1">
        <f>$Y4/$X4</f>
        <v>0.51547018941184408</v>
      </c>
      <c r="BK4">
        <f>$K4/$J4</f>
        <v>0.92763576155487382</v>
      </c>
      <c r="BL4" s="1">
        <f>$AA4/$Z4</f>
        <v>0.92763576325663943</v>
      </c>
      <c r="BN4">
        <f>$M4/$L4</f>
        <v>8.239682730101687E-2</v>
      </c>
      <c r="BO4" s="1">
        <f>$AC4/$AB4</f>
        <v>8.2584240048098459E-2</v>
      </c>
      <c r="BR4" s="84">
        <f>$BE4/$BF4</f>
        <v>0.99999998810569324</v>
      </c>
      <c r="BS4" s="84">
        <f>$BF4/$BF4-$BR4</f>
        <v>1.1894306761739415E-8</v>
      </c>
      <c r="BT4" s="84"/>
      <c r="BU4" s="84">
        <f>$BN4/$BO4</f>
        <v>0.99773064755487928</v>
      </c>
      <c r="BV4" s="84">
        <f>$BO4/$BO4-$BU4</f>
        <v>2.2693524451207203E-3</v>
      </c>
      <c r="BW4" s="84"/>
    </row>
    <row r="5" spans="1:79">
      <c r="A5" s="72" t="s">
        <v>352</v>
      </c>
      <c r="B5" s="42" t="s">
        <v>354</v>
      </c>
      <c r="C5" s="65">
        <v>42005</v>
      </c>
      <c r="D5" s="42">
        <v>5.2519999999999997E-2</v>
      </c>
      <c r="E5" s="42">
        <v>8.9840000000000003E-2</v>
      </c>
      <c r="F5" s="34" cm="1">
        <f t="array" ref="F5:I5">'U data'!E7:H7</f>
        <v>144.97258014584071</v>
      </c>
      <c r="G5" s="34">
        <v>2.4744300048710179E-2</v>
      </c>
      <c r="H5" s="34">
        <v>17340.067574239554</v>
      </c>
      <c r="I5" s="34">
        <v>18.831614664525787</v>
      </c>
      <c r="J5" s="49" cm="1">
        <f t="array" ref="J5:M5">'Th data'!E7:H7</f>
        <v>21.751976414800879</v>
      </c>
      <c r="K5" s="49">
        <v>1.0122833996131057E-2</v>
      </c>
      <c r="L5" s="49">
        <v>1.7544113874531759E-3</v>
      </c>
      <c r="M5" s="49">
        <v>8.5754506327489439E-6</v>
      </c>
      <c r="N5">
        <f>N$4</f>
        <v>9.9875734923987838E-2</v>
      </c>
      <c r="O5">
        <f>O$4</f>
        <v>1.2508473428230642</v>
      </c>
      <c r="P5">
        <f>P$4</f>
        <v>0.25963086783899858</v>
      </c>
      <c r="Q5">
        <f>Q$4</f>
        <v>3.8944630175849788</v>
      </c>
      <c r="R5">
        <f>(1-AT5/Constants!$C$19/F5)</f>
        <v>0.99999800240462156</v>
      </c>
      <c r="S5">
        <f t="shared" si="0"/>
        <v>0.95648561113928676</v>
      </c>
      <c r="T5" s="36">
        <f t="shared" si="1"/>
        <v>0.99983592801451915</v>
      </c>
      <c r="U5">
        <f t="shared" si="2"/>
        <v>0.96757271850032289</v>
      </c>
      <c r="V5">
        <f>F5*R5</f>
        <v>144.97229054928462</v>
      </c>
      <c r="W5">
        <f t="shared" ref="W5:W23" si="4">SQRT((G5*R5)^2+(F5*(0.005*(1-R5)))^2)</f>
        <v>2.4744250661977246E-2</v>
      </c>
      <c r="X5">
        <f>H5*R5/S5</f>
        <v>18128.900982782889</v>
      </c>
      <c r="Y5">
        <f t="shared" ref="Y5:Y23" si="5">SQRT((I5*R5/S5)^2+(H5*R5*(1-S5)*0.005/S5^2)^2)</f>
        <v>20.115536534111701</v>
      </c>
      <c r="Z5">
        <f>J5*T5</f>
        <v>21.748407524842371</v>
      </c>
      <c r="AA5">
        <f t="shared" ref="AA5:AA23" si="6">SQRT((K5*T5)^2+(J5*(1-T5)*0.01)^2)</f>
        <v>1.0121236044890012E-2</v>
      </c>
      <c r="AB5">
        <f>L5*U5</f>
        <v>1.6975205955259926E-3</v>
      </c>
      <c r="AC5">
        <f t="shared" ref="AC5:AC23" si="7">SQRT((M5*U5)^2+(L5*(1-U5)*0.005)^2)</f>
        <v>8.3022465337566452E-6</v>
      </c>
      <c r="AD5">
        <f t="shared" ref="AD5:AD23" si="8">V5/X5*BA5</f>
        <v>7.8471827852100613E-3</v>
      </c>
      <c r="AE5">
        <f t="shared" ref="AE5:AE23" si="9">V5*(1-Q5/(AZ5*E5*238*V5/BA5))</f>
        <v>144.94646854809838</v>
      </c>
      <c r="AF5">
        <f>SQRT(W5^2+((V5-AE5)/4)^2)</f>
        <v>2.5572473969126534E-2</v>
      </c>
      <c r="AG5">
        <f t="shared" ref="AG5:AG23" si="10">X5*(AE5/V5)/(1-P5/(AZ5*AD5*E5*1000*234))</f>
        <v>18129.794211408062</v>
      </c>
      <c r="AH5">
        <f>SQRT(Y5^2+((AG5-X5)/4)^2)</f>
        <v>20.116775987747996</v>
      </c>
      <c r="AI5">
        <f t="shared" ref="AI5:AI23" si="11">Z5*(1-O5/(Z5*E5*AY5*229))</f>
        <v>21.585175028015119</v>
      </c>
      <c r="AJ5">
        <f>SQRT(AA5^2+((AI5-Z5)/4)^2)</f>
        <v>4.2044529018114341E-2</v>
      </c>
      <c r="AK5">
        <f t="shared" ref="AK5:AK23" si="12">AB5*(1-N5/(AB5*AY5*230*E5*1000))</f>
        <v>1.6845437257119644E-3</v>
      </c>
      <c r="AL5">
        <f>SQRT(AC5^2+((AK5-AB5)/4)^2)</f>
        <v>8.9135988463085935E-6</v>
      </c>
      <c r="AM5">
        <f>(1/AG5*(Constants!D$5/Constants!D$2)-1)*1000</f>
        <v>3.4405763331404327</v>
      </c>
      <c r="AN5">
        <f>AH5/AG5*1000</f>
        <v>1.1095975913002718</v>
      </c>
      <c r="AP5" s="27">
        <f t="shared" ref="AP5:AP23" si="13">AK5/(AE5*BA5)/BB5</f>
        <v>6.3731719177121844E-7</v>
      </c>
      <c r="AQ5" s="1">
        <f t="shared" ref="AQ5:AQ23" si="14">AP5*SQRT((AL5/AK5)^2+(AF5/AE5)^2+(BC5/BB5)^2)</f>
        <v>3.4267918659729078E-9</v>
      </c>
      <c r="AS5" t="str">
        <f t="shared" si="3"/>
        <v>Aragonite</v>
      </c>
      <c r="AT5">
        <f>IF($AS5="Calcite",Constants!B$14*1,IF($AS5="Aragonite",Constants!B$13*1,"Spike ID Error"))</f>
        <v>2.8418008370340747E-4</v>
      </c>
      <c r="AU5">
        <f>IF($AS5="Calcite",Constants!C$14*1,IF($AS5="Aragonite",Constants!C$13*1,"Spike ID Error"))</f>
        <v>4.3656412515058804E-5</v>
      </c>
      <c r="AV5">
        <f>IF($AS5="Calcite",Constants!D$14*1,IF($AS5="Aragonite",Constants!D$13*1,"Spike ID Error"))</f>
        <v>3.57E-4</v>
      </c>
      <c r="AW5">
        <f>IF($AS5="Calcite",Constants!E$14*1,IF($AS5="Aragonite",Constants!E$13*1,"Spike ID Error"))</f>
        <v>3.5688899585084996E-3</v>
      </c>
      <c r="AX5">
        <f>IF($AS5="Calcite",Constants!F$14*1,IF($AS5="Aragonite",Constants!F$13*1,"Spike ID Error"))</f>
        <v>5.6890791927183131E-5</v>
      </c>
      <c r="AY5">
        <f>IF($AS5="Calcite",Constants!G$14*1,IF($AS5="Aragonite",Constants!G$13*1,"Spike ID Error"))</f>
        <v>0.37247099665446171</v>
      </c>
      <c r="AZ5">
        <f>IF($AS5="Calcite",Constants!H$14*1,IF($AS5="Aragonite",Constants!H$13*1,"Spike ID Error"))</f>
        <v>6.9216754520917103</v>
      </c>
      <c r="BA5">
        <f>IF($AS5="Calcite",Constants!I$14*1,IF($AS5="Aragonite",Constants!I$13*1,"Spike ID Error"))</f>
        <v>0.98129648892116261</v>
      </c>
      <c r="BB5">
        <f>IF($AS5="Calcite",Constants!J$14*1,IF($AS5="Aragonite",Constants!J$13*1,"Spike ID Error"))</f>
        <v>18.583125972927476</v>
      </c>
      <c r="BC5">
        <f>IF($AS5="Calcite",Constants!K$14*1,IF($AS5="Aragonite",Constants!K$13*1,"Spike ID Error"))</f>
        <v>1.7442466578521214E-2</v>
      </c>
      <c r="BE5">
        <f t="shared" ref="BE5:BE23" si="15">$G5/$F5</f>
        <v>1.7068262166416369E-4</v>
      </c>
      <c r="BF5" s="1">
        <f t="shared" ref="BF5:BF23" si="16">$W5/$V5</f>
        <v>1.706826219564022E-4</v>
      </c>
      <c r="BG5" s="1">
        <f>$AF5/$AE5</f>
        <v>1.7642702319884863E-4</v>
      </c>
      <c r="BH5">
        <f t="shared" ref="BH5:BH23" si="17">$I5/$H5</f>
        <v>1.0860173747247721E-3</v>
      </c>
      <c r="BI5" s="1">
        <f t="shared" ref="BI5:BI23" si="18">$Y5/$X5</f>
        <v>1.1095838933212515E-3</v>
      </c>
      <c r="BJ5" s="1">
        <f>$AH5/$AG5</f>
        <v>1.1095975913002719E-3</v>
      </c>
      <c r="BK5">
        <f t="shared" ref="BK5:BK23" si="19">$K5/$J5</f>
        <v>4.6537536649971233E-4</v>
      </c>
      <c r="BL5" s="1">
        <f t="shared" ref="BL5:BL23" si="20">$AA5/$Z5</f>
        <v>4.6537825968769958E-4</v>
      </c>
      <c r="BM5" s="1">
        <f>$AJ5/$AI5</f>
        <v>1.9478428580516625E-3</v>
      </c>
      <c r="BN5">
        <f t="shared" ref="BN5:BN23" si="21">$M5/$L5</f>
        <v>4.8879360303273325E-3</v>
      </c>
      <c r="BO5" s="1">
        <f t="shared" ref="BO5:BO23" si="22">$AC5/$AB5</f>
        <v>4.8908075434478705E-3</v>
      </c>
      <c r="BP5" s="1">
        <f>$AL5/$AK5</f>
        <v>5.2914024790548572E-3</v>
      </c>
      <c r="BQ5" s="1"/>
      <c r="BR5" s="84">
        <f>$BE5/$BG5</f>
        <v>0.96744035335102552</v>
      </c>
      <c r="BS5" s="84">
        <f>$BF5/$BG5-$BR5</f>
        <v>1.6564271065888647E-9</v>
      </c>
      <c r="BT5" s="84">
        <f>$BG5/$BG5-$BS5-$BR5</f>
        <v>3.2559644992547376E-2</v>
      </c>
      <c r="BU5" s="84">
        <f>$BN5/$BP5</f>
        <v>0.92375056512435405</v>
      </c>
      <c r="BV5" s="84">
        <f>$BO5/$BP5-$BU5</f>
        <v>5.4267524194284711E-4</v>
      </c>
      <c r="BW5" s="84">
        <f>$BP5/$BP5-$BV5-$BU5</f>
        <v>7.5706759633703102E-2</v>
      </c>
      <c r="BX5" s="1"/>
      <c r="BY5" s="82">
        <f>($AL5/$AK5)^2/(($AQ5/$AP5)^2)</f>
        <v>0.9684504512220703</v>
      </c>
      <c r="BZ5" s="82">
        <f>($AF5/$AE5)^2/($AQ5/$AP5)^2</f>
        <v>1.0766288812186827E-3</v>
      </c>
      <c r="CA5" s="82">
        <f>($BC5/$BB5)^2/($AQ5/$AP5)^2</f>
        <v>3.0472919896711016E-2</v>
      </c>
    </row>
    <row r="6" spans="1:79">
      <c r="A6" s="72" t="s">
        <v>353</v>
      </c>
      <c r="B6" s="42" t="s">
        <v>354</v>
      </c>
      <c r="C6" s="65">
        <v>42005</v>
      </c>
      <c r="D6" s="42">
        <v>5.015E-2</v>
      </c>
      <c r="E6" s="42">
        <v>9.7750000000000004E-2</v>
      </c>
      <c r="F6" s="34" cm="1">
        <f t="array" ref="F6:I6">'U data'!E9:H9</f>
        <v>477.83737680618026</v>
      </c>
      <c r="G6" s="34">
        <v>0.12505874849152016</v>
      </c>
      <c r="H6" s="34">
        <v>17849.336414343074</v>
      </c>
      <c r="I6" s="34">
        <v>20.594490952507797</v>
      </c>
      <c r="J6" s="49" cm="1">
        <f t="array" ref="J6:M6">'Th data'!E9:H9</f>
        <v>10.862077518847869</v>
      </c>
      <c r="K6" s="49">
        <v>5.6289493212782898E-3</v>
      </c>
      <c r="L6" s="49">
        <v>6.5429299934384767E-3</v>
      </c>
      <c r="M6" s="49">
        <v>1.6625280360045866E-5</v>
      </c>
      <c r="N6">
        <f t="shared" ref="N6:Q21" si="23">N$4</f>
        <v>9.9875734923987838E-2</v>
      </c>
      <c r="O6">
        <f t="shared" si="23"/>
        <v>1.2508473428230642</v>
      </c>
      <c r="P6">
        <f t="shared" si="23"/>
        <v>0.25963086783899858</v>
      </c>
      <c r="Q6">
        <f t="shared" si="23"/>
        <v>3.8944630175849788</v>
      </c>
      <c r="R6">
        <f>(1-AT6/Constants!$C$19/F6)</f>
        <v>0.99999939394327408</v>
      </c>
      <c r="S6">
        <f t="shared" si="0"/>
        <v>0.98641029815413772</v>
      </c>
      <c r="T6" s="36">
        <f t="shared" si="1"/>
        <v>0.99967143578635709</v>
      </c>
      <c r="U6">
        <f t="shared" si="2"/>
        <v>0.9913049976105146</v>
      </c>
      <c r="V6">
        <f t="shared" ref="V6:V13" si="24">F6*R6</f>
        <v>477.83708720962414</v>
      </c>
      <c r="W6">
        <f t="shared" si="4"/>
        <v>0.12505867270720719</v>
      </c>
      <c r="X6">
        <f t="shared" ref="X6:X13" si="25">H6*R6/S6</f>
        <v>18095.234437468869</v>
      </c>
      <c r="Y6">
        <f t="shared" si="5"/>
        <v>20.915383145338115</v>
      </c>
      <c r="Z6">
        <f t="shared" ref="Z6:Z13" si="26">J6*T6</f>
        <v>10.858508628889361</v>
      </c>
      <c r="AA6">
        <f t="shared" si="6"/>
        <v>5.6272130241440312E-3</v>
      </c>
      <c r="AB6">
        <f t="shared" ref="AB6:AB13" si="27">L6*U6</f>
        <v>6.4860392015112936E-3</v>
      </c>
      <c r="AC6">
        <f t="shared" si="7"/>
        <v>1.6483178133744793E-5</v>
      </c>
      <c r="AD6">
        <f t="shared" si="8"/>
        <v>2.591289201449597E-2</v>
      </c>
      <c r="AE6">
        <f t="shared" si="9"/>
        <v>477.81335474326539</v>
      </c>
      <c r="AF6">
        <f t="shared" ref="AF6:AF23" si="28">SQRT(W6^2+((V6-AE6)/4)^2)</f>
        <v>0.12519933502920533</v>
      </c>
      <c r="AG6">
        <f t="shared" si="10"/>
        <v>18095.480873050561</v>
      </c>
      <c r="AH6">
        <f t="shared" ref="AH6:AH23" si="29">SQRT(Y6^2+((AG6-X6)/4)^2)</f>
        <v>20.915473883521955</v>
      </c>
      <c r="AI6">
        <f t="shared" si="11"/>
        <v>10.708485022598207</v>
      </c>
      <c r="AJ6">
        <f t="shared" ref="AJ6:AJ23" si="30">SQRT(AA6^2+((AI6-Z6)/4)^2)</f>
        <v>3.7925692863898769E-2</v>
      </c>
      <c r="AK6">
        <f t="shared" si="12"/>
        <v>6.4741124292955156E-3</v>
      </c>
      <c r="AL6">
        <f t="shared" ref="AL6:AL23" si="31">SQRT(AC6^2+((AK6-AB6)/4)^2)</f>
        <v>1.6750691175491936E-5</v>
      </c>
      <c r="AM6">
        <f>(1/AG6*(Constants!D$5/Constants!D$2)-1)*1000</f>
        <v>5.3433384790551042</v>
      </c>
      <c r="AN6">
        <f t="shared" ref="AN6:AN13" si="32">AH6/AG6*1000</f>
        <v>1.1558396281510919</v>
      </c>
      <c r="AP6" s="27">
        <f t="shared" si="13"/>
        <v>7.4302416308813368E-7</v>
      </c>
      <c r="AQ6" s="1">
        <f t="shared" si="14"/>
        <v>2.0542917528823986E-9</v>
      </c>
      <c r="AS6" t="str">
        <f t="shared" si="3"/>
        <v>Aragonite</v>
      </c>
      <c r="AT6">
        <f>IF($AS6="Calcite",Constants!B$14*1,IF($AS6="Aragonite",Constants!B$13*1,"Spike ID Error"))</f>
        <v>2.8418008370340747E-4</v>
      </c>
      <c r="AU6">
        <f>IF($AS6="Calcite",Constants!C$14*1,IF($AS6="Aragonite",Constants!C$13*1,"Spike ID Error"))</f>
        <v>4.3656412515058804E-5</v>
      </c>
      <c r="AV6">
        <f>IF($AS6="Calcite",Constants!D$14*1,IF($AS6="Aragonite",Constants!D$13*1,"Spike ID Error"))</f>
        <v>3.57E-4</v>
      </c>
      <c r="AW6">
        <f>IF($AS6="Calcite",Constants!E$14*1,IF($AS6="Aragonite",Constants!E$13*1,"Spike ID Error"))</f>
        <v>3.5688899585084996E-3</v>
      </c>
      <c r="AX6">
        <f>IF($AS6="Calcite",Constants!F$14*1,IF($AS6="Aragonite",Constants!F$13*1,"Spike ID Error"))</f>
        <v>5.6890791927183131E-5</v>
      </c>
      <c r="AY6">
        <f>IF($AS6="Calcite",Constants!G$14*1,IF($AS6="Aragonite",Constants!G$13*1,"Spike ID Error"))</f>
        <v>0.37247099665446171</v>
      </c>
      <c r="AZ6">
        <f>IF($AS6="Calcite",Constants!H$14*1,IF($AS6="Aragonite",Constants!H$13*1,"Spike ID Error"))</f>
        <v>6.9216754520917103</v>
      </c>
      <c r="BA6">
        <f>IF($AS6="Calcite",Constants!I$14*1,IF($AS6="Aragonite",Constants!I$13*1,"Spike ID Error"))</f>
        <v>0.98129648892116261</v>
      </c>
      <c r="BB6">
        <f>IF($AS6="Calcite",Constants!J$14*1,IF($AS6="Aragonite",Constants!J$13*1,"Spike ID Error"))</f>
        <v>18.583125972927476</v>
      </c>
      <c r="BC6">
        <f>IF($AS6="Calcite",Constants!K$14*1,IF($AS6="Aragonite",Constants!K$13*1,"Spike ID Error"))</f>
        <v>1.7442466578521214E-2</v>
      </c>
      <c r="BE6">
        <f t="shared" si="15"/>
        <v>2.6171822164143158E-4</v>
      </c>
      <c r="BF6" s="1">
        <f t="shared" si="16"/>
        <v>2.6171822165897463E-4</v>
      </c>
      <c r="BG6" s="1">
        <f t="shared" ref="BG6:BG23" si="33">$AF6/$AE6</f>
        <v>2.6202560850664453E-4</v>
      </c>
      <c r="BH6">
        <f t="shared" si="17"/>
        <v>1.153795887670021E-3</v>
      </c>
      <c r="BI6" s="1">
        <f t="shared" si="18"/>
        <v>1.1558503548331879E-3</v>
      </c>
      <c r="BJ6" s="1">
        <f t="shared" ref="BJ6:BJ23" si="34">$AH6/$AG6</f>
        <v>1.1558396281510918E-3</v>
      </c>
      <c r="BK6">
        <f t="shared" si="19"/>
        <v>5.1822032309297567E-4</v>
      </c>
      <c r="BL6" s="1">
        <f t="shared" si="20"/>
        <v>5.1823074571886204E-4</v>
      </c>
      <c r="BM6" s="1">
        <f t="shared" ref="BM6:BM23" si="35">$AJ6/$AI6</f>
        <v>3.541648775140821E-3</v>
      </c>
      <c r="BN6">
        <f t="shared" si="21"/>
        <v>2.5409534225061849E-3</v>
      </c>
      <c r="BO6" s="1">
        <f t="shared" si="22"/>
        <v>2.541331870134873E-3</v>
      </c>
      <c r="BP6" s="1">
        <f t="shared" ref="BP6:BP23" si="36">$AL6/$AK6</f>
        <v>2.5873339949573091E-3</v>
      </c>
      <c r="BR6" s="84">
        <f>$BE6/$BG6</f>
        <v>0.9988268823533516</v>
      </c>
      <c r="BS6" s="84">
        <f>$BF6/$BG6-$BR6</f>
        <v>6.6951555410810215E-11</v>
      </c>
      <c r="BT6" s="84">
        <f>$BG6/$BG6-$BS6-$BR6</f>
        <v>1.1731175796968474E-3</v>
      </c>
      <c r="BU6" s="84">
        <f t="shared" ref="BU6:BU23" si="37">$BN6/$BP6</f>
        <v>0.98207399101101001</v>
      </c>
      <c r="BV6" s="84">
        <f t="shared" ref="BV6:BV23" si="38">$BO6/$BP6-$BU6</f>
        <v>1.4626933725048197E-4</v>
      </c>
      <c r="BW6" s="84">
        <f t="shared" ref="BW6:BW23" si="39">$BP6/$BP6-$BV6-$BU6</f>
        <v>1.7779739651739512E-2</v>
      </c>
      <c r="BY6" s="82">
        <f t="shared" ref="BY6:BY23" si="40">($AL6/$AK6)^2/(($AQ6/$AP6)^2)</f>
        <v>0.8757630520814651</v>
      </c>
      <c r="BZ6" s="82">
        <f t="shared" ref="BZ6:BZ23" si="41">($AF6/$AE6)^2/($AQ6/$AP6)^2</f>
        <v>8.9819184077838676E-3</v>
      </c>
      <c r="CA6" s="82">
        <f t="shared" ref="CA6:CA23" si="42">($BC6/$BB6)^2/($AQ6/$AP6)^2</f>
        <v>0.11525502951075135</v>
      </c>
    </row>
    <row r="7" spans="1:79">
      <c r="A7" s="72" t="s">
        <v>346</v>
      </c>
      <c r="B7" s="42" t="s">
        <v>354</v>
      </c>
      <c r="C7" s="65">
        <v>42005</v>
      </c>
      <c r="D7" s="42">
        <v>5.015E-2</v>
      </c>
      <c r="E7" s="42">
        <v>8.1240000000000007E-2</v>
      </c>
      <c r="F7" s="34" cm="1">
        <f t="array" ref="F7:I7">'U data'!E11:H11</f>
        <v>533.25588790050006</v>
      </c>
      <c r="G7" s="34">
        <v>8.6040317106768877E-2</v>
      </c>
      <c r="H7" s="34">
        <v>17841.551387460258</v>
      </c>
      <c r="I7" s="34">
        <v>17.790286191188624</v>
      </c>
      <c r="J7" s="49" cm="1">
        <f t="array" ref="J7:M7">'Th data'!E11:H11</f>
        <v>20.751622795961939</v>
      </c>
      <c r="K7" s="49">
        <v>1.3840721803308031E-2</v>
      </c>
      <c r="L7" s="49">
        <v>4.76165749218058E-3</v>
      </c>
      <c r="M7" s="49">
        <v>1.8413642642949518E-5</v>
      </c>
      <c r="N7">
        <f t="shared" si="23"/>
        <v>9.9875734923987838E-2</v>
      </c>
      <c r="O7">
        <f t="shared" si="23"/>
        <v>1.2508473428230642</v>
      </c>
      <c r="P7">
        <f t="shared" si="23"/>
        <v>0.25963086783899858</v>
      </c>
      <c r="Q7">
        <f t="shared" si="23"/>
        <v>3.8944630175849788</v>
      </c>
      <c r="R7">
        <f>(1-AT7/Constants!$C$19/F7)</f>
        <v>0.99999945692759762</v>
      </c>
      <c r="S7">
        <f t="shared" si="0"/>
        <v>0.98782791638743928</v>
      </c>
      <c r="T7" s="36">
        <f t="shared" si="1"/>
        <v>0.9998280187533477</v>
      </c>
      <c r="U7">
        <f t="shared" si="2"/>
        <v>0.98805231329204024</v>
      </c>
      <c r="V7">
        <f t="shared" si="24"/>
        <v>533.25559830394388</v>
      </c>
      <c r="W7">
        <f t="shared" si="4"/>
        <v>8.6040270392831311E-2</v>
      </c>
      <c r="X7">
        <f t="shared" si="25"/>
        <v>18061.386403670327</v>
      </c>
      <c r="Y7">
        <f t="shared" si="5"/>
        <v>18.043834590238497</v>
      </c>
      <c r="Z7">
        <f t="shared" si="26"/>
        <v>20.748053906003431</v>
      </c>
      <c r="AA7">
        <f t="shared" si="6"/>
        <v>1.3838387479241198E-2</v>
      </c>
      <c r="AB7">
        <f t="shared" si="27"/>
        <v>4.7047667002533969E-3</v>
      </c>
      <c r="AC7">
        <f t="shared" si="7"/>
        <v>1.8195865764025203E-5</v>
      </c>
      <c r="AD7">
        <f t="shared" si="8"/>
        <v>2.8972407467395517E-2</v>
      </c>
      <c r="AE7">
        <f t="shared" si="9"/>
        <v>533.22704280681717</v>
      </c>
      <c r="AF7">
        <f t="shared" si="28"/>
        <v>8.6335923318634572E-2</v>
      </c>
      <c r="AG7">
        <f t="shared" si="10"/>
        <v>18061.649304507337</v>
      </c>
      <c r="AH7">
        <f t="shared" si="29"/>
        <v>18.043954292865479</v>
      </c>
      <c r="AI7">
        <f t="shared" si="11"/>
        <v>20.567541750477087</v>
      </c>
      <c r="AJ7">
        <f t="shared" si="30"/>
        <v>4.7202127720300469E-2</v>
      </c>
      <c r="AK7">
        <f t="shared" si="12"/>
        <v>4.6904161096072584E-3</v>
      </c>
      <c r="AL7">
        <f t="shared" si="31"/>
        <v>1.8546178761290409E-5</v>
      </c>
      <c r="AM7">
        <f>(1/AG7*(Constants!D$5/Constants!D$2)-1)*1000</f>
        <v>7.2264634081136148</v>
      </c>
      <c r="AN7">
        <f t="shared" si="32"/>
        <v>0.99902029923494085</v>
      </c>
      <c r="AP7" s="27">
        <f t="shared" si="13"/>
        <v>4.8236988924466141E-7</v>
      </c>
      <c r="AQ7" s="1">
        <f t="shared" si="14"/>
        <v>1.9618759276842956E-9</v>
      </c>
      <c r="AS7" t="str">
        <f t="shared" si="3"/>
        <v>Aragonite</v>
      </c>
      <c r="AT7">
        <f>IF($AS7="Calcite",Constants!B$14*1,IF($AS7="Aragonite",Constants!B$13*1,"Spike ID Error"))</f>
        <v>2.8418008370340747E-4</v>
      </c>
      <c r="AU7">
        <f>IF($AS7="Calcite",Constants!C$14*1,IF($AS7="Aragonite",Constants!C$13*1,"Spike ID Error"))</f>
        <v>4.3656412515058804E-5</v>
      </c>
      <c r="AV7">
        <f>IF($AS7="Calcite",Constants!D$14*1,IF($AS7="Aragonite",Constants!D$13*1,"Spike ID Error"))</f>
        <v>3.57E-4</v>
      </c>
      <c r="AW7">
        <f>IF($AS7="Calcite",Constants!E$14*1,IF($AS7="Aragonite",Constants!E$13*1,"Spike ID Error"))</f>
        <v>3.5688899585084996E-3</v>
      </c>
      <c r="AX7">
        <f>IF($AS7="Calcite",Constants!F$14*1,IF($AS7="Aragonite",Constants!F$13*1,"Spike ID Error"))</f>
        <v>5.6890791927183131E-5</v>
      </c>
      <c r="AY7">
        <f>IF($AS7="Calcite",Constants!G$14*1,IF($AS7="Aragonite",Constants!G$13*1,"Spike ID Error"))</f>
        <v>0.37247099665446171</v>
      </c>
      <c r="AZ7">
        <f>IF($AS7="Calcite",Constants!H$14*1,IF($AS7="Aragonite",Constants!H$13*1,"Spike ID Error"))</f>
        <v>6.9216754520917103</v>
      </c>
      <c r="BA7">
        <f>IF($AS7="Calcite",Constants!I$14*1,IF($AS7="Aragonite",Constants!I$13*1,"Spike ID Error"))</f>
        <v>0.98129648892116261</v>
      </c>
      <c r="BB7">
        <f>IF($AS7="Calcite",Constants!J$14*1,IF($AS7="Aragonite",Constants!J$13*1,"Spike ID Error"))</f>
        <v>18.583125972927476</v>
      </c>
      <c r="BC7">
        <f>IF($AS7="Calcite",Constants!K$14*1,IF($AS7="Aragonite",Constants!K$13*1,"Spike ID Error"))</f>
        <v>1.7442466578521214E-2</v>
      </c>
      <c r="BE7">
        <f t="shared" si="15"/>
        <v>1.6134902409708243E-4</v>
      </c>
      <c r="BF7" s="1">
        <f t="shared" si="16"/>
        <v>1.6134902411993107E-4</v>
      </c>
      <c r="BG7" s="1">
        <f t="shared" si="33"/>
        <v>1.619121244567358E-4</v>
      </c>
      <c r="BH7">
        <f t="shared" si="17"/>
        <v>9.971266402142773E-4</v>
      </c>
      <c r="BI7" s="1">
        <f t="shared" si="18"/>
        <v>9.9902821339184337E-4</v>
      </c>
      <c r="BJ7" s="1">
        <f t="shared" si="34"/>
        <v>9.9902029923494085E-4</v>
      </c>
      <c r="BK7">
        <f t="shared" si="19"/>
        <v>6.6697057571812163E-4</v>
      </c>
      <c r="BL7" s="1">
        <f t="shared" si="20"/>
        <v>6.669727937827014E-4</v>
      </c>
      <c r="BM7" s="1">
        <f t="shared" si="35"/>
        <v>2.2949814952584482E-3</v>
      </c>
      <c r="BN7">
        <f t="shared" si="21"/>
        <v>3.8670657587589466E-3</v>
      </c>
      <c r="BO7" s="1">
        <f t="shared" si="22"/>
        <v>3.8675383761420479E-3</v>
      </c>
      <c r="BP7" s="1">
        <f t="shared" si="36"/>
        <v>3.9540583026957355E-3</v>
      </c>
      <c r="BR7" s="84">
        <f t="shared" ref="BR7:BR23" si="43">$BE7/$BG7</f>
        <v>0.99652218534255699</v>
      </c>
      <c r="BS7" s="84">
        <f t="shared" ref="BS7:BS23" si="44">$BF7/$BG7-$BR7</f>
        <v>1.4111756208023962E-10</v>
      </c>
      <c r="BT7" s="84">
        <f t="shared" ref="BT7:BT23" si="45">$BG7/$BG7-$BS7-$BR7</f>
        <v>3.4778145163254504E-3</v>
      </c>
      <c r="BU7" s="84">
        <f t="shared" si="37"/>
        <v>0.97799917520753787</v>
      </c>
      <c r="BV7" s="84">
        <f t="shared" si="38"/>
        <v>1.1952716599528124E-4</v>
      </c>
      <c r="BW7" s="84">
        <f t="shared" si="39"/>
        <v>2.1881297626466845E-2</v>
      </c>
      <c r="BY7" s="82">
        <f t="shared" si="40"/>
        <v>0.9451558811435995</v>
      </c>
      <c r="BZ7" s="82">
        <f t="shared" si="41"/>
        <v>1.5848057785278486E-3</v>
      </c>
      <c r="CA7" s="82">
        <f t="shared" si="42"/>
        <v>5.32593130778726E-2</v>
      </c>
    </row>
    <row r="8" spans="1:79">
      <c r="A8" s="72" t="s">
        <v>347</v>
      </c>
      <c r="B8" s="42" t="s">
        <v>354</v>
      </c>
      <c r="C8" s="65">
        <v>42005</v>
      </c>
      <c r="D8" s="42">
        <v>5.8380000000000001E-2</v>
      </c>
      <c r="E8" s="42">
        <v>7.6399999999999996E-2</v>
      </c>
      <c r="F8" s="34" cm="1">
        <f t="array" ref="F8:I8">'U data'!E13:H13</f>
        <v>938.05123365151587</v>
      </c>
      <c r="G8" s="34">
        <v>0.27712208499927438</v>
      </c>
      <c r="H8" s="34">
        <v>17948.50730151037</v>
      </c>
      <c r="I8" s="34">
        <v>17.433020042707533</v>
      </c>
      <c r="J8" s="49" cm="1">
        <f t="array" ref="J8:M8">'Th data'!E13:H13</f>
        <v>17.506747759464069</v>
      </c>
      <c r="K8" s="49">
        <v>1.0830084290467995E-2</v>
      </c>
      <c r="L8" s="49">
        <v>9.342713987653687E-3</v>
      </c>
      <c r="M8" s="49">
        <v>2.3998194030951218E-5</v>
      </c>
      <c r="N8">
        <f t="shared" si="23"/>
        <v>9.9875734923987838E-2</v>
      </c>
      <c r="O8">
        <f t="shared" si="23"/>
        <v>1.2508473428230642</v>
      </c>
      <c r="P8">
        <f t="shared" si="23"/>
        <v>0.25963086783899858</v>
      </c>
      <c r="Q8">
        <f t="shared" si="23"/>
        <v>3.8944630175849788</v>
      </c>
      <c r="R8">
        <f>(1-AT8/Constants!$C$19/F8)</f>
        <v>0.99999969127852972</v>
      </c>
      <c r="S8">
        <f t="shared" si="0"/>
        <v>0.99303903022090423</v>
      </c>
      <c r="T8" s="36">
        <f t="shared" si="1"/>
        <v>0.99979614203577138</v>
      </c>
      <c r="U8">
        <f t="shared" si="2"/>
        <v>0.99391067820310419</v>
      </c>
      <c r="V8">
        <f t="shared" si="24"/>
        <v>938.05094405495981</v>
      </c>
      <c r="W8">
        <f t="shared" si="4"/>
        <v>0.27712199944951976</v>
      </c>
      <c r="X8">
        <f t="shared" si="25"/>
        <v>18074.31653157491</v>
      </c>
      <c r="Y8">
        <f t="shared" si="5"/>
        <v>17.566641960686962</v>
      </c>
      <c r="Z8">
        <f t="shared" si="26"/>
        <v>17.503178869505561</v>
      </c>
      <c r="AA8">
        <f t="shared" si="6"/>
        <v>1.0827935307039262E-2</v>
      </c>
      <c r="AB8">
        <f t="shared" si="27"/>
        <v>9.2858231957265048E-3</v>
      </c>
      <c r="AC8">
        <f t="shared" si="7"/>
        <v>2.385375740948081E-5</v>
      </c>
      <c r="AD8">
        <f t="shared" si="8"/>
        <v>5.0928957464158424E-2</v>
      </c>
      <c r="AE8">
        <f t="shared" si="9"/>
        <v>938.02057954466443</v>
      </c>
      <c r="AF8">
        <f t="shared" si="28"/>
        <v>0.27722595079959961</v>
      </c>
      <c r="AG8">
        <f t="shared" si="10"/>
        <v>18074.476093399298</v>
      </c>
      <c r="AH8">
        <f t="shared" si="29"/>
        <v>17.566687252394956</v>
      </c>
      <c r="AI8">
        <f t="shared" si="11"/>
        <v>17.31123112716315</v>
      </c>
      <c r="AJ8">
        <f t="shared" si="30"/>
        <v>4.9193395592398416E-2</v>
      </c>
      <c r="AK8">
        <f t="shared" si="12"/>
        <v>9.2705634838928363E-3</v>
      </c>
      <c r="AL8">
        <f t="shared" si="31"/>
        <v>2.41568917263433E-5</v>
      </c>
      <c r="AM8">
        <f>(1/AG8*(Constants!D$5/Constants!D$2)-1)*1000</f>
        <v>6.5116719449600513</v>
      </c>
      <c r="AN8">
        <f t="shared" si="32"/>
        <v>0.97190575049697936</v>
      </c>
      <c r="AP8" s="27">
        <f t="shared" si="13"/>
        <v>5.4196937894157564E-7</v>
      </c>
      <c r="AQ8" s="1">
        <f t="shared" si="14"/>
        <v>1.5095916479277379E-9</v>
      </c>
      <c r="AS8" t="str">
        <f t="shared" si="3"/>
        <v>Aragonite</v>
      </c>
      <c r="AT8">
        <f>IF($AS8="Calcite",Constants!B$14*1,IF($AS8="Aragonite",Constants!B$13*1,"Spike ID Error"))</f>
        <v>2.8418008370340747E-4</v>
      </c>
      <c r="AU8">
        <f>IF($AS8="Calcite",Constants!C$14*1,IF($AS8="Aragonite",Constants!C$13*1,"Spike ID Error"))</f>
        <v>4.3656412515058804E-5</v>
      </c>
      <c r="AV8">
        <f>IF($AS8="Calcite",Constants!D$14*1,IF($AS8="Aragonite",Constants!D$13*1,"Spike ID Error"))</f>
        <v>3.57E-4</v>
      </c>
      <c r="AW8">
        <f>IF($AS8="Calcite",Constants!E$14*1,IF($AS8="Aragonite",Constants!E$13*1,"Spike ID Error"))</f>
        <v>3.5688899585084996E-3</v>
      </c>
      <c r="AX8">
        <f>IF($AS8="Calcite",Constants!F$14*1,IF($AS8="Aragonite",Constants!F$13*1,"Spike ID Error"))</f>
        <v>5.6890791927183131E-5</v>
      </c>
      <c r="AY8">
        <f>IF($AS8="Calcite",Constants!G$14*1,IF($AS8="Aragonite",Constants!G$13*1,"Spike ID Error"))</f>
        <v>0.37247099665446171</v>
      </c>
      <c r="AZ8">
        <f>IF($AS8="Calcite",Constants!H$14*1,IF($AS8="Aragonite",Constants!H$13*1,"Spike ID Error"))</f>
        <v>6.9216754520917103</v>
      </c>
      <c r="BA8">
        <f>IF($AS8="Calcite",Constants!I$14*1,IF($AS8="Aragonite",Constants!I$13*1,"Spike ID Error"))</f>
        <v>0.98129648892116261</v>
      </c>
      <c r="BB8">
        <f>IF($AS8="Calcite",Constants!J$14*1,IF($AS8="Aragonite",Constants!J$13*1,"Spike ID Error"))</f>
        <v>18.583125972927476</v>
      </c>
      <c r="BC8">
        <f>IF($AS8="Calcite",Constants!K$14*1,IF($AS8="Aragonite",Constants!K$13*1,"Spike ID Error"))</f>
        <v>1.7442466578521214E-2</v>
      </c>
      <c r="BE8">
        <f t="shared" si="15"/>
        <v>2.95423186983649E-4</v>
      </c>
      <c r="BF8" s="1">
        <f t="shared" si="16"/>
        <v>2.9542318698768175E-4</v>
      </c>
      <c r="BG8" s="1">
        <f t="shared" si="33"/>
        <v>2.9554356998667461E-4</v>
      </c>
      <c r="BH8">
        <f t="shared" si="17"/>
        <v>9.7127965851737108E-4</v>
      </c>
      <c r="BI8" s="1">
        <f t="shared" si="18"/>
        <v>9.7191182471541499E-4</v>
      </c>
      <c r="BJ8" s="1">
        <f t="shared" si="34"/>
        <v>9.7190575049697935E-4</v>
      </c>
      <c r="BK8">
        <f t="shared" si="19"/>
        <v>6.1862342676487702E-4</v>
      </c>
      <c r="BL8" s="1">
        <f t="shared" si="20"/>
        <v>6.1862678704060667E-4</v>
      </c>
      <c r="BM8" s="1">
        <f t="shared" si="35"/>
        <v>2.8417040492983068E-3</v>
      </c>
      <c r="BN8">
        <f t="shared" si="21"/>
        <v>2.5686533980024025E-3</v>
      </c>
      <c r="BO8" s="1">
        <f t="shared" si="22"/>
        <v>2.568836053270831E-3</v>
      </c>
      <c r="BP8" s="1">
        <f t="shared" si="36"/>
        <v>2.6057630443192315E-3</v>
      </c>
      <c r="BR8" s="84">
        <f t="shared" si="43"/>
        <v>0.99959267256928974</v>
      </c>
      <c r="BS8" s="84">
        <f t="shared" si="44"/>
        <v>1.3645196084155486E-11</v>
      </c>
      <c r="BT8" s="84">
        <f t="shared" si="45"/>
        <v>4.0732741706506204E-4</v>
      </c>
      <c r="BU8" s="84">
        <f t="shared" si="37"/>
        <v>0.98575862590509489</v>
      </c>
      <c r="BV8" s="84">
        <f t="shared" si="38"/>
        <v>7.0096653195905745E-5</v>
      </c>
      <c r="BW8" s="84">
        <f t="shared" si="39"/>
        <v>1.4171277441709207E-2</v>
      </c>
      <c r="BY8" s="82">
        <f t="shared" si="40"/>
        <v>0.87518602016235902</v>
      </c>
      <c r="BZ8" s="82">
        <f t="shared" si="41"/>
        <v>1.1258319280388443E-2</v>
      </c>
      <c r="CA8" s="82">
        <f t="shared" si="42"/>
        <v>0.11355566055725284</v>
      </c>
    </row>
    <row r="9" spans="1:79">
      <c r="A9" s="72" t="s">
        <v>348</v>
      </c>
      <c r="B9" s="42" t="s">
        <v>354</v>
      </c>
      <c r="C9" s="65">
        <v>42005</v>
      </c>
      <c r="D9" s="42">
        <v>5.0430000000000003E-2</v>
      </c>
      <c r="E9" s="42">
        <v>8.1989999999999993E-2</v>
      </c>
      <c r="F9" s="34" cm="1">
        <f t="array" ref="F9:I9">'U data'!E15:H15</f>
        <v>582.83994414837809</v>
      </c>
      <c r="G9" s="34">
        <v>0.11321567593167478</v>
      </c>
      <c r="H9" s="34">
        <v>17865.46339576934</v>
      </c>
      <c r="I9" s="34">
        <v>16.186019262477124</v>
      </c>
      <c r="J9" s="49" cm="1">
        <f t="array" ref="J9:M9">'Th data'!E15:H15</f>
        <v>1.8270669242902089</v>
      </c>
      <c r="K9" s="49">
        <v>1.0461588532722208E-3</v>
      </c>
      <c r="L9" s="49">
        <v>6.0173738824283902E-3</v>
      </c>
      <c r="M9" s="49">
        <v>1.7063642980273637E-5</v>
      </c>
      <c r="N9">
        <f t="shared" si="23"/>
        <v>9.9875734923987838E-2</v>
      </c>
      <c r="O9">
        <f t="shared" si="23"/>
        <v>1.2508473428230642</v>
      </c>
      <c r="P9">
        <f t="shared" si="23"/>
        <v>0.25963086783899858</v>
      </c>
      <c r="Q9">
        <f t="shared" si="23"/>
        <v>3.8944630175849788</v>
      </c>
      <c r="R9">
        <f>(1-AT9/Constants!$C$19/F9)</f>
        <v>0.99999950312850205</v>
      </c>
      <c r="S9">
        <f t="shared" si="0"/>
        <v>0.98884850873042696</v>
      </c>
      <c r="T9" s="36">
        <f t="shared" si="1"/>
        <v>0.99804665613992494</v>
      </c>
      <c r="U9">
        <f t="shared" si="2"/>
        <v>0.9905455780148027</v>
      </c>
      <c r="V9">
        <f t="shared" si="24"/>
        <v>582.83965455182204</v>
      </c>
      <c r="W9">
        <f t="shared" si="4"/>
        <v>0.11321561968729185</v>
      </c>
      <c r="X9">
        <f t="shared" si="25"/>
        <v>18066.927705505736</v>
      </c>
      <c r="Y9">
        <f t="shared" si="5"/>
        <v>16.400215410244797</v>
      </c>
      <c r="Z9">
        <f t="shared" si="26"/>
        <v>1.8234980343317004</v>
      </c>
      <c r="AA9">
        <f t="shared" si="6"/>
        <v>1.0447251082670152E-3</v>
      </c>
      <c r="AB9">
        <f t="shared" si="27"/>
        <v>5.9604830905012071E-3</v>
      </c>
      <c r="AC9">
        <f t="shared" si="7"/>
        <v>1.6904709508400761E-5</v>
      </c>
      <c r="AD9">
        <f t="shared" si="8"/>
        <v>3.1656655516556532E-2</v>
      </c>
      <c r="AE9">
        <f t="shared" si="9"/>
        <v>582.81136026487764</v>
      </c>
      <c r="AF9">
        <f t="shared" si="28"/>
        <v>0.11343637846071808</v>
      </c>
      <c r="AG9">
        <f t="shared" si="10"/>
        <v>18067.166454091814</v>
      </c>
      <c r="AH9">
        <f t="shared" si="29"/>
        <v>16.400324022954262</v>
      </c>
      <c r="AI9">
        <f t="shared" si="11"/>
        <v>1.6446371059872655</v>
      </c>
      <c r="AJ9">
        <f t="shared" si="30"/>
        <v>4.4727434881361251E-2</v>
      </c>
      <c r="AK9">
        <f t="shared" si="12"/>
        <v>5.9462637712660287E-3</v>
      </c>
      <c r="AL9">
        <f t="shared" si="31"/>
        <v>1.7274432509721117E-5</v>
      </c>
      <c r="AM9">
        <f>(1/AG9*(Constants!D$5/Constants!D$2)-1)*1000</f>
        <v>6.9188878356967187</v>
      </c>
      <c r="AN9">
        <f t="shared" si="32"/>
        <v>0.90774190101292562</v>
      </c>
      <c r="AP9" s="27">
        <f t="shared" si="13"/>
        <v>5.5949620593167578E-7</v>
      </c>
      <c r="AQ9" s="1">
        <f t="shared" si="14"/>
        <v>1.7115863292629211E-9</v>
      </c>
      <c r="AS9" t="str">
        <f t="shared" si="3"/>
        <v>Aragonite</v>
      </c>
      <c r="AT9">
        <f>IF($AS9="Calcite",Constants!B$14*1,IF($AS9="Aragonite",Constants!B$13*1,"Spike ID Error"))</f>
        <v>2.8418008370340747E-4</v>
      </c>
      <c r="AU9">
        <f>IF($AS9="Calcite",Constants!C$14*1,IF($AS9="Aragonite",Constants!C$13*1,"Spike ID Error"))</f>
        <v>4.3656412515058804E-5</v>
      </c>
      <c r="AV9">
        <f>IF($AS9="Calcite",Constants!D$14*1,IF($AS9="Aragonite",Constants!D$13*1,"Spike ID Error"))</f>
        <v>3.57E-4</v>
      </c>
      <c r="AW9">
        <f>IF($AS9="Calcite",Constants!E$14*1,IF($AS9="Aragonite",Constants!E$13*1,"Spike ID Error"))</f>
        <v>3.5688899585084996E-3</v>
      </c>
      <c r="AX9">
        <f>IF($AS9="Calcite",Constants!F$14*1,IF($AS9="Aragonite",Constants!F$13*1,"Spike ID Error"))</f>
        <v>5.6890791927183131E-5</v>
      </c>
      <c r="AY9">
        <f>IF($AS9="Calcite",Constants!G$14*1,IF($AS9="Aragonite",Constants!G$13*1,"Spike ID Error"))</f>
        <v>0.37247099665446171</v>
      </c>
      <c r="AZ9">
        <f>IF($AS9="Calcite",Constants!H$14*1,IF($AS9="Aragonite",Constants!H$13*1,"Spike ID Error"))</f>
        <v>6.9216754520917103</v>
      </c>
      <c r="BA9">
        <f>IF($AS9="Calcite",Constants!I$14*1,IF($AS9="Aragonite",Constants!I$13*1,"Spike ID Error"))</f>
        <v>0.98129648892116261</v>
      </c>
      <c r="BB9">
        <f>IF($AS9="Calcite",Constants!J$14*1,IF($AS9="Aragonite",Constants!J$13*1,"Spike ID Error"))</f>
        <v>18.583125972927476</v>
      </c>
      <c r="BC9">
        <f>IF($AS9="Calcite",Constants!K$14*1,IF($AS9="Aragonite",Constants!K$13*1,"Spike ID Error"))</f>
        <v>1.7442466578521214E-2</v>
      </c>
      <c r="BE9">
        <f t="shared" si="15"/>
        <v>1.9424831305462582E-4</v>
      </c>
      <c r="BF9" s="1">
        <f t="shared" si="16"/>
        <v>1.9424831307051279E-4</v>
      </c>
      <c r="BG9" s="1">
        <f t="shared" si="33"/>
        <v>1.946365259749968E-4</v>
      </c>
      <c r="BH9">
        <f t="shared" si="17"/>
        <v>9.0599493021323372E-4</v>
      </c>
      <c r="BI9" s="1">
        <f t="shared" si="18"/>
        <v>9.0774788484081757E-4</v>
      </c>
      <c r="BJ9" s="1">
        <f t="shared" si="34"/>
        <v>9.0774190101292561E-4</v>
      </c>
      <c r="BK9">
        <f t="shared" si="19"/>
        <v>5.7258923543736066E-4</v>
      </c>
      <c r="BL9" s="1">
        <f t="shared" si="20"/>
        <v>5.7292362733470114E-4</v>
      </c>
      <c r="BM9" s="1">
        <f t="shared" si="35"/>
        <v>2.7195929557062772E-2</v>
      </c>
      <c r="BN9">
        <f t="shared" si="21"/>
        <v>2.8357292256846402E-3</v>
      </c>
      <c r="BO9" s="1">
        <f t="shared" si="22"/>
        <v>2.8361307719068241E-3</v>
      </c>
      <c r="BP9" s="1">
        <f t="shared" si="36"/>
        <v>2.9050901833847153E-3</v>
      </c>
      <c r="BR9" s="84">
        <f t="shared" si="43"/>
        <v>0.99800544672472802</v>
      </c>
      <c r="BS9" s="84">
        <f t="shared" si="44"/>
        <v>8.1623818815046434E-11</v>
      </c>
      <c r="BT9" s="84">
        <f t="shared" si="45"/>
        <v>1.9945531936481631E-3</v>
      </c>
      <c r="BU9" s="84">
        <f t="shared" si="37"/>
        <v>0.9761243357962599</v>
      </c>
      <c r="BV9" s="84">
        <f t="shared" si="38"/>
        <v>1.3822160306098397E-4</v>
      </c>
      <c r="BW9" s="84">
        <f t="shared" si="39"/>
        <v>2.3737442600679115E-2</v>
      </c>
      <c r="BY9" s="82">
        <f t="shared" si="40"/>
        <v>0.90181179501755304</v>
      </c>
      <c r="BZ9" s="82">
        <f t="shared" si="41"/>
        <v>4.0480452853899696E-3</v>
      </c>
      <c r="CA9" s="82">
        <f t="shared" si="42"/>
        <v>9.4140159697056983E-2</v>
      </c>
    </row>
    <row r="10" spans="1:79">
      <c r="A10" s="72" t="s">
        <v>349</v>
      </c>
      <c r="B10" s="42" t="s">
        <v>354</v>
      </c>
      <c r="C10" s="65">
        <v>42005</v>
      </c>
      <c r="D10" s="42">
        <v>5.713E-2</v>
      </c>
      <c r="E10" s="42">
        <v>0.10426000000000001</v>
      </c>
      <c r="F10" s="34" cm="1">
        <f t="array" ref="F10:I10">'U data'!E17:H17</f>
        <v>512.56712896287058</v>
      </c>
      <c r="G10" s="34">
        <v>0.15159088779740953</v>
      </c>
      <c r="H10" s="34">
        <v>17866.529523952424</v>
      </c>
      <c r="I10" s="34">
        <v>19.449922008831905</v>
      </c>
      <c r="J10" s="49" cm="1">
        <f t="array" ref="J10:M10">'Th data'!E17:H17</f>
        <v>0.84758036676980653</v>
      </c>
      <c r="K10" s="49">
        <v>7.5835643033937564E-4</v>
      </c>
      <c r="L10" s="49">
        <v>5.5998353813608379E-3</v>
      </c>
      <c r="M10" s="49">
        <v>1.3552165646876048E-5</v>
      </c>
      <c r="N10">
        <f t="shared" si="23"/>
        <v>9.9875734923987838E-2</v>
      </c>
      <c r="O10">
        <f t="shared" si="23"/>
        <v>1.2508473428230642</v>
      </c>
      <c r="P10">
        <f t="shared" si="23"/>
        <v>0.25963086783899858</v>
      </c>
      <c r="Q10">
        <f t="shared" si="23"/>
        <v>3.8944630175849788</v>
      </c>
      <c r="R10">
        <f>(1-AT10/Constants!$C$19/F10)</f>
        <v>0.99999943500755373</v>
      </c>
      <c r="S10">
        <f t="shared" si="0"/>
        <v>0.98731888557889702</v>
      </c>
      <c r="T10" s="36">
        <f t="shared" si="1"/>
        <v>0.99578931969352968</v>
      </c>
      <c r="U10">
        <f t="shared" si="2"/>
        <v>0.98984063136631739</v>
      </c>
      <c r="V10">
        <f t="shared" si="24"/>
        <v>512.56683936631453</v>
      </c>
      <c r="W10">
        <f t="shared" si="4"/>
        <v>0.15159080215661849</v>
      </c>
      <c r="X10">
        <f t="shared" si="25"/>
        <v>18095.996835938658</v>
      </c>
      <c r="Y10">
        <f t="shared" si="5"/>
        <v>19.733973670395216</v>
      </c>
      <c r="Z10">
        <f t="shared" si="26"/>
        <v>0.84401147681129807</v>
      </c>
      <c r="AA10">
        <f t="shared" si="6"/>
        <v>7.5600608947064989E-4</v>
      </c>
      <c r="AB10">
        <f t="shared" si="27"/>
        <v>5.5429445894336548E-3</v>
      </c>
      <c r="AC10">
        <f t="shared" si="7"/>
        <v>1.3417499782554145E-5</v>
      </c>
      <c r="AD10">
        <f t="shared" si="8"/>
        <v>2.7795099897932309E-2</v>
      </c>
      <c r="AE10">
        <f t="shared" si="9"/>
        <v>512.5445887564299</v>
      </c>
      <c r="AF10">
        <f t="shared" si="28"/>
        <v>0.15169282910210985</v>
      </c>
      <c r="AG10">
        <f t="shared" si="10"/>
        <v>18096.212278581799</v>
      </c>
      <c r="AH10">
        <f t="shared" si="29"/>
        <v>19.73404717220043</v>
      </c>
      <c r="AI10">
        <f t="shared" si="11"/>
        <v>0.70335535255501358</v>
      </c>
      <c r="AJ10">
        <f t="shared" si="30"/>
        <v>3.5172156969430747E-2</v>
      </c>
      <c r="AK10">
        <f t="shared" si="12"/>
        <v>5.5317625255156396E-3</v>
      </c>
      <c r="AL10">
        <f t="shared" si="31"/>
        <v>1.3705626946860243E-5</v>
      </c>
      <c r="AM10">
        <f>(1/AG10*(Constants!D$5/Constants!D$2)-1)*1000</f>
        <v>5.3027049107017277</v>
      </c>
      <c r="AN10">
        <f t="shared" si="32"/>
        <v>1.0905070557531604</v>
      </c>
      <c r="AP10" s="27">
        <f t="shared" si="13"/>
        <v>5.9185164529042667E-7</v>
      </c>
      <c r="AQ10" s="1">
        <f t="shared" si="14"/>
        <v>1.5778388950619853E-9</v>
      </c>
      <c r="AS10" t="str">
        <f t="shared" si="3"/>
        <v>Aragonite</v>
      </c>
      <c r="AT10">
        <f>IF($AS10="Calcite",Constants!B$14*1,IF($AS10="Aragonite",Constants!B$13*1,"Spike ID Error"))</f>
        <v>2.8418008370340747E-4</v>
      </c>
      <c r="AU10">
        <f>IF($AS10="Calcite",Constants!C$14*1,IF($AS10="Aragonite",Constants!C$13*1,"Spike ID Error"))</f>
        <v>4.3656412515058804E-5</v>
      </c>
      <c r="AV10">
        <f>IF($AS10="Calcite",Constants!D$14*1,IF($AS10="Aragonite",Constants!D$13*1,"Spike ID Error"))</f>
        <v>3.57E-4</v>
      </c>
      <c r="AW10">
        <f>IF($AS10="Calcite",Constants!E$14*1,IF($AS10="Aragonite",Constants!E$13*1,"Spike ID Error"))</f>
        <v>3.5688899585084996E-3</v>
      </c>
      <c r="AX10">
        <f>IF($AS10="Calcite",Constants!F$14*1,IF($AS10="Aragonite",Constants!F$13*1,"Spike ID Error"))</f>
        <v>5.6890791927183131E-5</v>
      </c>
      <c r="AY10">
        <f>IF($AS10="Calcite",Constants!G$14*1,IF($AS10="Aragonite",Constants!G$13*1,"Spike ID Error"))</f>
        <v>0.37247099665446171</v>
      </c>
      <c r="AZ10">
        <f>IF($AS10="Calcite",Constants!H$14*1,IF($AS10="Aragonite",Constants!H$13*1,"Spike ID Error"))</f>
        <v>6.9216754520917103</v>
      </c>
      <c r="BA10">
        <f>IF($AS10="Calcite",Constants!I$14*1,IF($AS10="Aragonite",Constants!I$13*1,"Spike ID Error"))</f>
        <v>0.98129648892116261</v>
      </c>
      <c r="BB10">
        <f>IF($AS10="Calcite",Constants!J$14*1,IF($AS10="Aragonite",Constants!J$13*1,"Spike ID Error"))</f>
        <v>18.583125972927476</v>
      </c>
      <c r="BC10">
        <f>IF($AS10="Calcite",Constants!K$14*1,IF($AS10="Aragonite",Constants!K$13*1,"Spike ID Error"))</f>
        <v>1.7442466578521214E-2</v>
      </c>
      <c r="BE10">
        <f t="shared" si="15"/>
        <v>2.9574836003264365E-4</v>
      </c>
      <c r="BF10" s="1">
        <f t="shared" si="16"/>
        <v>2.9574836004613551E-4</v>
      </c>
      <c r="BG10" s="1">
        <f t="shared" si="33"/>
        <v>2.9596025873603927E-4</v>
      </c>
      <c r="BH10">
        <f t="shared" si="17"/>
        <v>1.08862339397009E-3</v>
      </c>
      <c r="BI10" s="1">
        <f t="shared" si="18"/>
        <v>1.0905159770587234E-3</v>
      </c>
      <c r="BJ10" s="1">
        <f t="shared" si="34"/>
        <v>1.0905070557531604E-3</v>
      </c>
      <c r="BK10">
        <f t="shared" si="19"/>
        <v>8.9473100141468581E-4</v>
      </c>
      <c r="BL10" s="1">
        <f t="shared" si="20"/>
        <v>8.9572963193209731E-4</v>
      </c>
      <c r="BM10" s="1">
        <f t="shared" si="35"/>
        <v>5.000624057478787E-2</v>
      </c>
      <c r="BN10">
        <f t="shared" si="21"/>
        <v>2.4201007215291894E-3</v>
      </c>
      <c r="BO10" s="1">
        <f t="shared" si="22"/>
        <v>2.4206447612937559E-3</v>
      </c>
      <c r="BP10" s="1">
        <f t="shared" si="36"/>
        <v>2.4776238827393772E-3</v>
      </c>
      <c r="BR10" s="84">
        <f t="shared" si="43"/>
        <v>0.99928402987515763</v>
      </c>
      <c r="BS10" s="84">
        <f t="shared" si="44"/>
        <v>4.558675659183109E-11</v>
      </c>
      <c r="BT10" s="84">
        <f t="shared" si="45"/>
        <v>7.1597007925561229E-4</v>
      </c>
      <c r="BU10" s="84">
        <f t="shared" si="37"/>
        <v>0.97678293238496416</v>
      </c>
      <c r="BV10" s="84">
        <f t="shared" si="38"/>
        <v>2.1958125620136215E-4</v>
      </c>
      <c r="BW10" s="84">
        <f t="shared" si="39"/>
        <v>2.2997486358834474E-2</v>
      </c>
      <c r="BY10" s="82">
        <f t="shared" si="40"/>
        <v>0.86371638962499753</v>
      </c>
      <c r="BZ10" s="82">
        <f t="shared" si="41"/>
        <v>1.2324440145284995E-2</v>
      </c>
      <c r="CA10" s="82">
        <f t="shared" si="42"/>
        <v>0.12395917022971738</v>
      </c>
    </row>
    <row r="11" spans="1:79">
      <c r="A11" s="42" t="s">
        <v>350</v>
      </c>
      <c r="B11" s="42" t="s">
        <v>354</v>
      </c>
      <c r="C11" s="65">
        <v>42005</v>
      </c>
      <c r="D11" s="42">
        <v>4.8520000000000001E-2</v>
      </c>
      <c r="E11" s="42">
        <v>8.3110000000000003E-2</v>
      </c>
      <c r="F11" s="34" cm="1">
        <f t="array" ref="F11:I11">'U data'!E19:H19</f>
        <v>702.40849763609663</v>
      </c>
      <c r="G11" s="34">
        <v>0.14807906300581625</v>
      </c>
      <c r="H11" s="34">
        <v>17923.884404366687</v>
      </c>
      <c r="I11" s="34">
        <v>18.808967415907606</v>
      </c>
      <c r="J11" s="49" cm="1">
        <f t="array" ref="J11:M11">'Th data'!E19:H19</f>
        <v>1.3867933609448913</v>
      </c>
      <c r="K11" s="49">
        <v>8.6818602264699882E-4</v>
      </c>
      <c r="L11" s="49">
        <v>8.2120534933317058E-3</v>
      </c>
      <c r="M11" s="49">
        <v>1.6066248470988229E-5</v>
      </c>
      <c r="N11">
        <f t="shared" si="23"/>
        <v>9.9875734923987838E-2</v>
      </c>
      <c r="O11">
        <f t="shared" si="23"/>
        <v>1.2508473428230642</v>
      </c>
      <c r="P11">
        <f t="shared" si="23"/>
        <v>0.25963086783899858</v>
      </c>
      <c r="Q11">
        <f t="shared" si="23"/>
        <v>3.8944630175849788</v>
      </c>
      <c r="R11">
        <f>(1-AT11/Constants!$C$19/F11)</f>
        <v>0.9999995877092076</v>
      </c>
      <c r="S11">
        <f t="shared" si="0"/>
        <v>0.99071652978028757</v>
      </c>
      <c r="T11" s="36">
        <f t="shared" si="1"/>
        <v>0.99742651640899349</v>
      </c>
      <c r="U11">
        <f t="shared" si="2"/>
        <v>0.99307228186307128</v>
      </c>
      <c r="V11">
        <f t="shared" si="24"/>
        <v>702.40820803954057</v>
      </c>
      <c r="W11">
        <f t="shared" si="4"/>
        <v>0.14807900196126153</v>
      </c>
      <c r="X11">
        <f t="shared" si="25"/>
        <v>18091.831998088477</v>
      </c>
      <c r="Y11">
        <f t="shared" si="5"/>
        <v>19.004121491316376</v>
      </c>
      <c r="Z11">
        <f t="shared" si="26"/>
        <v>1.3832244709863828</v>
      </c>
      <c r="AA11">
        <f t="shared" si="6"/>
        <v>8.6668688030010893E-4</v>
      </c>
      <c r="AB11">
        <f t="shared" si="27"/>
        <v>8.1551627014045235E-3</v>
      </c>
      <c r="AC11">
        <f t="shared" si="7"/>
        <v>1.5957481533042332E-5</v>
      </c>
      <c r="AD11">
        <f t="shared" si="8"/>
        <v>3.8098447322053003E-2</v>
      </c>
      <c r="AE11">
        <f t="shared" si="9"/>
        <v>702.38029504968893</v>
      </c>
      <c r="AF11">
        <f t="shared" si="28"/>
        <v>0.14824333630722467</v>
      </c>
      <c r="AG11">
        <f t="shared" si="10"/>
        <v>18092.028963676323</v>
      </c>
      <c r="AH11">
        <f t="shared" si="29"/>
        <v>19.004185285665042</v>
      </c>
      <c r="AI11">
        <f t="shared" si="11"/>
        <v>1.2067738932585494</v>
      </c>
      <c r="AJ11">
        <f t="shared" si="30"/>
        <v>4.4121157565604162E-2</v>
      </c>
      <c r="AK11">
        <f t="shared" si="12"/>
        <v>8.1411350033646687E-3</v>
      </c>
      <c r="AL11">
        <f t="shared" si="31"/>
        <v>1.6338290497967385E-5</v>
      </c>
      <c r="AM11">
        <f>(1/AG11*(Constants!D$5/Constants!D$2)-1)*1000</f>
        <v>5.5351552234010892</v>
      </c>
      <c r="AN11">
        <f t="shared" si="32"/>
        <v>1.0504175802404512</v>
      </c>
      <c r="AP11" s="27">
        <f t="shared" si="13"/>
        <v>6.3561424476729433E-7</v>
      </c>
      <c r="AQ11" s="1">
        <f t="shared" si="14"/>
        <v>1.4145983745273626E-9</v>
      </c>
      <c r="AS11" t="str">
        <f t="shared" si="3"/>
        <v>Aragonite</v>
      </c>
      <c r="AT11">
        <f>IF($AS11="Calcite",Constants!B$14*1,IF($AS11="Aragonite",Constants!B$13*1,"Spike ID Error"))</f>
        <v>2.8418008370340747E-4</v>
      </c>
      <c r="AU11">
        <f>IF($AS11="Calcite",Constants!C$14*1,IF($AS11="Aragonite",Constants!C$13*1,"Spike ID Error"))</f>
        <v>4.3656412515058804E-5</v>
      </c>
      <c r="AV11">
        <f>IF($AS11="Calcite",Constants!D$14*1,IF($AS11="Aragonite",Constants!D$13*1,"Spike ID Error"))</f>
        <v>3.57E-4</v>
      </c>
      <c r="AW11">
        <f>IF($AS11="Calcite",Constants!E$14*1,IF($AS11="Aragonite",Constants!E$13*1,"Spike ID Error"))</f>
        <v>3.5688899585084996E-3</v>
      </c>
      <c r="AX11">
        <f>IF($AS11="Calcite",Constants!F$14*1,IF($AS11="Aragonite",Constants!F$13*1,"Spike ID Error"))</f>
        <v>5.6890791927183131E-5</v>
      </c>
      <c r="AY11">
        <f>IF($AS11="Calcite",Constants!G$14*1,IF($AS11="Aragonite",Constants!G$13*1,"Spike ID Error"))</f>
        <v>0.37247099665446171</v>
      </c>
      <c r="AZ11">
        <f>IF($AS11="Calcite",Constants!H$14*1,IF($AS11="Aragonite",Constants!H$13*1,"Spike ID Error"))</f>
        <v>6.9216754520917103</v>
      </c>
      <c r="BA11">
        <f>IF($AS11="Calcite",Constants!I$14*1,IF($AS11="Aragonite",Constants!I$13*1,"Spike ID Error"))</f>
        <v>0.98129648892116261</v>
      </c>
      <c r="BB11">
        <f>IF($AS11="Calcite",Constants!J$14*1,IF($AS11="Aragonite",Constants!J$13*1,"Spike ID Error"))</f>
        <v>18.583125972927476</v>
      </c>
      <c r="BC11">
        <f>IF($AS11="Calcite",Constants!K$14*1,IF($AS11="Aragonite",Constants!K$13*1,"Spike ID Error"))</f>
        <v>1.7442466578521214E-2</v>
      </c>
      <c r="BE11">
        <f t="shared" si="15"/>
        <v>2.1081616111445872E-4</v>
      </c>
      <c r="BF11" s="1">
        <f t="shared" si="16"/>
        <v>2.1081616112453763E-4</v>
      </c>
      <c r="BG11" s="1">
        <f t="shared" si="33"/>
        <v>2.1105850684028288E-4</v>
      </c>
      <c r="BH11">
        <f t="shared" si="17"/>
        <v>1.0493800892470212E-3</v>
      </c>
      <c r="BI11" s="1">
        <f t="shared" si="18"/>
        <v>1.0504254899848886E-3</v>
      </c>
      <c r="BJ11" s="1">
        <f t="shared" si="34"/>
        <v>1.0504175802404513E-3</v>
      </c>
      <c r="BK11">
        <f t="shared" si="19"/>
        <v>6.2603849073481323E-4</v>
      </c>
      <c r="BL11" s="1">
        <f t="shared" si="20"/>
        <v>6.2656994470468785E-4</v>
      </c>
      <c r="BM11" s="1">
        <f t="shared" si="35"/>
        <v>3.6561246321353151E-2</v>
      </c>
      <c r="BN11">
        <f t="shared" si="21"/>
        <v>1.9564227734310585E-3</v>
      </c>
      <c r="BO11" s="1">
        <f t="shared" si="22"/>
        <v>1.9567336811433639E-3</v>
      </c>
      <c r="BP11" s="1">
        <f t="shared" si="36"/>
        <v>2.0068811647534273E-3</v>
      </c>
      <c r="BR11" s="84">
        <f t="shared" si="43"/>
        <v>0.99885176044570645</v>
      </c>
      <c r="BS11" s="84">
        <f t="shared" si="44"/>
        <v>4.7754022958201858E-11</v>
      </c>
      <c r="BT11" s="84">
        <f t="shared" si="45"/>
        <v>1.1482395065395279E-3</v>
      </c>
      <c r="BU11" s="84">
        <f t="shared" si="37"/>
        <v>0.97485730983549879</v>
      </c>
      <c r="BV11" s="84">
        <f t="shared" si="38"/>
        <v>1.5492083824675262E-4</v>
      </c>
      <c r="BW11" s="84">
        <f t="shared" si="39"/>
        <v>2.4987769326254461E-2</v>
      </c>
      <c r="BY11" s="82">
        <f t="shared" si="40"/>
        <v>0.81313798235824652</v>
      </c>
      <c r="BZ11" s="82">
        <f t="shared" si="41"/>
        <v>8.9934568756662708E-3</v>
      </c>
      <c r="CA11" s="82">
        <f t="shared" si="42"/>
        <v>0.17786856076608729</v>
      </c>
    </row>
    <row r="12" spans="1:79">
      <c r="A12" s="42" t="s">
        <v>351</v>
      </c>
      <c r="B12" s="42" t="s">
        <v>354</v>
      </c>
      <c r="C12" s="65">
        <v>42005</v>
      </c>
      <c r="D12" s="42">
        <v>5.4670000000000003E-2</v>
      </c>
      <c r="E12" s="42">
        <v>8.0879999999999994E-2</v>
      </c>
      <c r="F12" s="34" cm="1">
        <f t="array" ref="F12:I12">'U data'!E21:H21</f>
        <v>628.3262756475184</v>
      </c>
      <c r="G12" s="34">
        <v>0.13640636084110924</v>
      </c>
      <c r="H12" s="34">
        <v>17899.001640088933</v>
      </c>
      <c r="I12" s="34">
        <v>20.003913154920795</v>
      </c>
      <c r="J12" s="49" cm="1">
        <f t="array" ref="J12:M12">'Th data'!E21:H21</f>
        <v>7.6840560870901493</v>
      </c>
      <c r="K12" s="49">
        <v>5.3845487141387285E-3</v>
      </c>
      <c r="L12" s="49">
        <v>7.8127077344506083E-3</v>
      </c>
      <c r="M12" s="49">
        <v>1.9653167268778723E-5</v>
      </c>
      <c r="N12">
        <f t="shared" si="23"/>
        <v>9.9875734923987838E-2</v>
      </c>
      <c r="O12">
        <f t="shared" si="23"/>
        <v>1.2508473428230642</v>
      </c>
      <c r="P12">
        <f t="shared" si="23"/>
        <v>0.25963086783899858</v>
      </c>
      <c r="Q12">
        <f t="shared" si="23"/>
        <v>3.8944630175849788</v>
      </c>
      <c r="R12">
        <f>(1-AT12/Constants!$C$19/F12)</f>
        <v>0.99999953909844719</v>
      </c>
      <c r="S12">
        <f t="shared" si="0"/>
        <v>0.98963637816428895</v>
      </c>
      <c r="T12" s="36">
        <f t="shared" si="1"/>
        <v>0.99953554608164497</v>
      </c>
      <c r="U12">
        <f t="shared" si="2"/>
        <v>0.99271817225719072</v>
      </c>
      <c r="V12">
        <f t="shared" si="24"/>
        <v>628.32598605096223</v>
      </c>
      <c r="W12">
        <f t="shared" si="4"/>
        <v>0.13640629797889103</v>
      </c>
      <c r="X12">
        <f t="shared" si="25"/>
        <v>18086.434356437818</v>
      </c>
      <c r="Y12">
        <f t="shared" si="5"/>
        <v>20.235560130310553</v>
      </c>
      <c r="Z12">
        <f t="shared" si="26"/>
        <v>7.6804871971316402</v>
      </c>
      <c r="AA12">
        <f t="shared" si="6"/>
        <v>5.382166166427305E-3</v>
      </c>
      <c r="AB12">
        <f t="shared" si="27"/>
        <v>7.7558169425234252E-3</v>
      </c>
      <c r="AC12">
        <f t="shared" si="7"/>
        <v>1.9512129829905065E-5</v>
      </c>
      <c r="AD12">
        <f t="shared" si="8"/>
        <v>3.4090416710039297E-2</v>
      </c>
      <c r="AE12">
        <f t="shared" si="9"/>
        <v>628.29730345221628</v>
      </c>
      <c r="AF12">
        <f t="shared" si="28"/>
        <v>0.13659464244703126</v>
      </c>
      <c r="AG12">
        <f t="shared" si="10"/>
        <v>18086.660236429641</v>
      </c>
      <c r="AH12">
        <f t="shared" si="29"/>
        <v>20.23563892364368</v>
      </c>
      <c r="AI12">
        <f t="shared" si="11"/>
        <v>7.4991715750376704</v>
      </c>
      <c r="AJ12">
        <f t="shared" si="30"/>
        <v>4.5647315239789717E-2</v>
      </c>
      <c r="AK12">
        <f t="shared" si="12"/>
        <v>7.741402476844737E-3</v>
      </c>
      <c r="AL12">
        <f t="shared" si="31"/>
        <v>1.9842108300258851E-5</v>
      </c>
      <c r="AM12">
        <f>(1/AG12*(Constants!D$5/Constants!D$2)-1)*1000</f>
        <v>5.8336317754439371</v>
      </c>
      <c r="AN12">
        <f t="shared" si="32"/>
        <v>1.1188156718334117</v>
      </c>
      <c r="AP12" s="27">
        <f t="shared" si="13"/>
        <v>6.7567124290708316E-7</v>
      </c>
      <c r="AQ12" s="1">
        <f t="shared" si="14"/>
        <v>1.8501342300699068E-9</v>
      </c>
      <c r="AS12" t="str">
        <f t="shared" si="3"/>
        <v>Aragonite</v>
      </c>
      <c r="AT12">
        <f>IF($AS12="Calcite",Constants!B$14*1,IF($AS12="Aragonite",Constants!B$13*1,"Spike ID Error"))</f>
        <v>2.8418008370340747E-4</v>
      </c>
      <c r="AU12">
        <f>IF($AS12="Calcite",Constants!C$14*1,IF($AS12="Aragonite",Constants!C$13*1,"Spike ID Error"))</f>
        <v>4.3656412515058804E-5</v>
      </c>
      <c r="AV12">
        <f>IF($AS12="Calcite",Constants!D$14*1,IF($AS12="Aragonite",Constants!D$13*1,"Spike ID Error"))</f>
        <v>3.57E-4</v>
      </c>
      <c r="AW12">
        <f>IF($AS12="Calcite",Constants!E$14*1,IF($AS12="Aragonite",Constants!E$13*1,"Spike ID Error"))</f>
        <v>3.5688899585084996E-3</v>
      </c>
      <c r="AX12">
        <f>IF($AS12="Calcite",Constants!F$14*1,IF($AS12="Aragonite",Constants!F$13*1,"Spike ID Error"))</f>
        <v>5.6890791927183131E-5</v>
      </c>
      <c r="AY12">
        <f>IF($AS12="Calcite",Constants!G$14*1,IF($AS12="Aragonite",Constants!G$13*1,"Spike ID Error"))</f>
        <v>0.37247099665446171</v>
      </c>
      <c r="AZ12">
        <f>IF($AS12="Calcite",Constants!H$14*1,IF($AS12="Aragonite",Constants!H$13*1,"Spike ID Error"))</f>
        <v>6.9216754520917103</v>
      </c>
      <c r="BA12">
        <f>IF($AS12="Calcite",Constants!I$14*1,IF($AS12="Aragonite",Constants!I$13*1,"Spike ID Error"))</f>
        <v>0.98129648892116261</v>
      </c>
      <c r="BB12">
        <f>IF($AS12="Calcite",Constants!J$14*1,IF($AS12="Aragonite",Constants!J$13*1,"Spike ID Error"))</f>
        <v>18.583125972927476</v>
      </c>
      <c r="BC12">
        <f>IF($AS12="Calcite",Constants!K$14*1,IF($AS12="Aragonite",Constants!K$13*1,"Spike ID Error"))</f>
        <v>1.7442466578521214E-2</v>
      </c>
      <c r="BE12">
        <f t="shared" si="15"/>
        <v>2.1709478996487355E-4</v>
      </c>
      <c r="BF12" s="1">
        <f t="shared" si="16"/>
        <v>2.1709478997710498E-4</v>
      </c>
      <c r="BG12" s="1">
        <f t="shared" si="33"/>
        <v>2.1740447029854179E-4</v>
      </c>
      <c r="BH12">
        <f t="shared" si="17"/>
        <v>1.1175993810804189E-3</v>
      </c>
      <c r="BI12" s="1">
        <f t="shared" si="18"/>
        <v>1.1188252881424226E-3</v>
      </c>
      <c r="BJ12" s="1">
        <f t="shared" si="34"/>
        <v>1.1188156718334116E-3</v>
      </c>
      <c r="BK12">
        <f t="shared" si="19"/>
        <v>7.0074302596323003E-4</v>
      </c>
      <c r="BL12" s="1">
        <f t="shared" si="20"/>
        <v>7.0075843215223793E-4</v>
      </c>
      <c r="BM12" s="1">
        <f t="shared" si="35"/>
        <v>6.0869810462444874E-3</v>
      </c>
      <c r="BN12">
        <f t="shared" si="21"/>
        <v>2.515538522210026E-3</v>
      </c>
      <c r="BO12" s="1">
        <f t="shared" si="22"/>
        <v>2.5158058750619013E-3</v>
      </c>
      <c r="BP12" s="1">
        <f t="shared" si="36"/>
        <v>2.5631154509287513E-3</v>
      </c>
      <c r="BR12" s="84">
        <f t="shared" si="43"/>
        <v>0.99857555673421539</v>
      </c>
      <c r="BS12" s="84">
        <f t="shared" si="44"/>
        <v>5.626110688439212E-11</v>
      </c>
      <c r="BT12" s="84">
        <f t="shared" si="45"/>
        <v>1.4244432095235071E-3</v>
      </c>
      <c r="BU12" s="84">
        <f t="shared" si="37"/>
        <v>0.9814378518527187</v>
      </c>
      <c r="BV12" s="84">
        <f t="shared" si="38"/>
        <v>1.0430776802439201E-4</v>
      </c>
      <c r="BW12" s="84">
        <f t="shared" si="39"/>
        <v>1.8457840379256907E-2</v>
      </c>
      <c r="BY12" s="82">
        <f t="shared" si="40"/>
        <v>0.87619492130110754</v>
      </c>
      <c r="BZ12" s="82">
        <f t="shared" si="41"/>
        <v>6.303784151078011E-3</v>
      </c>
      <c r="CA12" s="82">
        <f t="shared" si="42"/>
        <v>0.11750129454781466</v>
      </c>
    </row>
    <row r="13" spans="1:79">
      <c r="A13" s="42" t="s">
        <v>355</v>
      </c>
      <c r="B13" s="42" t="s">
        <v>354</v>
      </c>
      <c r="C13" s="65">
        <v>42005</v>
      </c>
      <c r="D13" s="42">
        <v>2.4599999999999999E-3</v>
      </c>
      <c r="E13" s="42">
        <v>9.9890000000000007E-2</v>
      </c>
      <c r="F13" s="34" cm="1">
        <f t="array" ref="F13:I13">'U data'!E23:H23</f>
        <v>205.25574811880583</v>
      </c>
      <c r="G13" s="34">
        <v>1.9631791762990895E-2</v>
      </c>
      <c r="H13" s="34">
        <v>9312.5114287235883</v>
      </c>
      <c r="I13" s="34">
        <v>8.0268910380814713</v>
      </c>
      <c r="J13" s="49" cm="1">
        <f t="array" ref="J13:M13">'Th data'!E23:H23</f>
        <v>11.815929166210161</v>
      </c>
      <c r="K13" s="49">
        <v>5.9550872931864252E-3</v>
      </c>
      <c r="L13" s="49">
        <v>2.1847031332309922E-2</v>
      </c>
      <c r="M13" s="49">
        <v>3.8083923136207837E-5</v>
      </c>
      <c r="N13">
        <f t="shared" si="23"/>
        <v>9.9875734923987838E-2</v>
      </c>
      <c r="O13">
        <f t="shared" si="23"/>
        <v>1.2508473428230642</v>
      </c>
      <c r="P13">
        <f t="shared" si="23"/>
        <v>0.25963086783899858</v>
      </c>
      <c r="Q13">
        <f t="shared" si="23"/>
        <v>3.8944630175849788</v>
      </c>
      <c r="R13">
        <f>(1-AT13/Constants!$C$19/F13)</f>
        <v>0.99999858909405093</v>
      </c>
      <c r="S13">
        <f t="shared" si="0"/>
        <v>0.98349409042075076</v>
      </c>
      <c r="T13" s="36">
        <f t="shared" si="1"/>
        <v>0.99969795943185624</v>
      </c>
      <c r="U13">
        <f t="shared" si="2"/>
        <v>0.99739594862744363</v>
      </c>
      <c r="V13">
        <f t="shared" si="24"/>
        <v>205.25545852224971</v>
      </c>
      <c r="W13">
        <f t="shared" si="4"/>
        <v>1.963176411777864E-2</v>
      </c>
      <c r="X13">
        <f t="shared" si="25"/>
        <v>9468.7892691473244</v>
      </c>
      <c r="Y13">
        <f t="shared" si="5"/>
        <v>8.2001806185533166</v>
      </c>
      <c r="Z13">
        <f t="shared" si="26"/>
        <v>11.812360276251653</v>
      </c>
      <c r="AA13">
        <f t="shared" si="6"/>
        <v>5.9533955885582319E-3</v>
      </c>
      <c r="AB13">
        <f t="shared" si="27"/>
        <v>2.1790140540382738E-2</v>
      </c>
      <c r="AC13">
        <f t="shared" si="7"/>
        <v>3.7985815714998894E-5</v>
      </c>
      <c r="AD13">
        <f t="shared" si="8"/>
        <v>2.1271617210457228E-2</v>
      </c>
      <c r="AE13">
        <f t="shared" si="9"/>
        <v>205.23223448994847</v>
      </c>
      <c r="AF13">
        <f t="shared" si="28"/>
        <v>2.0472320145666825E-2</v>
      </c>
      <c r="AG13">
        <f t="shared" si="10"/>
        <v>9468.4322111788551</v>
      </c>
      <c r="AH13">
        <f t="shared" si="29"/>
        <v>8.2006664562369824</v>
      </c>
      <c r="AI13">
        <f t="shared" si="11"/>
        <v>11.665550710579812</v>
      </c>
      <c r="AJ13">
        <f t="shared" si="30"/>
        <v>3.718209858024462E-2</v>
      </c>
      <c r="AK13">
        <f t="shared" si="12"/>
        <v>2.1778469282157768E-2</v>
      </c>
      <c r="AL13">
        <f t="shared" si="31"/>
        <v>3.8097714331944878E-5</v>
      </c>
      <c r="AM13">
        <f>(1/AG13*(Constants!D$5/Constants!D$2)-1)*1000</f>
        <v>921.34988629036661</v>
      </c>
      <c r="AN13">
        <f t="shared" si="32"/>
        <v>0.86610605360356374</v>
      </c>
      <c r="AP13" s="27">
        <f t="shared" si="13"/>
        <v>5.819193012993123E-6</v>
      </c>
      <c r="AQ13" s="1">
        <f t="shared" si="14"/>
        <v>1.1567039642644462E-8</v>
      </c>
      <c r="AS13" t="str">
        <f t="shared" si="3"/>
        <v>Aragonite</v>
      </c>
      <c r="AT13">
        <f>IF($AS13="Calcite",Constants!B$14*1,IF($AS13="Aragonite",Constants!B$13*1,"Spike ID Error"))</f>
        <v>2.8418008370340747E-4</v>
      </c>
      <c r="AU13">
        <f>IF($AS13="Calcite",Constants!C$14*1,IF($AS13="Aragonite",Constants!C$13*1,"Spike ID Error"))</f>
        <v>4.3656412515058804E-5</v>
      </c>
      <c r="AV13">
        <f>IF($AS13="Calcite",Constants!D$14*1,IF($AS13="Aragonite",Constants!D$13*1,"Spike ID Error"))</f>
        <v>3.57E-4</v>
      </c>
      <c r="AW13">
        <f>IF($AS13="Calcite",Constants!E$14*1,IF($AS13="Aragonite",Constants!E$13*1,"Spike ID Error"))</f>
        <v>3.5688899585084996E-3</v>
      </c>
      <c r="AX13">
        <f>IF($AS13="Calcite",Constants!F$14*1,IF($AS13="Aragonite",Constants!F$13*1,"Spike ID Error"))</f>
        <v>5.6890791927183131E-5</v>
      </c>
      <c r="AY13">
        <f>IF($AS13="Calcite",Constants!G$14*1,IF($AS13="Aragonite",Constants!G$13*1,"Spike ID Error"))</f>
        <v>0.37247099665446171</v>
      </c>
      <c r="AZ13">
        <f>IF($AS13="Calcite",Constants!H$14*1,IF($AS13="Aragonite",Constants!H$13*1,"Spike ID Error"))</f>
        <v>6.9216754520917103</v>
      </c>
      <c r="BA13">
        <f>IF($AS13="Calcite",Constants!I$14*1,IF($AS13="Aragonite",Constants!I$13*1,"Spike ID Error"))</f>
        <v>0.98129648892116261</v>
      </c>
      <c r="BB13">
        <f>IF($AS13="Calcite",Constants!J$14*1,IF($AS13="Aragonite",Constants!J$13*1,"Spike ID Error"))</f>
        <v>18.583125972927476</v>
      </c>
      <c r="BC13">
        <f>IF($AS13="Calcite",Constants!K$14*1,IF($AS13="Aragonite",Constants!K$13*1,"Spike ID Error"))</f>
        <v>1.7442466578521214E-2</v>
      </c>
      <c r="BE13">
        <f t="shared" si="15"/>
        <v>9.5645515133771804E-5</v>
      </c>
      <c r="BF13" s="1">
        <f t="shared" si="16"/>
        <v>9.5645515393933149E-5</v>
      </c>
      <c r="BG13" s="1">
        <f t="shared" si="33"/>
        <v>9.9751972181882009E-5</v>
      </c>
      <c r="BH13">
        <f t="shared" si="17"/>
        <v>8.619469731143912E-4</v>
      </c>
      <c r="BI13" s="1">
        <f t="shared" si="18"/>
        <v>8.6602208428826434E-4</v>
      </c>
      <c r="BJ13" s="1">
        <f t="shared" si="34"/>
        <v>8.661060536035637E-4</v>
      </c>
      <c r="BK13">
        <f t="shared" si="19"/>
        <v>5.039880663990523E-4</v>
      </c>
      <c r="BL13" s="1">
        <f t="shared" si="20"/>
        <v>5.0399712244870575E-4</v>
      </c>
      <c r="BM13" s="1">
        <f t="shared" si="35"/>
        <v>3.1873419011862977E-3</v>
      </c>
      <c r="BN13">
        <f t="shared" si="21"/>
        <v>1.7432081529486763E-3</v>
      </c>
      <c r="BO13" s="1">
        <f t="shared" si="22"/>
        <v>1.743257031527695E-3</v>
      </c>
      <c r="BP13" s="1">
        <f t="shared" si="36"/>
        <v>1.7493292957534356E-3</v>
      </c>
      <c r="BR13" s="84">
        <f t="shared" si="43"/>
        <v>0.95883332471239036</v>
      </c>
      <c r="BS13" s="84">
        <f t="shared" si="44"/>
        <v>2.6080821946550259E-9</v>
      </c>
      <c r="BT13" s="84">
        <f t="shared" si="45"/>
        <v>4.116667267952745E-2</v>
      </c>
      <c r="BU13" s="84">
        <f t="shared" si="37"/>
        <v>0.996500863033839</v>
      </c>
      <c r="BV13" s="84">
        <f t="shared" si="38"/>
        <v>2.7941325362323965E-5</v>
      </c>
      <c r="BW13" s="84">
        <f t="shared" si="39"/>
        <v>3.4711956407986744E-3</v>
      </c>
      <c r="BY13" s="82">
        <f t="shared" si="40"/>
        <v>0.77450498083703134</v>
      </c>
      <c r="BZ13" s="82">
        <f t="shared" si="41"/>
        <v>2.5183962161144445E-3</v>
      </c>
      <c r="CA13" s="82">
        <f t="shared" si="42"/>
        <v>0.22297662294685444</v>
      </c>
    </row>
    <row r="14" spans="1:79">
      <c r="A14" s="42"/>
      <c r="B14" s="42" t="s">
        <v>354</v>
      </c>
      <c r="C14" s="65">
        <v>42005</v>
      </c>
      <c r="D14" s="42"/>
      <c r="E14" s="42"/>
      <c r="F14" s="34"/>
      <c r="G14" s="34"/>
      <c r="H14" s="34"/>
      <c r="I14" s="34"/>
      <c r="J14" s="49"/>
      <c r="K14" s="49"/>
      <c r="L14" s="49"/>
      <c r="M14" s="49"/>
      <c r="N14">
        <f t="shared" si="23"/>
        <v>9.9875734923987838E-2</v>
      </c>
      <c r="O14">
        <f t="shared" si="23"/>
        <v>1.2508473428230642</v>
      </c>
      <c r="P14">
        <f t="shared" si="23"/>
        <v>0.25963086783899858</v>
      </c>
      <c r="Q14">
        <f t="shared" si="23"/>
        <v>3.8944630175849788</v>
      </c>
      <c r="R14" t="e">
        <f>(1-AT14/Constants!$C$19/F14)</f>
        <v>#DIV/0!</v>
      </c>
      <c r="S14" t="e">
        <f t="shared" si="0"/>
        <v>#DIV/0!</v>
      </c>
      <c r="T14" s="36" t="e">
        <f t="shared" si="1"/>
        <v>#DIV/0!</v>
      </c>
      <c r="U14" t="e">
        <f t="shared" si="2"/>
        <v>#DIV/0!</v>
      </c>
      <c r="V14" t="e">
        <f t="shared" ref="V14:V19" si="46">F14*R14</f>
        <v>#DIV/0!</v>
      </c>
      <c r="W14" t="e">
        <f t="shared" si="4"/>
        <v>#DIV/0!</v>
      </c>
      <c r="X14" t="e">
        <f t="shared" ref="X14:X19" si="47">H14*R14/S14</f>
        <v>#DIV/0!</v>
      </c>
      <c r="Y14" t="e">
        <f t="shared" si="5"/>
        <v>#DIV/0!</v>
      </c>
      <c r="Z14" t="e">
        <f t="shared" ref="Z14:Z19" si="48">J14*T14</f>
        <v>#DIV/0!</v>
      </c>
      <c r="AA14" t="e">
        <f t="shared" si="6"/>
        <v>#DIV/0!</v>
      </c>
      <c r="AB14" t="e">
        <f t="shared" ref="AB14:AB19" si="49">L14*U14</f>
        <v>#DIV/0!</v>
      </c>
      <c r="AC14" t="e">
        <f t="shared" si="7"/>
        <v>#DIV/0!</v>
      </c>
      <c r="AD14" t="e">
        <f t="shared" si="8"/>
        <v>#DIV/0!</v>
      </c>
      <c r="AE14" t="e">
        <f t="shared" si="9"/>
        <v>#DIV/0!</v>
      </c>
      <c r="AF14" t="e">
        <f t="shared" si="28"/>
        <v>#DIV/0!</v>
      </c>
      <c r="AG14" t="e">
        <f t="shared" si="10"/>
        <v>#DIV/0!</v>
      </c>
      <c r="AH14" t="e">
        <f t="shared" si="29"/>
        <v>#DIV/0!</v>
      </c>
      <c r="AI14" t="e">
        <f t="shared" si="11"/>
        <v>#DIV/0!</v>
      </c>
      <c r="AJ14" t="e">
        <f t="shared" si="30"/>
        <v>#DIV/0!</v>
      </c>
      <c r="AK14" t="e">
        <f t="shared" si="12"/>
        <v>#DIV/0!</v>
      </c>
      <c r="AL14" t="e">
        <f t="shared" si="31"/>
        <v>#DIV/0!</v>
      </c>
      <c r="AM14" t="e">
        <f>(1/AG14*(Constants!D$5/Constants!D$2)-1)*1000</f>
        <v>#DIV/0!</v>
      </c>
      <c r="AN14" t="e">
        <f t="shared" ref="AN14:AN19" si="50">AH14/AG14*1000</f>
        <v>#DIV/0!</v>
      </c>
      <c r="AP14" s="27" t="e">
        <f t="shared" si="13"/>
        <v>#DIV/0!</v>
      </c>
      <c r="AQ14" s="1" t="e">
        <f t="shared" si="14"/>
        <v>#DIV/0!</v>
      </c>
      <c r="AS14" t="str">
        <f t="shared" si="3"/>
        <v>Aragonite</v>
      </c>
      <c r="AT14">
        <f>IF($AS14="Calcite",Constants!B$14*1,IF($AS14="Aragonite",Constants!B$13*1,"Spike ID Error"))</f>
        <v>2.8418008370340747E-4</v>
      </c>
      <c r="AU14">
        <f>IF($AS14="Calcite",Constants!C$14*1,IF($AS14="Aragonite",Constants!C$13*1,"Spike ID Error"))</f>
        <v>4.3656412515058804E-5</v>
      </c>
      <c r="AV14">
        <f>IF($AS14="Calcite",Constants!D$14*1,IF($AS14="Aragonite",Constants!D$13*1,"Spike ID Error"))</f>
        <v>3.57E-4</v>
      </c>
      <c r="AW14">
        <f>IF($AS14="Calcite",Constants!E$14*1,IF($AS14="Aragonite",Constants!E$13*1,"Spike ID Error"))</f>
        <v>3.5688899585084996E-3</v>
      </c>
      <c r="AX14">
        <f>IF($AS14="Calcite",Constants!F$14*1,IF($AS14="Aragonite",Constants!F$13*1,"Spike ID Error"))</f>
        <v>5.6890791927183131E-5</v>
      </c>
      <c r="AY14">
        <f>IF($AS14="Calcite",Constants!G$14*1,IF($AS14="Aragonite",Constants!G$13*1,"Spike ID Error"))</f>
        <v>0.37247099665446171</v>
      </c>
      <c r="AZ14">
        <f>IF($AS14="Calcite",Constants!H$14*1,IF($AS14="Aragonite",Constants!H$13*1,"Spike ID Error"))</f>
        <v>6.9216754520917103</v>
      </c>
      <c r="BA14">
        <f>IF($AS14="Calcite",Constants!I$14*1,IF($AS14="Aragonite",Constants!I$13*1,"Spike ID Error"))</f>
        <v>0.98129648892116261</v>
      </c>
      <c r="BB14">
        <f>IF($AS14="Calcite",Constants!J$14*1,IF($AS14="Aragonite",Constants!J$13*1,"Spike ID Error"))</f>
        <v>18.583125972927476</v>
      </c>
      <c r="BC14">
        <f>IF($AS14="Calcite",Constants!K$14*1,IF($AS14="Aragonite",Constants!K$13*1,"Spike ID Error"))</f>
        <v>1.7442466578521214E-2</v>
      </c>
      <c r="BE14" t="e">
        <f t="shared" si="15"/>
        <v>#DIV/0!</v>
      </c>
      <c r="BF14" s="1" t="e">
        <f t="shared" si="16"/>
        <v>#DIV/0!</v>
      </c>
      <c r="BG14" s="1" t="e">
        <f t="shared" si="33"/>
        <v>#DIV/0!</v>
      </c>
      <c r="BH14" t="e">
        <f t="shared" si="17"/>
        <v>#DIV/0!</v>
      </c>
      <c r="BI14" s="1" t="e">
        <f t="shared" si="18"/>
        <v>#DIV/0!</v>
      </c>
      <c r="BJ14" s="1" t="e">
        <f t="shared" si="34"/>
        <v>#DIV/0!</v>
      </c>
      <c r="BK14" t="e">
        <f t="shared" si="19"/>
        <v>#DIV/0!</v>
      </c>
      <c r="BL14" s="1" t="e">
        <f t="shared" si="20"/>
        <v>#DIV/0!</v>
      </c>
      <c r="BM14" s="1" t="e">
        <f t="shared" si="35"/>
        <v>#DIV/0!</v>
      </c>
      <c r="BN14" t="e">
        <f t="shared" si="21"/>
        <v>#DIV/0!</v>
      </c>
      <c r="BO14" s="1" t="e">
        <f t="shared" si="22"/>
        <v>#DIV/0!</v>
      </c>
      <c r="BP14" s="1" t="e">
        <f t="shared" si="36"/>
        <v>#DIV/0!</v>
      </c>
      <c r="BR14" s="84" t="e">
        <f t="shared" si="43"/>
        <v>#DIV/0!</v>
      </c>
      <c r="BS14" s="84" t="e">
        <f t="shared" si="44"/>
        <v>#DIV/0!</v>
      </c>
      <c r="BT14" s="84" t="e">
        <f t="shared" si="45"/>
        <v>#DIV/0!</v>
      </c>
      <c r="BU14" s="84" t="e">
        <f t="shared" si="37"/>
        <v>#DIV/0!</v>
      </c>
      <c r="BV14" s="84" t="e">
        <f t="shared" si="38"/>
        <v>#DIV/0!</v>
      </c>
      <c r="BW14" s="84" t="e">
        <f t="shared" si="39"/>
        <v>#DIV/0!</v>
      </c>
      <c r="BY14" s="82" t="e">
        <f t="shared" si="40"/>
        <v>#DIV/0!</v>
      </c>
      <c r="BZ14" s="82" t="e">
        <f t="shared" si="41"/>
        <v>#DIV/0!</v>
      </c>
      <c r="CA14" s="82" t="e">
        <f t="shared" si="42"/>
        <v>#DIV/0!</v>
      </c>
    </row>
    <row r="15" spans="1:79">
      <c r="A15" s="42"/>
      <c r="B15" s="42" t="s">
        <v>354</v>
      </c>
      <c r="C15" s="65">
        <v>42005</v>
      </c>
      <c r="D15" s="42"/>
      <c r="E15" s="42"/>
      <c r="F15" s="34"/>
      <c r="G15" s="34"/>
      <c r="H15" s="34"/>
      <c r="I15" s="34"/>
      <c r="J15" s="49"/>
      <c r="K15" s="49"/>
      <c r="L15" s="49"/>
      <c r="M15" s="49"/>
      <c r="N15">
        <f t="shared" si="23"/>
        <v>9.9875734923987838E-2</v>
      </c>
      <c r="O15">
        <f t="shared" si="23"/>
        <v>1.2508473428230642</v>
      </c>
      <c r="P15">
        <f t="shared" si="23"/>
        <v>0.25963086783899858</v>
      </c>
      <c r="Q15">
        <f t="shared" si="23"/>
        <v>3.8944630175849788</v>
      </c>
      <c r="R15" t="e">
        <f>(1-AT15/Constants!$C$19/F15)</f>
        <v>#DIV/0!</v>
      </c>
      <c r="S15" t="e">
        <f t="shared" si="0"/>
        <v>#DIV/0!</v>
      </c>
      <c r="T15" s="36" t="e">
        <f t="shared" si="1"/>
        <v>#DIV/0!</v>
      </c>
      <c r="U15" t="e">
        <f t="shared" si="2"/>
        <v>#DIV/0!</v>
      </c>
      <c r="V15" t="e">
        <f t="shared" si="46"/>
        <v>#DIV/0!</v>
      </c>
      <c r="W15" t="e">
        <f t="shared" si="4"/>
        <v>#DIV/0!</v>
      </c>
      <c r="X15" t="e">
        <f t="shared" si="47"/>
        <v>#DIV/0!</v>
      </c>
      <c r="Y15" t="e">
        <f t="shared" si="5"/>
        <v>#DIV/0!</v>
      </c>
      <c r="Z15" t="e">
        <f t="shared" si="48"/>
        <v>#DIV/0!</v>
      </c>
      <c r="AA15" t="e">
        <f t="shared" si="6"/>
        <v>#DIV/0!</v>
      </c>
      <c r="AB15" t="e">
        <f t="shared" si="49"/>
        <v>#DIV/0!</v>
      </c>
      <c r="AC15" t="e">
        <f t="shared" si="7"/>
        <v>#DIV/0!</v>
      </c>
      <c r="AD15" t="e">
        <f t="shared" si="8"/>
        <v>#DIV/0!</v>
      </c>
      <c r="AE15" t="e">
        <f t="shared" si="9"/>
        <v>#DIV/0!</v>
      </c>
      <c r="AF15" t="e">
        <f t="shared" si="28"/>
        <v>#DIV/0!</v>
      </c>
      <c r="AG15" t="e">
        <f t="shared" si="10"/>
        <v>#DIV/0!</v>
      </c>
      <c r="AH15" t="e">
        <f t="shared" si="29"/>
        <v>#DIV/0!</v>
      </c>
      <c r="AI15" t="e">
        <f t="shared" si="11"/>
        <v>#DIV/0!</v>
      </c>
      <c r="AJ15" t="e">
        <f t="shared" si="30"/>
        <v>#DIV/0!</v>
      </c>
      <c r="AK15" t="e">
        <f t="shared" si="12"/>
        <v>#DIV/0!</v>
      </c>
      <c r="AL15" t="e">
        <f t="shared" si="31"/>
        <v>#DIV/0!</v>
      </c>
      <c r="AM15" t="e">
        <f>(1/AG15*(Constants!D$5/Constants!D$2)-1)*1000</f>
        <v>#DIV/0!</v>
      </c>
      <c r="AN15" t="e">
        <f t="shared" si="50"/>
        <v>#DIV/0!</v>
      </c>
      <c r="AP15" s="27" t="e">
        <f t="shared" si="13"/>
        <v>#DIV/0!</v>
      </c>
      <c r="AQ15" s="1" t="e">
        <f t="shared" si="14"/>
        <v>#DIV/0!</v>
      </c>
      <c r="AS15" t="str">
        <f t="shared" si="3"/>
        <v>Aragonite</v>
      </c>
      <c r="AT15">
        <f>IF($AS15="Calcite",Constants!B$14*1,IF($AS15="Aragonite",Constants!B$13*1,"Spike ID Error"))</f>
        <v>2.8418008370340747E-4</v>
      </c>
      <c r="AU15">
        <f>IF($AS15="Calcite",Constants!C$14*1,IF($AS15="Aragonite",Constants!C$13*1,"Spike ID Error"))</f>
        <v>4.3656412515058804E-5</v>
      </c>
      <c r="AV15">
        <f>IF($AS15="Calcite",Constants!D$14*1,IF($AS15="Aragonite",Constants!D$13*1,"Spike ID Error"))</f>
        <v>3.57E-4</v>
      </c>
      <c r="AW15">
        <f>IF($AS15="Calcite",Constants!E$14*1,IF($AS15="Aragonite",Constants!E$13*1,"Spike ID Error"))</f>
        <v>3.5688899585084996E-3</v>
      </c>
      <c r="AX15">
        <f>IF($AS15="Calcite",Constants!F$14*1,IF($AS15="Aragonite",Constants!F$13*1,"Spike ID Error"))</f>
        <v>5.6890791927183131E-5</v>
      </c>
      <c r="AY15">
        <f>IF($AS15="Calcite",Constants!G$14*1,IF($AS15="Aragonite",Constants!G$13*1,"Spike ID Error"))</f>
        <v>0.37247099665446171</v>
      </c>
      <c r="AZ15">
        <f>IF($AS15="Calcite",Constants!H$14*1,IF($AS15="Aragonite",Constants!H$13*1,"Spike ID Error"))</f>
        <v>6.9216754520917103</v>
      </c>
      <c r="BA15">
        <f>IF($AS15="Calcite",Constants!I$14*1,IF($AS15="Aragonite",Constants!I$13*1,"Spike ID Error"))</f>
        <v>0.98129648892116261</v>
      </c>
      <c r="BB15">
        <f>IF($AS15="Calcite",Constants!J$14*1,IF($AS15="Aragonite",Constants!J$13*1,"Spike ID Error"))</f>
        <v>18.583125972927476</v>
      </c>
      <c r="BC15">
        <f>IF($AS15="Calcite",Constants!K$14*1,IF($AS15="Aragonite",Constants!K$13*1,"Spike ID Error"))</f>
        <v>1.7442466578521214E-2</v>
      </c>
      <c r="BE15" t="e">
        <f t="shared" si="15"/>
        <v>#DIV/0!</v>
      </c>
      <c r="BF15" s="1" t="e">
        <f t="shared" si="16"/>
        <v>#DIV/0!</v>
      </c>
      <c r="BG15" s="1" t="e">
        <f t="shared" si="33"/>
        <v>#DIV/0!</v>
      </c>
      <c r="BH15" t="e">
        <f t="shared" si="17"/>
        <v>#DIV/0!</v>
      </c>
      <c r="BI15" s="1" t="e">
        <f t="shared" si="18"/>
        <v>#DIV/0!</v>
      </c>
      <c r="BJ15" s="1" t="e">
        <f t="shared" si="34"/>
        <v>#DIV/0!</v>
      </c>
      <c r="BK15" t="e">
        <f t="shared" si="19"/>
        <v>#DIV/0!</v>
      </c>
      <c r="BL15" s="1" t="e">
        <f t="shared" si="20"/>
        <v>#DIV/0!</v>
      </c>
      <c r="BM15" s="1" t="e">
        <f t="shared" si="35"/>
        <v>#DIV/0!</v>
      </c>
      <c r="BN15" t="e">
        <f t="shared" si="21"/>
        <v>#DIV/0!</v>
      </c>
      <c r="BO15" s="1" t="e">
        <f t="shared" si="22"/>
        <v>#DIV/0!</v>
      </c>
      <c r="BP15" s="1" t="e">
        <f t="shared" si="36"/>
        <v>#DIV/0!</v>
      </c>
      <c r="BR15" s="84" t="e">
        <f t="shared" si="43"/>
        <v>#DIV/0!</v>
      </c>
      <c r="BS15" s="84" t="e">
        <f t="shared" si="44"/>
        <v>#DIV/0!</v>
      </c>
      <c r="BT15" s="84" t="e">
        <f t="shared" si="45"/>
        <v>#DIV/0!</v>
      </c>
      <c r="BU15" s="84" t="e">
        <f t="shared" si="37"/>
        <v>#DIV/0!</v>
      </c>
      <c r="BV15" s="84" t="e">
        <f t="shared" si="38"/>
        <v>#DIV/0!</v>
      </c>
      <c r="BW15" s="84" t="e">
        <f t="shared" si="39"/>
        <v>#DIV/0!</v>
      </c>
      <c r="BY15" s="82" t="e">
        <f t="shared" si="40"/>
        <v>#DIV/0!</v>
      </c>
      <c r="BZ15" s="82" t="e">
        <f t="shared" si="41"/>
        <v>#DIV/0!</v>
      </c>
      <c r="CA15" s="82" t="e">
        <f t="shared" si="42"/>
        <v>#DIV/0!</v>
      </c>
    </row>
    <row r="16" spans="1:79">
      <c r="A16" s="42"/>
      <c r="B16" s="42" t="s">
        <v>354</v>
      </c>
      <c r="C16" s="65">
        <v>42005</v>
      </c>
      <c r="D16" s="42"/>
      <c r="E16" s="42"/>
      <c r="F16" s="34"/>
      <c r="G16" s="34"/>
      <c r="H16" s="34"/>
      <c r="I16" s="34"/>
      <c r="J16" s="49"/>
      <c r="K16" s="49"/>
      <c r="L16" s="49"/>
      <c r="M16" s="49"/>
      <c r="N16">
        <f t="shared" si="23"/>
        <v>9.9875734923987838E-2</v>
      </c>
      <c r="O16">
        <f t="shared" si="23"/>
        <v>1.2508473428230642</v>
      </c>
      <c r="P16">
        <f t="shared" si="23"/>
        <v>0.25963086783899858</v>
      </c>
      <c r="Q16">
        <f t="shared" si="23"/>
        <v>3.8944630175849788</v>
      </c>
      <c r="R16" t="e">
        <f>(1-AT16/Constants!$C$19/F16)</f>
        <v>#DIV/0!</v>
      </c>
      <c r="S16" t="e">
        <f t="shared" si="0"/>
        <v>#DIV/0!</v>
      </c>
      <c r="T16" s="36" t="e">
        <f t="shared" si="1"/>
        <v>#DIV/0!</v>
      </c>
      <c r="U16" t="e">
        <f t="shared" si="2"/>
        <v>#DIV/0!</v>
      </c>
      <c r="V16" t="e">
        <f t="shared" si="46"/>
        <v>#DIV/0!</v>
      </c>
      <c r="W16" t="e">
        <f t="shared" si="4"/>
        <v>#DIV/0!</v>
      </c>
      <c r="X16" t="e">
        <f t="shared" si="47"/>
        <v>#DIV/0!</v>
      </c>
      <c r="Y16" t="e">
        <f t="shared" si="5"/>
        <v>#DIV/0!</v>
      </c>
      <c r="Z16" t="e">
        <f t="shared" si="48"/>
        <v>#DIV/0!</v>
      </c>
      <c r="AA16" t="e">
        <f t="shared" si="6"/>
        <v>#DIV/0!</v>
      </c>
      <c r="AB16" t="e">
        <f t="shared" si="49"/>
        <v>#DIV/0!</v>
      </c>
      <c r="AC16" t="e">
        <f t="shared" si="7"/>
        <v>#DIV/0!</v>
      </c>
      <c r="AD16" t="e">
        <f t="shared" si="8"/>
        <v>#DIV/0!</v>
      </c>
      <c r="AE16" t="e">
        <f t="shared" si="9"/>
        <v>#DIV/0!</v>
      </c>
      <c r="AF16" t="e">
        <f t="shared" si="28"/>
        <v>#DIV/0!</v>
      </c>
      <c r="AG16" t="e">
        <f t="shared" si="10"/>
        <v>#DIV/0!</v>
      </c>
      <c r="AH16" t="e">
        <f t="shared" si="29"/>
        <v>#DIV/0!</v>
      </c>
      <c r="AI16" t="e">
        <f t="shared" si="11"/>
        <v>#DIV/0!</v>
      </c>
      <c r="AJ16" t="e">
        <f t="shared" si="30"/>
        <v>#DIV/0!</v>
      </c>
      <c r="AK16" t="e">
        <f t="shared" si="12"/>
        <v>#DIV/0!</v>
      </c>
      <c r="AL16" t="e">
        <f t="shared" si="31"/>
        <v>#DIV/0!</v>
      </c>
      <c r="AM16" t="e">
        <f>(1/AG16*(Constants!D$5/Constants!D$2)-1)*1000</f>
        <v>#DIV/0!</v>
      </c>
      <c r="AN16" t="e">
        <f t="shared" si="50"/>
        <v>#DIV/0!</v>
      </c>
      <c r="AP16" s="27" t="e">
        <f t="shared" si="13"/>
        <v>#DIV/0!</v>
      </c>
      <c r="AQ16" s="1" t="e">
        <f t="shared" si="14"/>
        <v>#DIV/0!</v>
      </c>
      <c r="AS16" t="str">
        <f t="shared" si="3"/>
        <v>Aragonite</v>
      </c>
      <c r="AT16">
        <f>IF($AS16="Calcite",Constants!B$14*1,IF($AS16="Aragonite",Constants!B$13*1,"Spike ID Error"))</f>
        <v>2.8418008370340747E-4</v>
      </c>
      <c r="AU16">
        <f>IF($AS16="Calcite",Constants!C$14*1,IF($AS16="Aragonite",Constants!C$13*1,"Spike ID Error"))</f>
        <v>4.3656412515058804E-5</v>
      </c>
      <c r="AV16">
        <f>IF($AS16="Calcite",Constants!D$14*1,IF($AS16="Aragonite",Constants!D$13*1,"Spike ID Error"))</f>
        <v>3.57E-4</v>
      </c>
      <c r="AW16">
        <f>IF($AS16="Calcite",Constants!E$14*1,IF($AS16="Aragonite",Constants!E$13*1,"Spike ID Error"))</f>
        <v>3.5688899585084996E-3</v>
      </c>
      <c r="AX16">
        <f>IF($AS16="Calcite",Constants!F$14*1,IF($AS16="Aragonite",Constants!F$13*1,"Spike ID Error"))</f>
        <v>5.6890791927183131E-5</v>
      </c>
      <c r="AY16">
        <f>IF($AS16="Calcite",Constants!G$14*1,IF($AS16="Aragonite",Constants!G$13*1,"Spike ID Error"))</f>
        <v>0.37247099665446171</v>
      </c>
      <c r="AZ16">
        <f>IF($AS16="Calcite",Constants!H$14*1,IF($AS16="Aragonite",Constants!H$13*1,"Spike ID Error"))</f>
        <v>6.9216754520917103</v>
      </c>
      <c r="BA16">
        <f>IF($AS16="Calcite",Constants!I$14*1,IF($AS16="Aragonite",Constants!I$13*1,"Spike ID Error"))</f>
        <v>0.98129648892116261</v>
      </c>
      <c r="BB16">
        <f>IF($AS16="Calcite",Constants!J$14*1,IF($AS16="Aragonite",Constants!J$13*1,"Spike ID Error"))</f>
        <v>18.583125972927476</v>
      </c>
      <c r="BC16">
        <f>IF($AS16="Calcite",Constants!K$14*1,IF($AS16="Aragonite",Constants!K$13*1,"Spike ID Error"))</f>
        <v>1.7442466578521214E-2</v>
      </c>
      <c r="BE16" t="e">
        <f t="shared" si="15"/>
        <v>#DIV/0!</v>
      </c>
      <c r="BF16" s="1" t="e">
        <f t="shared" si="16"/>
        <v>#DIV/0!</v>
      </c>
      <c r="BG16" s="1" t="e">
        <f t="shared" si="33"/>
        <v>#DIV/0!</v>
      </c>
      <c r="BH16" t="e">
        <f t="shared" si="17"/>
        <v>#DIV/0!</v>
      </c>
      <c r="BI16" s="1" t="e">
        <f t="shared" si="18"/>
        <v>#DIV/0!</v>
      </c>
      <c r="BJ16" s="1" t="e">
        <f t="shared" si="34"/>
        <v>#DIV/0!</v>
      </c>
      <c r="BK16" t="e">
        <f t="shared" si="19"/>
        <v>#DIV/0!</v>
      </c>
      <c r="BL16" s="1" t="e">
        <f t="shared" si="20"/>
        <v>#DIV/0!</v>
      </c>
      <c r="BM16" s="1" t="e">
        <f t="shared" si="35"/>
        <v>#DIV/0!</v>
      </c>
      <c r="BN16" t="e">
        <f t="shared" si="21"/>
        <v>#DIV/0!</v>
      </c>
      <c r="BO16" s="1" t="e">
        <f t="shared" si="22"/>
        <v>#DIV/0!</v>
      </c>
      <c r="BP16" s="1" t="e">
        <f t="shared" si="36"/>
        <v>#DIV/0!</v>
      </c>
      <c r="BR16" s="84" t="e">
        <f t="shared" si="43"/>
        <v>#DIV/0!</v>
      </c>
      <c r="BS16" s="84" t="e">
        <f t="shared" si="44"/>
        <v>#DIV/0!</v>
      </c>
      <c r="BT16" s="84" t="e">
        <f t="shared" si="45"/>
        <v>#DIV/0!</v>
      </c>
      <c r="BU16" s="84" t="e">
        <f t="shared" si="37"/>
        <v>#DIV/0!</v>
      </c>
      <c r="BV16" s="84" t="e">
        <f t="shared" si="38"/>
        <v>#DIV/0!</v>
      </c>
      <c r="BW16" s="84" t="e">
        <f t="shared" si="39"/>
        <v>#DIV/0!</v>
      </c>
      <c r="BY16" s="82" t="e">
        <f t="shared" si="40"/>
        <v>#DIV/0!</v>
      </c>
      <c r="BZ16" s="82" t="e">
        <f t="shared" si="41"/>
        <v>#DIV/0!</v>
      </c>
      <c r="CA16" s="82" t="e">
        <f t="shared" si="42"/>
        <v>#DIV/0!</v>
      </c>
    </row>
    <row r="17" spans="1:79">
      <c r="A17" s="42"/>
      <c r="B17" s="42" t="s">
        <v>354</v>
      </c>
      <c r="C17" s="65">
        <v>42005</v>
      </c>
      <c r="D17" s="42"/>
      <c r="E17" s="42"/>
      <c r="F17" s="34"/>
      <c r="G17" s="34"/>
      <c r="H17" s="34"/>
      <c r="I17" s="34"/>
      <c r="J17" s="49"/>
      <c r="K17" s="49"/>
      <c r="L17" s="49"/>
      <c r="M17" s="49"/>
      <c r="N17">
        <f t="shared" si="23"/>
        <v>9.9875734923987838E-2</v>
      </c>
      <c r="O17">
        <f t="shared" si="23"/>
        <v>1.2508473428230642</v>
      </c>
      <c r="P17">
        <f t="shared" si="23"/>
        <v>0.25963086783899858</v>
      </c>
      <c r="Q17">
        <f t="shared" si="23"/>
        <v>3.8944630175849788</v>
      </c>
      <c r="R17" t="e">
        <f>(1-AT17/Constants!$C$19/F17)</f>
        <v>#DIV/0!</v>
      </c>
      <c r="S17" t="e">
        <f t="shared" si="0"/>
        <v>#DIV/0!</v>
      </c>
      <c r="T17" s="36" t="e">
        <f t="shared" si="1"/>
        <v>#DIV/0!</v>
      </c>
      <c r="U17" t="e">
        <f t="shared" si="2"/>
        <v>#DIV/0!</v>
      </c>
      <c r="V17" t="e">
        <f t="shared" si="46"/>
        <v>#DIV/0!</v>
      </c>
      <c r="W17" t="e">
        <f t="shared" si="4"/>
        <v>#DIV/0!</v>
      </c>
      <c r="X17" t="e">
        <f t="shared" si="47"/>
        <v>#DIV/0!</v>
      </c>
      <c r="Y17" t="e">
        <f t="shared" si="5"/>
        <v>#DIV/0!</v>
      </c>
      <c r="Z17" t="e">
        <f t="shared" si="48"/>
        <v>#DIV/0!</v>
      </c>
      <c r="AA17" t="e">
        <f t="shared" si="6"/>
        <v>#DIV/0!</v>
      </c>
      <c r="AB17" t="e">
        <f t="shared" si="49"/>
        <v>#DIV/0!</v>
      </c>
      <c r="AC17" t="e">
        <f t="shared" si="7"/>
        <v>#DIV/0!</v>
      </c>
      <c r="AD17" t="e">
        <f t="shared" si="8"/>
        <v>#DIV/0!</v>
      </c>
      <c r="AE17" t="e">
        <f t="shared" si="9"/>
        <v>#DIV/0!</v>
      </c>
      <c r="AF17" t="e">
        <f t="shared" si="28"/>
        <v>#DIV/0!</v>
      </c>
      <c r="AG17" t="e">
        <f t="shared" si="10"/>
        <v>#DIV/0!</v>
      </c>
      <c r="AH17" t="e">
        <f t="shared" si="29"/>
        <v>#DIV/0!</v>
      </c>
      <c r="AI17" t="e">
        <f t="shared" si="11"/>
        <v>#DIV/0!</v>
      </c>
      <c r="AJ17" t="e">
        <f t="shared" si="30"/>
        <v>#DIV/0!</v>
      </c>
      <c r="AK17" t="e">
        <f t="shared" si="12"/>
        <v>#DIV/0!</v>
      </c>
      <c r="AL17" t="e">
        <f t="shared" si="31"/>
        <v>#DIV/0!</v>
      </c>
      <c r="AM17" t="e">
        <f>(1/AG17*(Constants!D$5/Constants!D$2)-1)*1000</f>
        <v>#DIV/0!</v>
      </c>
      <c r="AN17" t="e">
        <f t="shared" si="50"/>
        <v>#DIV/0!</v>
      </c>
      <c r="AP17" s="27" t="e">
        <f t="shared" si="13"/>
        <v>#DIV/0!</v>
      </c>
      <c r="AQ17" s="1" t="e">
        <f t="shared" si="14"/>
        <v>#DIV/0!</v>
      </c>
      <c r="AS17" t="str">
        <f t="shared" si="3"/>
        <v>Aragonite</v>
      </c>
      <c r="AT17">
        <f>IF($AS17="Calcite",Constants!B$14*1,IF($AS17="Aragonite",Constants!B$13*1,"Spike ID Error"))</f>
        <v>2.8418008370340747E-4</v>
      </c>
      <c r="AU17">
        <f>IF($AS17="Calcite",Constants!C$14*1,IF($AS17="Aragonite",Constants!C$13*1,"Spike ID Error"))</f>
        <v>4.3656412515058804E-5</v>
      </c>
      <c r="AV17">
        <f>IF($AS17="Calcite",Constants!D$14*1,IF($AS17="Aragonite",Constants!D$13*1,"Spike ID Error"))</f>
        <v>3.57E-4</v>
      </c>
      <c r="AW17">
        <f>IF($AS17="Calcite",Constants!E$14*1,IF($AS17="Aragonite",Constants!E$13*1,"Spike ID Error"))</f>
        <v>3.5688899585084996E-3</v>
      </c>
      <c r="AX17">
        <f>IF($AS17="Calcite",Constants!F$14*1,IF($AS17="Aragonite",Constants!F$13*1,"Spike ID Error"))</f>
        <v>5.6890791927183131E-5</v>
      </c>
      <c r="AY17">
        <f>IF($AS17="Calcite",Constants!G$14*1,IF($AS17="Aragonite",Constants!G$13*1,"Spike ID Error"))</f>
        <v>0.37247099665446171</v>
      </c>
      <c r="AZ17">
        <f>IF($AS17="Calcite",Constants!H$14*1,IF($AS17="Aragonite",Constants!H$13*1,"Spike ID Error"))</f>
        <v>6.9216754520917103</v>
      </c>
      <c r="BA17">
        <f>IF($AS17="Calcite",Constants!I$14*1,IF($AS17="Aragonite",Constants!I$13*1,"Spike ID Error"))</f>
        <v>0.98129648892116261</v>
      </c>
      <c r="BB17">
        <f>IF($AS17="Calcite",Constants!J$14*1,IF($AS17="Aragonite",Constants!J$13*1,"Spike ID Error"))</f>
        <v>18.583125972927476</v>
      </c>
      <c r="BC17">
        <f>IF($AS17="Calcite",Constants!K$14*1,IF($AS17="Aragonite",Constants!K$13*1,"Spike ID Error"))</f>
        <v>1.7442466578521214E-2</v>
      </c>
      <c r="BE17" t="e">
        <f t="shared" si="15"/>
        <v>#DIV/0!</v>
      </c>
      <c r="BF17" s="1" t="e">
        <f t="shared" si="16"/>
        <v>#DIV/0!</v>
      </c>
      <c r="BG17" s="1" t="e">
        <f t="shared" si="33"/>
        <v>#DIV/0!</v>
      </c>
      <c r="BH17" t="e">
        <f t="shared" si="17"/>
        <v>#DIV/0!</v>
      </c>
      <c r="BI17" s="1" t="e">
        <f t="shared" si="18"/>
        <v>#DIV/0!</v>
      </c>
      <c r="BJ17" s="1" t="e">
        <f t="shared" si="34"/>
        <v>#DIV/0!</v>
      </c>
      <c r="BK17" t="e">
        <f t="shared" si="19"/>
        <v>#DIV/0!</v>
      </c>
      <c r="BL17" s="1" t="e">
        <f t="shared" si="20"/>
        <v>#DIV/0!</v>
      </c>
      <c r="BM17" s="1" t="e">
        <f t="shared" si="35"/>
        <v>#DIV/0!</v>
      </c>
      <c r="BN17" t="e">
        <f t="shared" si="21"/>
        <v>#DIV/0!</v>
      </c>
      <c r="BO17" s="1" t="e">
        <f t="shared" si="22"/>
        <v>#DIV/0!</v>
      </c>
      <c r="BP17" s="1" t="e">
        <f t="shared" si="36"/>
        <v>#DIV/0!</v>
      </c>
      <c r="BR17" s="84" t="e">
        <f t="shared" si="43"/>
        <v>#DIV/0!</v>
      </c>
      <c r="BS17" s="84" t="e">
        <f t="shared" si="44"/>
        <v>#DIV/0!</v>
      </c>
      <c r="BT17" s="84" t="e">
        <f t="shared" si="45"/>
        <v>#DIV/0!</v>
      </c>
      <c r="BU17" s="84" t="e">
        <f t="shared" si="37"/>
        <v>#DIV/0!</v>
      </c>
      <c r="BV17" s="84" t="e">
        <f t="shared" si="38"/>
        <v>#DIV/0!</v>
      </c>
      <c r="BW17" s="84" t="e">
        <f t="shared" si="39"/>
        <v>#DIV/0!</v>
      </c>
      <c r="BY17" s="82" t="e">
        <f t="shared" si="40"/>
        <v>#DIV/0!</v>
      </c>
      <c r="BZ17" s="82" t="e">
        <f t="shared" si="41"/>
        <v>#DIV/0!</v>
      </c>
      <c r="CA17" s="82" t="e">
        <f t="shared" si="42"/>
        <v>#DIV/0!</v>
      </c>
    </row>
    <row r="18" spans="1:79">
      <c r="A18" s="42"/>
      <c r="B18" s="42" t="s">
        <v>354</v>
      </c>
      <c r="C18" s="65">
        <v>42005</v>
      </c>
      <c r="D18" s="42"/>
      <c r="E18" s="42"/>
      <c r="F18" s="34"/>
      <c r="G18" s="34"/>
      <c r="H18" s="34"/>
      <c r="I18" s="34"/>
      <c r="J18" s="49"/>
      <c r="K18" s="49"/>
      <c r="L18" s="49"/>
      <c r="M18" s="49"/>
      <c r="N18">
        <f t="shared" si="23"/>
        <v>9.9875734923987838E-2</v>
      </c>
      <c r="O18">
        <f t="shared" si="23"/>
        <v>1.2508473428230642</v>
      </c>
      <c r="P18">
        <f t="shared" si="23"/>
        <v>0.25963086783899858</v>
      </c>
      <c r="Q18">
        <f t="shared" si="23"/>
        <v>3.8944630175849788</v>
      </c>
      <c r="R18" t="e">
        <f>(1-AT18/Constants!$C$19/F18)</f>
        <v>#DIV/0!</v>
      </c>
      <c r="S18" t="e">
        <f t="shared" si="0"/>
        <v>#DIV/0!</v>
      </c>
      <c r="T18" s="36" t="e">
        <f t="shared" si="1"/>
        <v>#DIV/0!</v>
      </c>
      <c r="U18" t="e">
        <f t="shared" si="2"/>
        <v>#DIV/0!</v>
      </c>
      <c r="V18" t="e">
        <f t="shared" si="46"/>
        <v>#DIV/0!</v>
      </c>
      <c r="W18" t="e">
        <f t="shared" si="4"/>
        <v>#DIV/0!</v>
      </c>
      <c r="X18" t="e">
        <f t="shared" si="47"/>
        <v>#DIV/0!</v>
      </c>
      <c r="Y18" t="e">
        <f t="shared" si="5"/>
        <v>#DIV/0!</v>
      </c>
      <c r="Z18" t="e">
        <f t="shared" si="48"/>
        <v>#DIV/0!</v>
      </c>
      <c r="AA18" t="e">
        <f t="shared" si="6"/>
        <v>#DIV/0!</v>
      </c>
      <c r="AB18" t="e">
        <f t="shared" si="49"/>
        <v>#DIV/0!</v>
      </c>
      <c r="AC18" t="e">
        <f t="shared" si="7"/>
        <v>#DIV/0!</v>
      </c>
      <c r="AD18" t="e">
        <f t="shared" si="8"/>
        <v>#DIV/0!</v>
      </c>
      <c r="AE18" t="e">
        <f t="shared" si="9"/>
        <v>#DIV/0!</v>
      </c>
      <c r="AF18" t="e">
        <f t="shared" si="28"/>
        <v>#DIV/0!</v>
      </c>
      <c r="AG18" t="e">
        <f t="shared" si="10"/>
        <v>#DIV/0!</v>
      </c>
      <c r="AH18" t="e">
        <f t="shared" si="29"/>
        <v>#DIV/0!</v>
      </c>
      <c r="AI18" t="e">
        <f t="shared" si="11"/>
        <v>#DIV/0!</v>
      </c>
      <c r="AJ18" t="e">
        <f t="shared" si="30"/>
        <v>#DIV/0!</v>
      </c>
      <c r="AK18" t="e">
        <f t="shared" si="12"/>
        <v>#DIV/0!</v>
      </c>
      <c r="AL18" t="e">
        <f t="shared" si="31"/>
        <v>#DIV/0!</v>
      </c>
      <c r="AM18" t="e">
        <f>(1/AG18*(Constants!D$5/Constants!D$2)-1)*1000</f>
        <v>#DIV/0!</v>
      </c>
      <c r="AN18" t="e">
        <f t="shared" si="50"/>
        <v>#DIV/0!</v>
      </c>
      <c r="AP18" s="27" t="e">
        <f t="shared" si="13"/>
        <v>#DIV/0!</v>
      </c>
      <c r="AQ18" s="1" t="e">
        <f t="shared" si="14"/>
        <v>#DIV/0!</v>
      </c>
      <c r="AS18" t="str">
        <f t="shared" si="3"/>
        <v>Aragonite</v>
      </c>
      <c r="AT18">
        <f>IF($AS18="Calcite",Constants!B$14*1,IF($AS18="Aragonite",Constants!B$13*1,"Spike ID Error"))</f>
        <v>2.8418008370340747E-4</v>
      </c>
      <c r="AU18">
        <f>IF($AS18="Calcite",Constants!C$14*1,IF($AS18="Aragonite",Constants!C$13*1,"Spike ID Error"))</f>
        <v>4.3656412515058804E-5</v>
      </c>
      <c r="AV18">
        <f>IF($AS18="Calcite",Constants!D$14*1,IF($AS18="Aragonite",Constants!D$13*1,"Spike ID Error"))</f>
        <v>3.57E-4</v>
      </c>
      <c r="AW18">
        <f>IF($AS18="Calcite",Constants!E$14*1,IF($AS18="Aragonite",Constants!E$13*1,"Spike ID Error"))</f>
        <v>3.5688899585084996E-3</v>
      </c>
      <c r="AX18">
        <f>IF($AS18="Calcite",Constants!F$14*1,IF($AS18="Aragonite",Constants!F$13*1,"Spike ID Error"))</f>
        <v>5.6890791927183131E-5</v>
      </c>
      <c r="AY18">
        <f>IF($AS18="Calcite",Constants!G$14*1,IF($AS18="Aragonite",Constants!G$13*1,"Spike ID Error"))</f>
        <v>0.37247099665446171</v>
      </c>
      <c r="AZ18">
        <f>IF($AS18="Calcite",Constants!H$14*1,IF($AS18="Aragonite",Constants!H$13*1,"Spike ID Error"))</f>
        <v>6.9216754520917103</v>
      </c>
      <c r="BA18">
        <f>IF($AS18="Calcite",Constants!I$14*1,IF($AS18="Aragonite",Constants!I$13*1,"Spike ID Error"))</f>
        <v>0.98129648892116261</v>
      </c>
      <c r="BB18">
        <f>IF($AS18="Calcite",Constants!J$14*1,IF($AS18="Aragonite",Constants!J$13*1,"Spike ID Error"))</f>
        <v>18.583125972927476</v>
      </c>
      <c r="BC18">
        <f>IF($AS18="Calcite",Constants!K$14*1,IF($AS18="Aragonite",Constants!K$13*1,"Spike ID Error"))</f>
        <v>1.7442466578521214E-2</v>
      </c>
      <c r="BE18" t="e">
        <f t="shared" si="15"/>
        <v>#DIV/0!</v>
      </c>
      <c r="BF18" s="1" t="e">
        <f t="shared" si="16"/>
        <v>#DIV/0!</v>
      </c>
      <c r="BG18" s="1" t="e">
        <f t="shared" si="33"/>
        <v>#DIV/0!</v>
      </c>
      <c r="BH18" t="e">
        <f t="shared" si="17"/>
        <v>#DIV/0!</v>
      </c>
      <c r="BI18" s="1" t="e">
        <f t="shared" si="18"/>
        <v>#DIV/0!</v>
      </c>
      <c r="BJ18" s="1" t="e">
        <f t="shared" si="34"/>
        <v>#DIV/0!</v>
      </c>
      <c r="BK18" t="e">
        <f t="shared" si="19"/>
        <v>#DIV/0!</v>
      </c>
      <c r="BL18" s="1" t="e">
        <f t="shared" si="20"/>
        <v>#DIV/0!</v>
      </c>
      <c r="BM18" s="1" t="e">
        <f t="shared" si="35"/>
        <v>#DIV/0!</v>
      </c>
      <c r="BN18" t="e">
        <f t="shared" si="21"/>
        <v>#DIV/0!</v>
      </c>
      <c r="BO18" s="1" t="e">
        <f t="shared" si="22"/>
        <v>#DIV/0!</v>
      </c>
      <c r="BP18" s="1" t="e">
        <f t="shared" si="36"/>
        <v>#DIV/0!</v>
      </c>
      <c r="BR18" s="84" t="e">
        <f t="shared" si="43"/>
        <v>#DIV/0!</v>
      </c>
      <c r="BS18" s="84" t="e">
        <f t="shared" si="44"/>
        <v>#DIV/0!</v>
      </c>
      <c r="BT18" s="84" t="e">
        <f t="shared" si="45"/>
        <v>#DIV/0!</v>
      </c>
      <c r="BU18" s="84" t="e">
        <f t="shared" si="37"/>
        <v>#DIV/0!</v>
      </c>
      <c r="BV18" s="84" t="e">
        <f t="shared" si="38"/>
        <v>#DIV/0!</v>
      </c>
      <c r="BW18" s="84" t="e">
        <f t="shared" si="39"/>
        <v>#DIV/0!</v>
      </c>
      <c r="BY18" s="82" t="e">
        <f t="shared" si="40"/>
        <v>#DIV/0!</v>
      </c>
      <c r="BZ18" s="82" t="e">
        <f t="shared" si="41"/>
        <v>#DIV/0!</v>
      </c>
      <c r="CA18" s="82" t="e">
        <f t="shared" si="42"/>
        <v>#DIV/0!</v>
      </c>
    </row>
    <row r="19" spans="1:79">
      <c r="A19" s="42"/>
      <c r="B19" s="42" t="s">
        <v>354</v>
      </c>
      <c r="C19" s="65">
        <v>42005</v>
      </c>
      <c r="D19" s="42"/>
      <c r="E19" s="42"/>
      <c r="F19" s="34"/>
      <c r="G19" s="34"/>
      <c r="H19" s="34"/>
      <c r="I19" s="34"/>
      <c r="J19" s="49"/>
      <c r="K19" s="49"/>
      <c r="L19" s="49"/>
      <c r="M19" s="49"/>
      <c r="N19">
        <f t="shared" si="23"/>
        <v>9.9875734923987838E-2</v>
      </c>
      <c r="O19">
        <f t="shared" si="23"/>
        <v>1.2508473428230642</v>
      </c>
      <c r="P19">
        <f t="shared" si="23"/>
        <v>0.25963086783899858</v>
      </c>
      <c r="Q19">
        <f t="shared" si="23"/>
        <v>3.8944630175849788</v>
      </c>
      <c r="R19" t="e">
        <f>(1-AT19/Constants!$C$19/F19)</f>
        <v>#DIV/0!</v>
      </c>
      <c r="S19" t="e">
        <f t="shared" si="0"/>
        <v>#DIV/0!</v>
      </c>
      <c r="T19" s="36" t="e">
        <f t="shared" si="1"/>
        <v>#DIV/0!</v>
      </c>
      <c r="U19" t="e">
        <f t="shared" si="2"/>
        <v>#DIV/0!</v>
      </c>
      <c r="V19" t="e">
        <f t="shared" si="46"/>
        <v>#DIV/0!</v>
      </c>
      <c r="W19" t="e">
        <f t="shared" si="4"/>
        <v>#DIV/0!</v>
      </c>
      <c r="X19" t="e">
        <f t="shared" si="47"/>
        <v>#DIV/0!</v>
      </c>
      <c r="Y19" t="e">
        <f t="shared" si="5"/>
        <v>#DIV/0!</v>
      </c>
      <c r="Z19" t="e">
        <f t="shared" si="48"/>
        <v>#DIV/0!</v>
      </c>
      <c r="AA19" t="e">
        <f t="shared" si="6"/>
        <v>#DIV/0!</v>
      </c>
      <c r="AB19" t="e">
        <f t="shared" si="49"/>
        <v>#DIV/0!</v>
      </c>
      <c r="AC19" t="e">
        <f t="shared" si="7"/>
        <v>#DIV/0!</v>
      </c>
      <c r="AD19" t="e">
        <f t="shared" si="8"/>
        <v>#DIV/0!</v>
      </c>
      <c r="AE19" t="e">
        <f t="shared" si="9"/>
        <v>#DIV/0!</v>
      </c>
      <c r="AF19" t="e">
        <f t="shared" si="28"/>
        <v>#DIV/0!</v>
      </c>
      <c r="AG19" t="e">
        <f t="shared" si="10"/>
        <v>#DIV/0!</v>
      </c>
      <c r="AH19" t="e">
        <f t="shared" si="29"/>
        <v>#DIV/0!</v>
      </c>
      <c r="AI19" t="e">
        <f t="shared" si="11"/>
        <v>#DIV/0!</v>
      </c>
      <c r="AJ19" t="e">
        <f t="shared" si="30"/>
        <v>#DIV/0!</v>
      </c>
      <c r="AK19" t="e">
        <f t="shared" si="12"/>
        <v>#DIV/0!</v>
      </c>
      <c r="AL19" t="e">
        <f t="shared" si="31"/>
        <v>#DIV/0!</v>
      </c>
      <c r="AM19" t="e">
        <f>(1/AG19*(Constants!D$5/Constants!D$2)-1)*1000</f>
        <v>#DIV/0!</v>
      </c>
      <c r="AN19" t="e">
        <f t="shared" si="50"/>
        <v>#DIV/0!</v>
      </c>
      <c r="AP19" s="27" t="e">
        <f t="shared" si="13"/>
        <v>#DIV/0!</v>
      </c>
      <c r="AQ19" s="1" t="e">
        <f t="shared" si="14"/>
        <v>#DIV/0!</v>
      </c>
      <c r="AS19" t="str">
        <f t="shared" si="3"/>
        <v>Aragonite</v>
      </c>
      <c r="AT19">
        <f>IF($AS19="Calcite",Constants!B$14*1,IF($AS19="Aragonite",Constants!B$13*1,"Spike ID Error"))</f>
        <v>2.8418008370340747E-4</v>
      </c>
      <c r="AU19">
        <f>IF($AS19="Calcite",Constants!C$14*1,IF($AS19="Aragonite",Constants!C$13*1,"Spike ID Error"))</f>
        <v>4.3656412515058804E-5</v>
      </c>
      <c r="AV19">
        <f>IF($AS19="Calcite",Constants!D$14*1,IF($AS19="Aragonite",Constants!D$13*1,"Spike ID Error"))</f>
        <v>3.57E-4</v>
      </c>
      <c r="AW19">
        <f>IF($AS19="Calcite",Constants!E$14*1,IF($AS19="Aragonite",Constants!E$13*1,"Spike ID Error"))</f>
        <v>3.5688899585084996E-3</v>
      </c>
      <c r="AX19">
        <f>IF($AS19="Calcite",Constants!F$14*1,IF($AS19="Aragonite",Constants!F$13*1,"Spike ID Error"))</f>
        <v>5.6890791927183131E-5</v>
      </c>
      <c r="AY19">
        <f>IF($AS19="Calcite",Constants!G$14*1,IF($AS19="Aragonite",Constants!G$13*1,"Spike ID Error"))</f>
        <v>0.37247099665446171</v>
      </c>
      <c r="AZ19">
        <f>IF($AS19="Calcite",Constants!H$14*1,IF($AS19="Aragonite",Constants!H$13*1,"Spike ID Error"))</f>
        <v>6.9216754520917103</v>
      </c>
      <c r="BA19">
        <f>IF($AS19="Calcite",Constants!I$14*1,IF($AS19="Aragonite",Constants!I$13*1,"Spike ID Error"))</f>
        <v>0.98129648892116261</v>
      </c>
      <c r="BB19">
        <f>IF($AS19="Calcite",Constants!J$14*1,IF($AS19="Aragonite",Constants!J$13*1,"Spike ID Error"))</f>
        <v>18.583125972927476</v>
      </c>
      <c r="BC19">
        <f>IF($AS19="Calcite",Constants!K$14*1,IF($AS19="Aragonite",Constants!K$13*1,"Spike ID Error"))</f>
        <v>1.7442466578521214E-2</v>
      </c>
      <c r="BE19" t="e">
        <f t="shared" si="15"/>
        <v>#DIV/0!</v>
      </c>
      <c r="BF19" s="1" t="e">
        <f t="shared" si="16"/>
        <v>#DIV/0!</v>
      </c>
      <c r="BG19" s="1" t="e">
        <f t="shared" si="33"/>
        <v>#DIV/0!</v>
      </c>
      <c r="BH19" t="e">
        <f t="shared" si="17"/>
        <v>#DIV/0!</v>
      </c>
      <c r="BI19" s="1" t="e">
        <f t="shared" si="18"/>
        <v>#DIV/0!</v>
      </c>
      <c r="BJ19" s="1" t="e">
        <f t="shared" si="34"/>
        <v>#DIV/0!</v>
      </c>
      <c r="BK19" t="e">
        <f t="shared" si="19"/>
        <v>#DIV/0!</v>
      </c>
      <c r="BL19" s="1" t="e">
        <f t="shared" si="20"/>
        <v>#DIV/0!</v>
      </c>
      <c r="BM19" s="1" t="e">
        <f t="shared" si="35"/>
        <v>#DIV/0!</v>
      </c>
      <c r="BN19" t="e">
        <f t="shared" si="21"/>
        <v>#DIV/0!</v>
      </c>
      <c r="BO19" s="1" t="e">
        <f t="shared" si="22"/>
        <v>#DIV/0!</v>
      </c>
      <c r="BP19" s="1" t="e">
        <f t="shared" si="36"/>
        <v>#DIV/0!</v>
      </c>
      <c r="BR19" s="84" t="e">
        <f t="shared" si="43"/>
        <v>#DIV/0!</v>
      </c>
      <c r="BS19" s="84" t="e">
        <f t="shared" si="44"/>
        <v>#DIV/0!</v>
      </c>
      <c r="BT19" s="84" t="e">
        <f t="shared" si="45"/>
        <v>#DIV/0!</v>
      </c>
      <c r="BU19" s="84" t="e">
        <f t="shared" si="37"/>
        <v>#DIV/0!</v>
      </c>
      <c r="BV19" s="84" t="e">
        <f t="shared" si="38"/>
        <v>#DIV/0!</v>
      </c>
      <c r="BW19" s="84" t="e">
        <f t="shared" si="39"/>
        <v>#DIV/0!</v>
      </c>
      <c r="BY19" s="82" t="e">
        <f t="shared" si="40"/>
        <v>#DIV/0!</v>
      </c>
      <c r="BZ19" s="82" t="e">
        <f t="shared" si="41"/>
        <v>#DIV/0!</v>
      </c>
      <c r="CA19" s="82" t="e">
        <f t="shared" si="42"/>
        <v>#DIV/0!</v>
      </c>
    </row>
    <row r="20" spans="1:79">
      <c r="A20" s="42"/>
      <c r="B20" s="42" t="s">
        <v>354</v>
      </c>
      <c r="C20" s="65">
        <v>42005</v>
      </c>
      <c r="D20" s="42"/>
      <c r="E20" s="42"/>
      <c r="F20" s="34"/>
      <c r="G20" s="34"/>
      <c r="H20" s="34"/>
      <c r="I20" s="34"/>
      <c r="J20" s="49"/>
      <c r="K20" s="49"/>
      <c r="L20" s="49"/>
      <c r="M20" s="49"/>
      <c r="N20">
        <f t="shared" si="23"/>
        <v>9.9875734923987838E-2</v>
      </c>
      <c r="O20">
        <f t="shared" si="23"/>
        <v>1.2508473428230642</v>
      </c>
      <c r="P20">
        <f t="shared" si="23"/>
        <v>0.25963086783899858</v>
      </c>
      <c r="Q20">
        <f t="shared" si="23"/>
        <v>3.8944630175849788</v>
      </c>
      <c r="R20" t="e">
        <f>(1-AT20/Constants!$C$19/F20)</f>
        <v>#DIV/0!</v>
      </c>
      <c r="S20" t="e">
        <f t="shared" si="0"/>
        <v>#DIV/0!</v>
      </c>
      <c r="T20" s="36" t="e">
        <f t="shared" si="1"/>
        <v>#DIV/0!</v>
      </c>
      <c r="U20" t="e">
        <f t="shared" si="2"/>
        <v>#DIV/0!</v>
      </c>
      <c r="V20" t="e">
        <f>F20*R20</f>
        <v>#DIV/0!</v>
      </c>
      <c r="W20" t="e">
        <f t="shared" si="4"/>
        <v>#DIV/0!</v>
      </c>
      <c r="X20" t="e">
        <f>H20*R20/S20</f>
        <v>#DIV/0!</v>
      </c>
      <c r="Y20" t="e">
        <f t="shared" si="5"/>
        <v>#DIV/0!</v>
      </c>
      <c r="Z20" t="e">
        <f>J20*T20</f>
        <v>#DIV/0!</v>
      </c>
      <c r="AA20" t="e">
        <f t="shared" si="6"/>
        <v>#DIV/0!</v>
      </c>
      <c r="AB20" t="e">
        <f>L20*U20</f>
        <v>#DIV/0!</v>
      </c>
      <c r="AC20" t="e">
        <f t="shared" si="7"/>
        <v>#DIV/0!</v>
      </c>
      <c r="AD20" t="e">
        <f t="shared" si="8"/>
        <v>#DIV/0!</v>
      </c>
      <c r="AE20" t="e">
        <f t="shared" si="9"/>
        <v>#DIV/0!</v>
      </c>
      <c r="AF20" t="e">
        <f t="shared" si="28"/>
        <v>#DIV/0!</v>
      </c>
      <c r="AG20" t="e">
        <f t="shared" si="10"/>
        <v>#DIV/0!</v>
      </c>
      <c r="AH20" t="e">
        <f t="shared" si="29"/>
        <v>#DIV/0!</v>
      </c>
      <c r="AI20" t="e">
        <f t="shared" si="11"/>
        <v>#DIV/0!</v>
      </c>
      <c r="AJ20" t="e">
        <f t="shared" si="30"/>
        <v>#DIV/0!</v>
      </c>
      <c r="AK20" t="e">
        <f t="shared" si="12"/>
        <v>#DIV/0!</v>
      </c>
      <c r="AL20" t="e">
        <f t="shared" si="31"/>
        <v>#DIV/0!</v>
      </c>
      <c r="AM20" t="e">
        <f>(1/AG20*(Constants!D$5/Constants!D$2)-1)*1000</f>
        <v>#DIV/0!</v>
      </c>
      <c r="AN20" t="e">
        <f>AH20/AG20*1000</f>
        <v>#DIV/0!</v>
      </c>
      <c r="AP20" s="27" t="e">
        <f t="shared" si="13"/>
        <v>#DIV/0!</v>
      </c>
      <c r="AQ20" s="1" t="e">
        <f t="shared" si="14"/>
        <v>#DIV/0!</v>
      </c>
      <c r="AS20" t="str">
        <f t="shared" si="3"/>
        <v>Aragonite</v>
      </c>
      <c r="AT20">
        <f>IF($AS20="Calcite",Constants!B$14*1,IF($AS20="Aragonite",Constants!B$13*1,"Spike ID Error"))</f>
        <v>2.8418008370340747E-4</v>
      </c>
      <c r="AU20">
        <f>IF($AS20="Calcite",Constants!C$14*1,IF($AS20="Aragonite",Constants!C$13*1,"Spike ID Error"))</f>
        <v>4.3656412515058804E-5</v>
      </c>
      <c r="AV20">
        <f>IF($AS20="Calcite",Constants!D$14*1,IF($AS20="Aragonite",Constants!D$13*1,"Spike ID Error"))</f>
        <v>3.57E-4</v>
      </c>
      <c r="AW20">
        <f>IF($AS20="Calcite",Constants!E$14*1,IF($AS20="Aragonite",Constants!E$13*1,"Spike ID Error"))</f>
        <v>3.5688899585084996E-3</v>
      </c>
      <c r="AX20">
        <f>IF($AS20="Calcite",Constants!F$14*1,IF($AS20="Aragonite",Constants!F$13*1,"Spike ID Error"))</f>
        <v>5.6890791927183131E-5</v>
      </c>
      <c r="AY20">
        <f>IF($AS20="Calcite",Constants!G$14*1,IF($AS20="Aragonite",Constants!G$13*1,"Spike ID Error"))</f>
        <v>0.37247099665446171</v>
      </c>
      <c r="AZ20">
        <f>IF($AS20="Calcite",Constants!H$14*1,IF($AS20="Aragonite",Constants!H$13*1,"Spike ID Error"))</f>
        <v>6.9216754520917103</v>
      </c>
      <c r="BA20">
        <f>IF($AS20="Calcite",Constants!I$14*1,IF($AS20="Aragonite",Constants!I$13*1,"Spike ID Error"))</f>
        <v>0.98129648892116261</v>
      </c>
      <c r="BB20">
        <f>IF($AS20="Calcite",Constants!J$14*1,IF($AS20="Aragonite",Constants!J$13*1,"Spike ID Error"))</f>
        <v>18.583125972927476</v>
      </c>
      <c r="BC20">
        <f>IF($AS20="Calcite",Constants!K$14*1,IF($AS20="Aragonite",Constants!K$13*1,"Spike ID Error"))</f>
        <v>1.7442466578521214E-2</v>
      </c>
      <c r="BE20" t="e">
        <f t="shared" si="15"/>
        <v>#DIV/0!</v>
      </c>
      <c r="BF20" s="1" t="e">
        <f t="shared" si="16"/>
        <v>#DIV/0!</v>
      </c>
      <c r="BG20" s="1" t="e">
        <f t="shared" si="33"/>
        <v>#DIV/0!</v>
      </c>
      <c r="BH20" t="e">
        <f t="shared" si="17"/>
        <v>#DIV/0!</v>
      </c>
      <c r="BI20" s="1" t="e">
        <f t="shared" si="18"/>
        <v>#DIV/0!</v>
      </c>
      <c r="BJ20" s="1" t="e">
        <f t="shared" si="34"/>
        <v>#DIV/0!</v>
      </c>
      <c r="BK20" t="e">
        <f t="shared" si="19"/>
        <v>#DIV/0!</v>
      </c>
      <c r="BL20" s="1" t="e">
        <f t="shared" si="20"/>
        <v>#DIV/0!</v>
      </c>
      <c r="BM20" s="1" t="e">
        <f t="shared" si="35"/>
        <v>#DIV/0!</v>
      </c>
      <c r="BN20" t="e">
        <f t="shared" si="21"/>
        <v>#DIV/0!</v>
      </c>
      <c r="BO20" s="1" t="e">
        <f t="shared" si="22"/>
        <v>#DIV/0!</v>
      </c>
      <c r="BP20" s="1" t="e">
        <f t="shared" si="36"/>
        <v>#DIV/0!</v>
      </c>
      <c r="BR20" s="84" t="e">
        <f t="shared" si="43"/>
        <v>#DIV/0!</v>
      </c>
      <c r="BS20" s="84" t="e">
        <f t="shared" si="44"/>
        <v>#DIV/0!</v>
      </c>
      <c r="BT20" s="84" t="e">
        <f t="shared" si="45"/>
        <v>#DIV/0!</v>
      </c>
      <c r="BU20" s="84" t="e">
        <f t="shared" si="37"/>
        <v>#DIV/0!</v>
      </c>
      <c r="BV20" s="84" t="e">
        <f t="shared" si="38"/>
        <v>#DIV/0!</v>
      </c>
      <c r="BW20" s="84" t="e">
        <f t="shared" si="39"/>
        <v>#DIV/0!</v>
      </c>
      <c r="BY20" s="82" t="e">
        <f t="shared" si="40"/>
        <v>#DIV/0!</v>
      </c>
      <c r="BZ20" s="82" t="e">
        <f t="shared" si="41"/>
        <v>#DIV/0!</v>
      </c>
      <c r="CA20" s="82" t="e">
        <f t="shared" si="42"/>
        <v>#DIV/0!</v>
      </c>
    </row>
    <row r="21" spans="1:79">
      <c r="A21" s="42"/>
      <c r="B21" s="42" t="s">
        <v>354</v>
      </c>
      <c r="C21" s="65">
        <v>42005</v>
      </c>
      <c r="D21" s="42"/>
      <c r="E21" s="42"/>
      <c r="F21" s="34"/>
      <c r="G21" s="34"/>
      <c r="H21" s="34"/>
      <c r="I21" s="34"/>
      <c r="J21" s="49"/>
      <c r="K21" s="49"/>
      <c r="L21" s="49"/>
      <c r="M21" s="49"/>
      <c r="N21">
        <f t="shared" si="23"/>
        <v>9.9875734923987838E-2</v>
      </c>
      <c r="O21">
        <f t="shared" si="23"/>
        <v>1.2508473428230642</v>
      </c>
      <c r="P21">
        <f t="shared" si="23"/>
        <v>0.25963086783899858</v>
      </c>
      <c r="Q21">
        <f t="shared" si="23"/>
        <v>3.8944630175849788</v>
      </c>
      <c r="R21" t="e">
        <f>(1-AT21/Constants!$C$19/F21)</f>
        <v>#DIV/0!</v>
      </c>
      <c r="S21" t="e">
        <f t="shared" si="0"/>
        <v>#DIV/0!</v>
      </c>
      <c r="T21" s="36" t="e">
        <f t="shared" si="1"/>
        <v>#DIV/0!</v>
      </c>
      <c r="U21" t="e">
        <f t="shared" si="2"/>
        <v>#DIV/0!</v>
      </c>
      <c r="V21" t="e">
        <f>F21*R21</f>
        <v>#DIV/0!</v>
      </c>
      <c r="W21" t="e">
        <f t="shared" si="4"/>
        <v>#DIV/0!</v>
      </c>
      <c r="X21" t="e">
        <f>H21*R21/S21</f>
        <v>#DIV/0!</v>
      </c>
      <c r="Y21" t="e">
        <f t="shared" si="5"/>
        <v>#DIV/0!</v>
      </c>
      <c r="Z21" t="e">
        <f>J21*T21</f>
        <v>#DIV/0!</v>
      </c>
      <c r="AA21" t="e">
        <f t="shared" si="6"/>
        <v>#DIV/0!</v>
      </c>
      <c r="AB21" t="e">
        <f>L21*U21</f>
        <v>#DIV/0!</v>
      </c>
      <c r="AC21" t="e">
        <f t="shared" si="7"/>
        <v>#DIV/0!</v>
      </c>
      <c r="AD21" t="e">
        <f t="shared" si="8"/>
        <v>#DIV/0!</v>
      </c>
      <c r="AE21" t="e">
        <f t="shared" si="9"/>
        <v>#DIV/0!</v>
      </c>
      <c r="AF21" t="e">
        <f t="shared" si="28"/>
        <v>#DIV/0!</v>
      </c>
      <c r="AG21" t="e">
        <f t="shared" si="10"/>
        <v>#DIV/0!</v>
      </c>
      <c r="AH21" t="e">
        <f t="shared" si="29"/>
        <v>#DIV/0!</v>
      </c>
      <c r="AI21" t="e">
        <f t="shared" si="11"/>
        <v>#DIV/0!</v>
      </c>
      <c r="AJ21" t="e">
        <f t="shared" si="30"/>
        <v>#DIV/0!</v>
      </c>
      <c r="AK21" t="e">
        <f t="shared" si="12"/>
        <v>#DIV/0!</v>
      </c>
      <c r="AL21" t="e">
        <f t="shared" si="31"/>
        <v>#DIV/0!</v>
      </c>
      <c r="AM21" t="e">
        <f>(1/AG21*(Constants!D$5/Constants!D$2)-1)*1000</f>
        <v>#DIV/0!</v>
      </c>
      <c r="AN21" t="e">
        <f>AH21/AG21*1000</f>
        <v>#DIV/0!</v>
      </c>
      <c r="AP21" s="27" t="e">
        <f t="shared" si="13"/>
        <v>#DIV/0!</v>
      </c>
      <c r="AQ21" s="1" t="e">
        <f t="shared" si="14"/>
        <v>#DIV/0!</v>
      </c>
      <c r="AS21" t="str">
        <f t="shared" si="3"/>
        <v>Aragonite</v>
      </c>
      <c r="AT21">
        <f>IF($AS21="Calcite",Constants!B$14*1,IF($AS21="Aragonite",Constants!B$13*1,"Spike ID Error"))</f>
        <v>2.8418008370340747E-4</v>
      </c>
      <c r="AU21">
        <f>IF($AS21="Calcite",Constants!C$14*1,IF($AS21="Aragonite",Constants!C$13*1,"Spike ID Error"))</f>
        <v>4.3656412515058804E-5</v>
      </c>
      <c r="AV21">
        <f>IF($AS21="Calcite",Constants!D$14*1,IF($AS21="Aragonite",Constants!D$13*1,"Spike ID Error"))</f>
        <v>3.57E-4</v>
      </c>
      <c r="AW21">
        <f>IF($AS21="Calcite",Constants!E$14*1,IF($AS21="Aragonite",Constants!E$13*1,"Spike ID Error"))</f>
        <v>3.5688899585084996E-3</v>
      </c>
      <c r="AX21">
        <f>IF($AS21="Calcite",Constants!F$14*1,IF($AS21="Aragonite",Constants!F$13*1,"Spike ID Error"))</f>
        <v>5.6890791927183131E-5</v>
      </c>
      <c r="AY21">
        <f>IF($AS21="Calcite",Constants!G$14*1,IF($AS21="Aragonite",Constants!G$13*1,"Spike ID Error"))</f>
        <v>0.37247099665446171</v>
      </c>
      <c r="AZ21">
        <f>IF($AS21="Calcite",Constants!H$14*1,IF($AS21="Aragonite",Constants!H$13*1,"Spike ID Error"))</f>
        <v>6.9216754520917103</v>
      </c>
      <c r="BA21">
        <f>IF($AS21="Calcite",Constants!I$14*1,IF($AS21="Aragonite",Constants!I$13*1,"Spike ID Error"))</f>
        <v>0.98129648892116261</v>
      </c>
      <c r="BB21">
        <f>IF($AS21="Calcite",Constants!J$14*1,IF($AS21="Aragonite",Constants!J$13*1,"Spike ID Error"))</f>
        <v>18.583125972927476</v>
      </c>
      <c r="BC21">
        <f>IF($AS21="Calcite",Constants!K$14*1,IF($AS21="Aragonite",Constants!K$13*1,"Spike ID Error"))</f>
        <v>1.7442466578521214E-2</v>
      </c>
      <c r="BE21" t="e">
        <f t="shared" si="15"/>
        <v>#DIV/0!</v>
      </c>
      <c r="BF21" s="1" t="e">
        <f t="shared" si="16"/>
        <v>#DIV/0!</v>
      </c>
      <c r="BG21" s="1" t="e">
        <f t="shared" si="33"/>
        <v>#DIV/0!</v>
      </c>
      <c r="BH21" t="e">
        <f t="shared" si="17"/>
        <v>#DIV/0!</v>
      </c>
      <c r="BI21" s="1" t="e">
        <f t="shared" si="18"/>
        <v>#DIV/0!</v>
      </c>
      <c r="BJ21" s="1" t="e">
        <f t="shared" si="34"/>
        <v>#DIV/0!</v>
      </c>
      <c r="BK21" t="e">
        <f t="shared" si="19"/>
        <v>#DIV/0!</v>
      </c>
      <c r="BL21" s="1" t="e">
        <f t="shared" si="20"/>
        <v>#DIV/0!</v>
      </c>
      <c r="BM21" s="1" t="e">
        <f t="shared" si="35"/>
        <v>#DIV/0!</v>
      </c>
      <c r="BN21" t="e">
        <f t="shared" si="21"/>
        <v>#DIV/0!</v>
      </c>
      <c r="BO21" s="1" t="e">
        <f t="shared" si="22"/>
        <v>#DIV/0!</v>
      </c>
      <c r="BP21" s="1" t="e">
        <f t="shared" si="36"/>
        <v>#DIV/0!</v>
      </c>
      <c r="BR21" s="84" t="e">
        <f t="shared" si="43"/>
        <v>#DIV/0!</v>
      </c>
      <c r="BS21" s="84" t="e">
        <f t="shared" si="44"/>
        <v>#DIV/0!</v>
      </c>
      <c r="BT21" s="84" t="e">
        <f t="shared" si="45"/>
        <v>#DIV/0!</v>
      </c>
      <c r="BU21" s="84" t="e">
        <f t="shared" si="37"/>
        <v>#DIV/0!</v>
      </c>
      <c r="BV21" s="84" t="e">
        <f t="shared" si="38"/>
        <v>#DIV/0!</v>
      </c>
      <c r="BW21" s="84" t="e">
        <f t="shared" si="39"/>
        <v>#DIV/0!</v>
      </c>
      <c r="BY21" s="82" t="e">
        <f t="shared" si="40"/>
        <v>#DIV/0!</v>
      </c>
      <c r="BZ21" s="82" t="e">
        <f t="shared" si="41"/>
        <v>#DIV/0!</v>
      </c>
      <c r="CA21" s="82" t="e">
        <f t="shared" si="42"/>
        <v>#DIV/0!</v>
      </c>
    </row>
    <row r="22" spans="1:79">
      <c r="A22" s="42"/>
      <c r="B22" s="42" t="s">
        <v>354</v>
      </c>
      <c r="C22" s="65">
        <v>42005</v>
      </c>
      <c r="D22" s="42"/>
      <c r="E22" s="42"/>
      <c r="F22" s="34"/>
      <c r="G22" s="34"/>
      <c r="H22" s="34"/>
      <c r="I22" s="34"/>
      <c r="J22" s="49"/>
      <c r="K22" s="49"/>
      <c r="L22" s="49"/>
      <c r="M22" s="49"/>
      <c r="N22">
        <f t="shared" ref="N22:Q23" si="51">N$4</f>
        <v>9.9875734923987838E-2</v>
      </c>
      <c r="O22">
        <f t="shared" si="51"/>
        <v>1.2508473428230642</v>
      </c>
      <c r="P22">
        <f t="shared" si="51"/>
        <v>0.25963086783899858</v>
      </c>
      <c r="Q22">
        <f t="shared" si="51"/>
        <v>3.8944630175849788</v>
      </c>
      <c r="R22" t="e">
        <f>(1-AT22/Constants!$C$19/F22)</f>
        <v>#DIV/0!</v>
      </c>
      <c r="S22" t="e">
        <f t="shared" si="0"/>
        <v>#DIV/0!</v>
      </c>
      <c r="T22" s="36" t="e">
        <f t="shared" si="1"/>
        <v>#DIV/0!</v>
      </c>
      <c r="U22" t="e">
        <f t="shared" si="2"/>
        <v>#DIV/0!</v>
      </c>
      <c r="V22" t="e">
        <f>F22*R22</f>
        <v>#DIV/0!</v>
      </c>
      <c r="W22" t="e">
        <f t="shared" si="4"/>
        <v>#DIV/0!</v>
      </c>
      <c r="X22" t="e">
        <f>H22*R22/S22</f>
        <v>#DIV/0!</v>
      </c>
      <c r="Y22" t="e">
        <f t="shared" si="5"/>
        <v>#DIV/0!</v>
      </c>
      <c r="Z22" t="e">
        <f>J22*T22</f>
        <v>#DIV/0!</v>
      </c>
      <c r="AA22" t="e">
        <f t="shared" si="6"/>
        <v>#DIV/0!</v>
      </c>
      <c r="AB22" t="e">
        <f>L22*U22</f>
        <v>#DIV/0!</v>
      </c>
      <c r="AC22" t="e">
        <f t="shared" si="7"/>
        <v>#DIV/0!</v>
      </c>
      <c r="AD22" t="e">
        <f t="shared" si="8"/>
        <v>#DIV/0!</v>
      </c>
      <c r="AE22" t="e">
        <f t="shared" si="9"/>
        <v>#DIV/0!</v>
      </c>
      <c r="AF22" t="e">
        <f t="shared" si="28"/>
        <v>#DIV/0!</v>
      </c>
      <c r="AG22" t="e">
        <f t="shared" si="10"/>
        <v>#DIV/0!</v>
      </c>
      <c r="AH22" t="e">
        <f t="shared" si="29"/>
        <v>#DIV/0!</v>
      </c>
      <c r="AI22" t="e">
        <f t="shared" si="11"/>
        <v>#DIV/0!</v>
      </c>
      <c r="AJ22" t="e">
        <f t="shared" si="30"/>
        <v>#DIV/0!</v>
      </c>
      <c r="AK22" t="e">
        <f t="shared" si="12"/>
        <v>#DIV/0!</v>
      </c>
      <c r="AL22" t="e">
        <f t="shared" si="31"/>
        <v>#DIV/0!</v>
      </c>
      <c r="AM22" t="e">
        <f>(1/AG22*(Constants!D$5/Constants!D$2)-1)*1000</f>
        <v>#DIV/0!</v>
      </c>
      <c r="AN22" t="e">
        <f>AH22/AG22*1000</f>
        <v>#DIV/0!</v>
      </c>
      <c r="AP22" s="27" t="e">
        <f t="shared" si="13"/>
        <v>#DIV/0!</v>
      </c>
      <c r="AQ22" s="1" t="e">
        <f t="shared" si="14"/>
        <v>#DIV/0!</v>
      </c>
      <c r="AS22" t="str">
        <f t="shared" si="3"/>
        <v>Aragonite</v>
      </c>
      <c r="AT22">
        <f>IF($AS22="Calcite",Constants!B$14*1,IF($AS22="Aragonite",Constants!B$13*1,"Spike ID Error"))</f>
        <v>2.8418008370340747E-4</v>
      </c>
      <c r="AU22">
        <f>IF($AS22="Calcite",Constants!C$14*1,IF($AS22="Aragonite",Constants!C$13*1,"Spike ID Error"))</f>
        <v>4.3656412515058804E-5</v>
      </c>
      <c r="AV22">
        <f>IF($AS22="Calcite",Constants!D$14*1,IF($AS22="Aragonite",Constants!D$13*1,"Spike ID Error"))</f>
        <v>3.57E-4</v>
      </c>
      <c r="AW22">
        <f>IF($AS22="Calcite",Constants!E$14*1,IF($AS22="Aragonite",Constants!E$13*1,"Spike ID Error"))</f>
        <v>3.5688899585084996E-3</v>
      </c>
      <c r="AX22">
        <f>IF($AS22="Calcite",Constants!F$14*1,IF($AS22="Aragonite",Constants!F$13*1,"Spike ID Error"))</f>
        <v>5.6890791927183131E-5</v>
      </c>
      <c r="AY22">
        <f>IF($AS22="Calcite",Constants!G$14*1,IF($AS22="Aragonite",Constants!G$13*1,"Spike ID Error"))</f>
        <v>0.37247099665446171</v>
      </c>
      <c r="AZ22">
        <f>IF($AS22="Calcite",Constants!H$14*1,IF($AS22="Aragonite",Constants!H$13*1,"Spike ID Error"))</f>
        <v>6.9216754520917103</v>
      </c>
      <c r="BA22">
        <f>IF($AS22="Calcite",Constants!I$14*1,IF($AS22="Aragonite",Constants!I$13*1,"Spike ID Error"))</f>
        <v>0.98129648892116261</v>
      </c>
      <c r="BB22">
        <f>IF($AS22="Calcite",Constants!J$14*1,IF($AS22="Aragonite",Constants!J$13*1,"Spike ID Error"))</f>
        <v>18.583125972927476</v>
      </c>
      <c r="BC22">
        <f>IF($AS22="Calcite",Constants!K$14*1,IF($AS22="Aragonite",Constants!K$13*1,"Spike ID Error"))</f>
        <v>1.7442466578521214E-2</v>
      </c>
      <c r="BE22" t="e">
        <f t="shared" si="15"/>
        <v>#DIV/0!</v>
      </c>
      <c r="BF22" s="1" t="e">
        <f t="shared" si="16"/>
        <v>#DIV/0!</v>
      </c>
      <c r="BG22" s="1" t="e">
        <f t="shared" si="33"/>
        <v>#DIV/0!</v>
      </c>
      <c r="BH22" t="e">
        <f t="shared" si="17"/>
        <v>#DIV/0!</v>
      </c>
      <c r="BI22" s="1" t="e">
        <f t="shared" si="18"/>
        <v>#DIV/0!</v>
      </c>
      <c r="BJ22" s="1" t="e">
        <f t="shared" si="34"/>
        <v>#DIV/0!</v>
      </c>
      <c r="BK22" t="e">
        <f t="shared" si="19"/>
        <v>#DIV/0!</v>
      </c>
      <c r="BL22" s="1" t="e">
        <f t="shared" si="20"/>
        <v>#DIV/0!</v>
      </c>
      <c r="BM22" s="1" t="e">
        <f t="shared" si="35"/>
        <v>#DIV/0!</v>
      </c>
      <c r="BN22" t="e">
        <f t="shared" si="21"/>
        <v>#DIV/0!</v>
      </c>
      <c r="BO22" s="1" t="e">
        <f t="shared" si="22"/>
        <v>#DIV/0!</v>
      </c>
      <c r="BP22" s="1" t="e">
        <f t="shared" si="36"/>
        <v>#DIV/0!</v>
      </c>
      <c r="BR22" s="84" t="e">
        <f t="shared" si="43"/>
        <v>#DIV/0!</v>
      </c>
      <c r="BS22" s="84" t="e">
        <f t="shared" si="44"/>
        <v>#DIV/0!</v>
      </c>
      <c r="BT22" s="84" t="e">
        <f t="shared" si="45"/>
        <v>#DIV/0!</v>
      </c>
      <c r="BU22" s="84" t="e">
        <f t="shared" si="37"/>
        <v>#DIV/0!</v>
      </c>
      <c r="BV22" s="84" t="e">
        <f t="shared" si="38"/>
        <v>#DIV/0!</v>
      </c>
      <c r="BW22" s="84" t="e">
        <f t="shared" si="39"/>
        <v>#DIV/0!</v>
      </c>
      <c r="BY22" s="82" t="e">
        <f t="shared" si="40"/>
        <v>#DIV/0!</v>
      </c>
      <c r="BZ22" s="82" t="e">
        <f t="shared" si="41"/>
        <v>#DIV/0!</v>
      </c>
      <c r="CA22" s="82" t="e">
        <f t="shared" si="42"/>
        <v>#DIV/0!</v>
      </c>
    </row>
    <row r="23" spans="1:79">
      <c r="A23" s="42"/>
      <c r="B23" s="42" t="s">
        <v>354</v>
      </c>
      <c r="C23" s="65">
        <v>42005</v>
      </c>
      <c r="D23" s="42"/>
      <c r="E23" s="42"/>
      <c r="F23" s="34"/>
      <c r="G23" s="34"/>
      <c r="H23" s="34"/>
      <c r="I23" s="34"/>
      <c r="J23" s="49"/>
      <c r="K23" s="49"/>
      <c r="L23" s="49"/>
      <c r="M23" s="49"/>
      <c r="N23">
        <f t="shared" si="51"/>
        <v>9.9875734923987838E-2</v>
      </c>
      <c r="O23">
        <f t="shared" si="51"/>
        <v>1.2508473428230642</v>
      </c>
      <c r="P23">
        <f t="shared" si="51"/>
        <v>0.25963086783899858</v>
      </c>
      <c r="Q23">
        <f t="shared" si="51"/>
        <v>3.8944630175849788</v>
      </c>
      <c r="R23" t="e">
        <f>(1-AT23/Constants!$C$19/F23)</f>
        <v>#DIV/0!</v>
      </c>
      <c r="S23" t="e">
        <f t="shared" si="0"/>
        <v>#DIV/0!</v>
      </c>
      <c r="T23" s="36" t="e">
        <f t="shared" si="1"/>
        <v>#DIV/0!</v>
      </c>
      <c r="U23" t="e">
        <f t="shared" si="2"/>
        <v>#DIV/0!</v>
      </c>
      <c r="V23" t="e">
        <f>F23*R23</f>
        <v>#DIV/0!</v>
      </c>
      <c r="W23" t="e">
        <f t="shared" si="4"/>
        <v>#DIV/0!</v>
      </c>
      <c r="X23" t="e">
        <f>H23*R23/S23</f>
        <v>#DIV/0!</v>
      </c>
      <c r="Y23" t="e">
        <f t="shared" si="5"/>
        <v>#DIV/0!</v>
      </c>
      <c r="Z23" t="e">
        <f>J23*T23</f>
        <v>#DIV/0!</v>
      </c>
      <c r="AA23" t="e">
        <f t="shared" si="6"/>
        <v>#DIV/0!</v>
      </c>
      <c r="AB23" t="e">
        <f>L23*U23</f>
        <v>#DIV/0!</v>
      </c>
      <c r="AC23" t="e">
        <f t="shared" si="7"/>
        <v>#DIV/0!</v>
      </c>
      <c r="AD23" t="e">
        <f t="shared" si="8"/>
        <v>#DIV/0!</v>
      </c>
      <c r="AE23" t="e">
        <f t="shared" si="9"/>
        <v>#DIV/0!</v>
      </c>
      <c r="AF23" t="e">
        <f t="shared" si="28"/>
        <v>#DIV/0!</v>
      </c>
      <c r="AG23" t="e">
        <f t="shared" si="10"/>
        <v>#DIV/0!</v>
      </c>
      <c r="AH23" t="e">
        <f t="shared" si="29"/>
        <v>#DIV/0!</v>
      </c>
      <c r="AI23" t="e">
        <f t="shared" si="11"/>
        <v>#DIV/0!</v>
      </c>
      <c r="AJ23" t="e">
        <f t="shared" si="30"/>
        <v>#DIV/0!</v>
      </c>
      <c r="AK23" t="e">
        <f t="shared" si="12"/>
        <v>#DIV/0!</v>
      </c>
      <c r="AL23" t="e">
        <f t="shared" si="31"/>
        <v>#DIV/0!</v>
      </c>
      <c r="AM23" t="e">
        <f>(1/AG23*(Constants!D$5/Constants!D$2)-1)*1000</f>
        <v>#DIV/0!</v>
      </c>
      <c r="AN23" t="e">
        <f>AH23/AG23*1000</f>
        <v>#DIV/0!</v>
      </c>
      <c r="AP23" s="27" t="e">
        <f t="shared" si="13"/>
        <v>#DIV/0!</v>
      </c>
      <c r="AQ23" s="1" t="e">
        <f t="shared" si="14"/>
        <v>#DIV/0!</v>
      </c>
      <c r="AS23" t="str">
        <f t="shared" si="3"/>
        <v>Aragonite</v>
      </c>
      <c r="AT23">
        <f>IF($AS23="Calcite",Constants!B$14*1,IF($AS23="Aragonite",Constants!B$13*1,"Spike ID Error"))</f>
        <v>2.8418008370340747E-4</v>
      </c>
      <c r="AU23">
        <f>IF($AS23="Calcite",Constants!C$14*1,IF($AS23="Aragonite",Constants!C$13*1,"Spike ID Error"))</f>
        <v>4.3656412515058804E-5</v>
      </c>
      <c r="AV23">
        <f>IF($AS23="Calcite",Constants!D$14*1,IF($AS23="Aragonite",Constants!D$13*1,"Spike ID Error"))</f>
        <v>3.57E-4</v>
      </c>
      <c r="AW23">
        <f>IF($AS23="Calcite",Constants!E$14*1,IF($AS23="Aragonite",Constants!E$13*1,"Spike ID Error"))</f>
        <v>3.5688899585084996E-3</v>
      </c>
      <c r="AX23">
        <f>IF($AS23="Calcite",Constants!F$14*1,IF($AS23="Aragonite",Constants!F$13*1,"Spike ID Error"))</f>
        <v>5.6890791927183131E-5</v>
      </c>
      <c r="AY23">
        <f>IF($AS23="Calcite",Constants!G$14*1,IF($AS23="Aragonite",Constants!G$13*1,"Spike ID Error"))</f>
        <v>0.37247099665446171</v>
      </c>
      <c r="AZ23">
        <f>IF($AS23="Calcite",Constants!H$14*1,IF($AS23="Aragonite",Constants!H$13*1,"Spike ID Error"))</f>
        <v>6.9216754520917103</v>
      </c>
      <c r="BA23">
        <f>IF($AS23="Calcite",Constants!I$14*1,IF($AS23="Aragonite",Constants!I$13*1,"Spike ID Error"))</f>
        <v>0.98129648892116261</v>
      </c>
      <c r="BB23">
        <f>IF($AS23="Calcite",Constants!J$14*1,IF($AS23="Aragonite",Constants!J$13*1,"Spike ID Error"))</f>
        <v>18.583125972927476</v>
      </c>
      <c r="BC23">
        <f>IF($AS23="Calcite",Constants!K$14*1,IF($AS23="Aragonite",Constants!K$13*1,"Spike ID Error"))</f>
        <v>1.7442466578521214E-2</v>
      </c>
      <c r="BE23" t="e">
        <f t="shared" si="15"/>
        <v>#DIV/0!</v>
      </c>
      <c r="BF23" s="1" t="e">
        <f t="shared" si="16"/>
        <v>#DIV/0!</v>
      </c>
      <c r="BG23" s="1" t="e">
        <f t="shared" si="33"/>
        <v>#DIV/0!</v>
      </c>
      <c r="BH23" t="e">
        <f t="shared" si="17"/>
        <v>#DIV/0!</v>
      </c>
      <c r="BI23" s="1" t="e">
        <f t="shared" si="18"/>
        <v>#DIV/0!</v>
      </c>
      <c r="BJ23" s="1" t="e">
        <f t="shared" si="34"/>
        <v>#DIV/0!</v>
      </c>
      <c r="BK23" t="e">
        <f t="shared" si="19"/>
        <v>#DIV/0!</v>
      </c>
      <c r="BL23" s="1" t="e">
        <f t="shared" si="20"/>
        <v>#DIV/0!</v>
      </c>
      <c r="BM23" s="1" t="e">
        <f t="shared" si="35"/>
        <v>#DIV/0!</v>
      </c>
      <c r="BN23" t="e">
        <f t="shared" si="21"/>
        <v>#DIV/0!</v>
      </c>
      <c r="BO23" s="1" t="e">
        <f t="shared" si="22"/>
        <v>#DIV/0!</v>
      </c>
      <c r="BP23" s="1" t="e">
        <f t="shared" si="36"/>
        <v>#DIV/0!</v>
      </c>
      <c r="BR23" s="84" t="e">
        <f t="shared" si="43"/>
        <v>#DIV/0!</v>
      </c>
      <c r="BS23" s="84" t="e">
        <f t="shared" si="44"/>
        <v>#DIV/0!</v>
      </c>
      <c r="BT23" s="84" t="e">
        <f t="shared" si="45"/>
        <v>#DIV/0!</v>
      </c>
      <c r="BU23" s="84" t="e">
        <f t="shared" si="37"/>
        <v>#DIV/0!</v>
      </c>
      <c r="BV23" s="84" t="e">
        <f t="shared" si="38"/>
        <v>#DIV/0!</v>
      </c>
      <c r="BW23" s="84" t="e">
        <f t="shared" si="39"/>
        <v>#DIV/0!</v>
      </c>
      <c r="BY23" s="82" t="e">
        <f t="shared" si="40"/>
        <v>#DIV/0!</v>
      </c>
      <c r="BZ23" s="82" t="e">
        <f t="shared" si="41"/>
        <v>#DIV/0!</v>
      </c>
      <c r="CA23" s="82" t="e">
        <f t="shared" si="42"/>
        <v>#DIV/0!</v>
      </c>
    </row>
    <row r="24" spans="1:79">
      <c r="S24" s="36"/>
      <c r="AO24" s="27"/>
      <c r="AP24" s="1"/>
    </row>
    <row r="25" spans="1:79">
      <c r="A25" s="2" t="s">
        <v>111</v>
      </c>
      <c r="O25" t="s">
        <v>144</v>
      </c>
      <c r="S25" t="s">
        <v>143</v>
      </c>
      <c r="T25" s="61">
        <v>18264</v>
      </c>
    </row>
    <row r="26" spans="1:79">
      <c r="A26" s="2" t="s">
        <v>73</v>
      </c>
      <c r="B26" s="2" t="s">
        <v>112</v>
      </c>
      <c r="C26" s="2" t="s">
        <v>25</v>
      </c>
      <c r="D26" s="67" t="s">
        <v>71</v>
      </c>
      <c r="E26" s="2" t="s">
        <v>46</v>
      </c>
      <c r="F26" s="2" t="s">
        <v>71</v>
      </c>
      <c r="G26" s="2" t="s">
        <v>70</v>
      </c>
      <c r="H26" s="2" t="s">
        <v>71</v>
      </c>
      <c r="I26" s="2" t="s">
        <v>85</v>
      </c>
      <c r="J26" s="2" t="s">
        <v>71</v>
      </c>
      <c r="K26" s="2" t="s">
        <v>86</v>
      </c>
      <c r="L26" s="2" t="s">
        <v>71</v>
      </c>
      <c r="M26" s="2" t="s">
        <v>87</v>
      </c>
      <c r="N26" s="2" t="s">
        <v>71</v>
      </c>
      <c r="O26" s="2" t="s">
        <v>88</v>
      </c>
      <c r="P26" s="2" t="s">
        <v>71</v>
      </c>
      <c r="Q26" s="2" t="s">
        <v>89</v>
      </c>
      <c r="R26" s="2" t="s">
        <v>71</v>
      </c>
      <c r="S26" s="2" t="s">
        <v>88</v>
      </c>
      <c r="T26" s="2" t="s">
        <v>71</v>
      </c>
    </row>
    <row r="27" spans="1:79" ht="16.149999999999999" thickBot="1">
      <c r="A27" s="66"/>
      <c r="B27" s="66"/>
      <c r="C27" s="66" t="s">
        <v>90</v>
      </c>
      <c r="D27" s="66"/>
      <c r="E27" s="66" t="s">
        <v>91</v>
      </c>
      <c r="F27" s="66"/>
      <c r="G27" s="66" t="s">
        <v>92</v>
      </c>
      <c r="H27" s="66"/>
      <c r="I27" s="66" t="s">
        <v>93</v>
      </c>
      <c r="J27" s="66"/>
      <c r="K27" s="66" t="s">
        <v>94</v>
      </c>
      <c r="L27" s="66"/>
      <c r="M27" s="66" t="s">
        <v>95</v>
      </c>
      <c r="N27" s="66"/>
      <c r="O27" s="66" t="s">
        <v>95</v>
      </c>
      <c r="P27" s="66"/>
      <c r="Q27" s="66" t="s">
        <v>115</v>
      </c>
      <c r="R27" s="66"/>
      <c r="S27" s="66" t="s">
        <v>96</v>
      </c>
      <c r="T27" s="66"/>
    </row>
    <row r="28" spans="1:79">
      <c r="A28" s="2" t="str">
        <f t="shared" ref="A28:A36" si="52">A5</f>
        <v>AB11-2A (138mm)</v>
      </c>
      <c r="B28" s="2"/>
      <c r="C28" s="46">
        <f>AE5*AZ5/BA5*E5/D5*Constants!$B$2/1000</f>
        <v>416.32574659683348</v>
      </c>
      <c r="D28" s="44">
        <f t="shared" ref="D28:D46" si="53">2*C28*SQRT((AF5/1000)^2+(0.01)^2)</f>
        <v>8.3265421575736802</v>
      </c>
      <c r="E28" s="44">
        <f>AI5*AY5*Constants!$B$7*E5/D5</f>
        <v>3191.1871787889536</v>
      </c>
      <c r="F28" s="44">
        <f t="shared" ref="F28:F46" si="54">2*E28*SQRT((AJ5/AI5)^2+0.01^2)</f>
        <v>65.023237727116665</v>
      </c>
      <c r="G28" s="47">
        <f t="shared" ref="G28:G46" si="55">AM5</f>
        <v>3.4405763331404327</v>
      </c>
      <c r="H28" s="47">
        <f t="shared" ref="H28:H46" si="56">2*AN5</f>
        <v>2.2191951826005436</v>
      </c>
      <c r="I28" s="52">
        <f>AP5*Constants!D$8/Constants!D$2</f>
        <v>3.7676264629100432E-2</v>
      </c>
      <c r="J28" s="53">
        <f t="shared" ref="J28:J46" si="57">2*AQ5/AP5*I28</f>
        <v>4.0516313960534448E-4</v>
      </c>
      <c r="K28" s="56">
        <f t="shared" ref="K28:K46" si="58">AK5/AI5*1000000</f>
        <v>78.041698690217558</v>
      </c>
      <c r="L28" s="57">
        <f t="shared" ref="L28:L46" si="59">K28*2*SQRT((AJ5/AI5)^2+(AL5/AK5)^2)</f>
        <v>0.88008107688859427</v>
      </c>
      <c r="M28">
        <v>4173.0515971559498</v>
      </c>
      <c r="N28">
        <v>46.713283384010801</v>
      </c>
      <c r="O28">
        <v>3941.8556489437201</v>
      </c>
      <c r="P28">
        <v>124.755409514365</v>
      </c>
      <c r="Q28">
        <v>3.4794919090070899</v>
      </c>
      <c r="R28">
        <v>2.2438226378828401</v>
      </c>
      <c r="S28" s="50">
        <f>ROUND(O28-(C5-T$25)/365,1)</f>
        <v>3876.8</v>
      </c>
      <c r="T28" s="50">
        <f>ROUND(MAX(N28,P28),1)</f>
        <v>124.8</v>
      </c>
      <c r="U28" s="1"/>
    </row>
    <row r="29" spans="1:79">
      <c r="A29" s="2" t="str">
        <f t="shared" si="52"/>
        <v>AB11-2B (270mm)</v>
      </c>
      <c r="B29" s="2"/>
      <c r="C29" s="46">
        <f>AE6*AZ6/BA6*E6/D6*Constants!$B$2/1000</f>
        <v>1563.812634737817</v>
      </c>
      <c r="D29" s="44">
        <f t="shared" si="53"/>
        <v>31.278703855227462</v>
      </c>
      <c r="E29" s="44">
        <f>AI6*AY6*Constants!$B$7*E6/D6</f>
        <v>1803.9543376799854</v>
      </c>
      <c r="F29" s="44">
        <f t="shared" si="54"/>
        <v>38.275009968764493</v>
      </c>
      <c r="G29" s="47">
        <f t="shared" si="55"/>
        <v>5.3433384790551042</v>
      </c>
      <c r="H29" s="47">
        <f t="shared" si="56"/>
        <v>2.3116792563021837</v>
      </c>
      <c r="I29" s="52">
        <f>AP6*Constants!D$8/Constants!D$2</f>
        <v>4.3925341032340623E-2</v>
      </c>
      <c r="J29" s="53">
        <f t="shared" si="57"/>
        <v>2.428870292730464E-4</v>
      </c>
      <c r="K29" s="45">
        <f t="shared" si="58"/>
        <v>604.57781055239286</v>
      </c>
      <c r="L29" s="45">
        <f t="shared" si="59"/>
        <v>5.3034361229445519</v>
      </c>
      <c r="M29">
        <v>4871.3828339945303</v>
      </c>
      <c r="N29">
        <v>29.864201577442898</v>
      </c>
      <c r="O29">
        <v>4836.7059817477602</v>
      </c>
      <c r="P29">
        <v>34.506950677144197</v>
      </c>
      <c r="Q29">
        <v>5.4164291366919599</v>
      </c>
      <c r="R29">
        <v>2.3437739998424498</v>
      </c>
      <c r="S29" s="50">
        <f>ROUND(O29-(C6-T$25)/365,1)</f>
        <v>4771.7</v>
      </c>
      <c r="T29" s="50">
        <f>ROUND(MAX(N29,P29),1)</f>
        <v>34.5</v>
      </c>
      <c r="U29" s="1"/>
      <c r="V29" s="38"/>
    </row>
    <row r="30" spans="1:79">
      <c r="A30" s="2" t="str">
        <f t="shared" si="52"/>
        <v>AB13-2A (34mm)</v>
      </c>
      <c r="B30" s="2"/>
      <c r="C30" s="46">
        <f>AE7*AZ7/BA7*E7/D7*Constants!$B$2/1000</f>
        <v>1450.4132183463273</v>
      </c>
      <c r="D30" s="44">
        <f t="shared" si="53"/>
        <v>29.009345469079371</v>
      </c>
      <c r="E30" s="44">
        <f>AI7*AY7*Constants!$B$7*E7/D7</f>
        <v>2879.605822121342</v>
      </c>
      <c r="F30" s="44">
        <f t="shared" si="54"/>
        <v>59.089326249682429</v>
      </c>
      <c r="G30" s="47">
        <f t="shared" si="55"/>
        <v>7.2264634081136148</v>
      </c>
      <c r="H30" s="47">
        <f t="shared" si="56"/>
        <v>1.9980405984698817</v>
      </c>
      <c r="I30" s="52">
        <f>AP7*Constants!D$8/Constants!D$2</f>
        <v>2.8516248786233468E-2</v>
      </c>
      <c r="J30" s="53">
        <f t="shared" si="57"/>
        <v>2.3196034117789672E-4</v>
      </c>
      <c r="K30" s="45">
        <f t="shared" si="58"/>
        <v>228.04942693253361</v>
      </c>
      <c r="L30" s="45">
        <f t="shared" si="59"/>
        <v>2.0852008151780996</v>
      </c>
      <c r="M30">
        <v>3131.6650083582399</v>
      </c>
      <c r="N30">
        <v>26.6065286248711</v>
      </c>
      <c r="O30">
        <v>3072.0876068622802</v>
      </c>
      <c r="P30">
        <v>39.928267734383297</v>
      </c>
      <c r="Q30">
        <v>7.2889189896090496</v>
      </c>
      <c r="R30">
        <v>2.0153973637679599</v>
      </c>
      <c r="S30" s="50">
        <f>ROUND(O30-(C7-T$25)/365,1)</f>
        <v>3007</v>
      </c>
      <c r="T30" s="50">
        <f>ROUND(MAX(N30,P30),1)</f>
        <v>39.9</v>
      </c>
      <c r="U30" s="1"/>
      <c r="V30" s="40"/>
      <c r="AE30" s="40"/>
    </row>
    <row r="31" spans="1:79">
      <c r="A31" s="2" t="str">
        <f t="shared" si="52"/>
        <v>AB13-2B (85.5mm)</v>
      </c>
      <c r="B31" s="2"/>
      <c r="C31" s="46">
        <f>AE8*AZ8/BA8*E8/D8*Constants!$B$2/1000</f>
        <v>2061.2099939421582</v>
      </c>
      <c r="D31" s="44">
        <f t="shared" si="53"/>
        <v>41.240038106581856</v>
      </c>
      <c r="E31" s="44">
        <f>AI8*AY8*Constants!$B$7*E8/D8</f>
        <v>1957.9829278411405</v>
      </c>
      <c r="F31" s="44">
        <f t="shared" si="54"/>
        <v>40.710092102926595</v>
      </c>
      <c r="G31" s="47">
        <f t="shared" si="55"/>
        <v>6.5116719449600513</v>
      </c>
      <c r="H31" s="47">
        <f t="shared" si="56"/>
        <v>1.9438115009939587</v>
      </c>
      <c r="I31" s="52">
        <f>AP8*Constants!D$8/Constants!D$2</f>
        <v>3.2039590341385427E-2</v>
      </c>
      <c r="J31" s="53">
        <f t="shared" si="57"/>
        <v>1.7848498406621455E-4</v>
      </c>
      <c r="K31" s="45">
        <f t="shared" si="58"/>
        <v>535.52306105753178</v>
      </c>
      <c r="L31" s="45">
        <f t="shared" si="59"/>
        <v>4.1294742574254473</v>
      </c>
      <c r="M31">
        <v>3527.53443434063</v>
      </c>
      <c r="N31">
        <v>21.148479647350999</v>
      </c>
      <c r="O31">
        <v>3499.0120800527402</v>
      </c>
      <c r="P31">
        <v>25.493565755712002</v>
      </c>
      <c r="Q31">
        <v>6.5766207575138296</v>
      </c>
      <c r="R31">
        <v>1.9632910202546101</v>
      </c>
      <c r="S31" s="50">
        <f>ROUND(O31-(C8-T$25)/365,1)</f>
        <v>3434</v>
      </c>
      <c r="T31" s="50">
        <f>ROUND(MAX(N31,P31),1)</f>
        <v>25.5</v>
      </c>
      <c r="U31" s="1"/>
      <c r="V31" s="41"/>
      <c r="W31" s="41"/>
      <c r="X31" s="41"/>
      <c r="Y31" s="41"/>
      <c r="Z31" s="41"/>
      <c r="AA31" s="41"/>
      <c r="AB31" s="41"/>
      <c r="AC31" s="41"/>
      <c r="AD31" s="41"/>
      <c r="AE31" s="41"/>
      <c r="AF31" s="41"/>
      <c r="AG31" s="41"/>
      <c r="AH31" s="41"/>
      <c r="AI31" s="41"/>
      <c r="AJ31" s="41"/>
      <c r="AK31" s="41"/>
      <c r="AL31" s="41"/>
      <c r="AU31" s="1"/>
    </row>
    <row r="32" spans="1:79">
      <c r="A32" s="2" t="str">
        <f t="shared" si="52"/>
        <v>AB13-2C (130mm)</v>
      </c>
      <c r="B32" s="2"/>
      <c r="C32" s="46">
        <f>AE9*AZ9/BA9*E9/D9*Constants!$B$2/1000</f>
        <v>1591.0379244750909</v>
      </c>
      <c r="D32" s="44">
        <f t="shared" si="53"/>
        <v>31.822805741327869</v>
      </c>
      <c r="E32" s="44">
        <f>AI9*AY9*Constants!$B$7*E9/D9</f>
        <v>231.09666640946742</v>
      </c>
      <c r="F32" s="44">
        <f t="shared" si="54"/>
        <v>13.392593833606737</v>
      </c>
      <c r="G32" s="47">
        <f t="shared" si="55"/>
        <v>6.9188878356967187</v>
      </c>
      <c r="H32" s="47">
        <f t="shared" si="56"/>
        <v>1.8154838020258512</v>
      </c>
      <c r="I32" s="52">
        <f>AP9*Constants!D$8/Constants!D$2</f>
        <v>3.3075723338131136E-2</v>
      </c>
      <c r="J32" s="53">
        <f t="shared" si="57"/>
        <v>2.023676132057314E-4</v>
      </c>
      <c r="K32" s="58">
        <f t="shared" si="58"/>
        <v>3615.5476181455379</v>
      </c>
      <c r="L32" s="45">
        <f t="shared" si="59"/>
        <v>197.77516523861883</v>
      </c>
      <c r="M32">
        <v>3642.0133349121302</v>
      </c>
      <c r="N32">
        <v>23.631048918245099</v>
      </c>
      <c r="O32">
        <v>3637.65439723707</v>
      </c>
      <c r="P32">
        <v>23.729104249121999</v>
      </c>
      <c r="Q32">
        <v>6.9903940600492804</v>
      </c>
      <c r="R32">
        <v>1.83372823130646</v>
      </c>
      <c r="S32" s="50">
        <f>ROUND(O32-(C9-T$25)/365,1)</f>
        <v>3572.6</v>
      </c>
      <c r="T32" s="50">
        <f>ROUND(MAX(N32,P32),1)</f>
        <v>23.7</v>
      </c>
      <c r="U32" s="1"/>
    </row>
    <row r="33" spans="1:21">
      <c r="A33" s="2" t="str">
        <f t="shared" si="52"/>
        <v>AB13-2D (177mm)</v>
      </c>
      <c r="B33" s="2"/>
      <c r="C33" s="46">
        <f>AE10*AZ10/BA10*E10/D10*Constants!$B$2/1000</f>
        <v>1570.6005827923473</v>
      </c>
      <c r="D33" s="44">
        <f t="shared" si="53"/>
        <v>31.415625512110235</v>
      </c>
      <c r="E33" s="44">
        <f>AI10*AY10*Constants!$B$7*E10/D10</f>
        <v>110.93790784803356</v>
      </c>
      <c r="F33" s="44">
        <f t="shared" si="54"/>
        <v>11.314848885535666</v>
      </c>
      <c r="G33" s="47">
        <f t="shared" si="55"/>
        <v>5.3027049107017277</v>
      </c>
      <c r="H33" s="47">
        <f t="shared" si="56"/>
        <v>2.1810141115063209</v>
      </c>
      <c r="I33" s="52">
        <f>AP10*Constants!D$8/Constants!D$2</f>
        <v>3.4988479044725525E-2</v>
      </c>
      <c r="J33" s="53">
        <f t="shared" si="57"/>
        <v>1.8655412570066948E-4</v>
      </c>
      <c r="K33" s="45">
        <f t="shared" si="58"/>
        <v>7864.818978658398</v>
      </c>
      <c r="L33" s="45">
        <f t="shared" si="59"/>
        <v>787.5449302785828</v>
      </c>
      <c r="M33">
        <v>3862.64598425951</v>
      </c>
      <c r="N33">
        <v>22.649872180560902</v>
      </c>
      <c r="O33">
        <v>3860.5228752325702</v>
      </c>
      <c r="P33">
        <v>22.672975488010099</v>
      </c>
      <c r="Q33">
        <v>5.3610900682095997</v>
      </c>
      <c r="R33">
        <v>2.2048911145145902</v>
      </c>
      <c r="S33" s="50">
        <f t="shared" ref="S33:S46" si="60">ROUND(O33-(C10-T$25)/365,1)</f>
        <v>3795.5</v>
      </c>
      <c r="T33" s="50">
        <f t="shared" ref="T33:T46" si="61">ROUND(MAX(N33,P33),1)</f>
        <v>22.7</v>
      </c>
      <c r="U33" s="1"/>
    </row>
    <row r="34" spans="1:21">
      <c r="A34" s="2" t="str">
        <f t="shared" si="52"/>
        <v>AB13-2E (229mm)</v>
      </c>
      <c r="B34" s="2"/>
      <c r="C34" s="46">
        <f>AE11*AZ11/BA11*E11/D11*Constants!$B$2/1000</f>
        <v>2020.1583560216438</v>
      </c>
      <c r="D34" s="44">
        <f t="shared" si="53"/>
        <v>40.407606394081597</v>
      </c>
      <c r="E34" s="44">
        <f>AI11*AY11*Constants!$B$7*E11/D11</f>
        <v>178.65290169504181</v>
      </c>
      <c r="F34" s="44">
        <f t="shared" si="54"/>
        <v>13.543373452634905</v>
      </c>
      <c r="G34" s="47">
        <f t="shared" si="55"/>
        <v>5.5351552234010892</v>
      </c>
      <c r="H34" s="47">
        <f t="shared" si="56"/>
        <v>2.1008351604809024</v>
      </c>
      <c r="I34" s="52">
        <f>AP11*Constants!D$8/Constants!D$2</f>
        <v>3.7575591553279483E-2</v>
      </c>
      <c r="J34" s="53">
        <f t="shared" si="57"/>
        <v>1.6725355408808902E-4</v>
      </c>
      <c r="K34" s="45">
        <f t="shared" si="58"/>
        <v>6746.1974847515557</v>
      </c>
      <c r="L34" s="45">
        <f t="shared" si="59"/>
        <v>494.0413753681683</v>
      </c>
      <c r="M34">
        <v>4152.8765133385496</v>
      </c>
      <c r="N34">
        <v>20.834780706661601</v>
      </c>
      <c r="O34">
        <v>4150.2189111198404</v>
      </c>
      <c r="P34">
        <v>20.874720541051399</v>
      </c>
      <c r="Q34">
        <v>5.60020796098026</v>
      </c>
      <c r="R34">
        <v>2.1257519544208798</v>
      </c>
      <c r="S34" s="50">
        <f t="shared" si="60"/>
        <v>4085.2</v>
      </c>
      <c r="T34" s="50">
        <f t="shared" si="61"/>
        <v>20.9</v>
      </c>
      <c r="U34" s="1"/>
    </row>
    <row r="35" spans="1:21">
      <c r="A35" s="2" t="str">
        <f t="shared" si="52"/>
        <v>AB13-2F (265mm)</v>
      </c>
      <c r="B35" s="2"/>
      <c r="C35" s="46">
        <f>AE12*AZ12/BA12*E12/D12*Constants!$B$2/1000</f>
        <v>1560.7662649234308</v>
      </c>
      <c r="D35" s="44">
        <f t="shared" si="53"/>
        <v>31.218237255380352</v>
      </c>
      <c r="E35" s="44">
        <f>AI12*AY12*Constants!$B$7*E12/D12</f>
        <v>958.86405111154204</v>
      </c>
      <c r="F35" s="44">
        <f t="shared" si="54"/>
        <v>22.450637248930946</v>
      </c>
      <c r="G35" s="47">
        <f t="shared" si="55"/>
        <v>5.8336317754439371</v>
      </c>
      <c r="H35" s="47">
        <f t="shared" si="56"/>
        <v>2.2376313436668234</v>
      </c>
      <c r="I35" s="52">
        <f>AP12*Constants!D$8/Constants!D$2</f>
        <v>3.9943640119438101E-2</v>
      </c>
      <c r="J35" s="53">
        <f t="shared" si="57"/>
        <v>2.1874867884151989E-4</v>
      </c>
      <c r="K35" s="45">
        <f t="shared" si="58"/>
        <v>1032.3010214372712</v>
      </c>
      <c r="L35" s="45">
        <f t="shared" si="59"/>
        <v>13.635895334061489</v>
      </c>
      <c r="M35">
        <v>4418.6021618292498</v>
      </c>
      <c r="N35">
        <v>26.677943259689101</v>
      </c>
      <c r="O35">
        <v>4400.14422122822</v>
      </c>
      <c r="P35">
        <v>28.214598687752499</v>
      </c>
      <c r="Q35">
        <v>5.9068951760251602</v>
      </c>
      <c r="R35">
        <v>2.2659636079392902</v>
      </c>
      <c r="S35" s="50">
        <f t="shared" si="60"/>
        <v>4335.1000000000004</v>
      </c>
      <c r="T35" s="50">
        <f t="shared" si="61"/>
        <v>28.2</v>
      </c>
      <c r="U35" s="1"/>
    </row>
    <row r="36" spans="1:21">
      <c r="A36" s="2" t="str">
        <f t="shared" si="52"/>
        <v>CC5A</v>
      </c>
      <c r="B36" s="2"/>
      <c r="C36" s="46">
        <f>AE13*AZ13/BA13*E13/D13*Constants!$B$2/1000</f>
        <v>13993.072510266404</v>
      </c>
      <c r="D36" s="44">
        <f t="shared" si="53"/>
        <v>279.86203667662051</v>
      </c>
      <c r="E36" s="44">
        <f>AI13*AY13*Constants!$B$7*E13/D13</f>
        <v>40939.62214223991</v>
      </c>
      <c r="F36" s="44">
        <f t="shared" si="54"/>
        <v>859.37776051626156</v>
      </c>
      <c r="G36" s="47">
        <f t="shared" si="55"/>
        <v>921.34988629036661</v>
      </c>
      <c r="H36" s="47">
        <f t="shared" si="56"/>
        <v>1.7322121072071275</v>
      </c>
      <c r="I36" s="52">
        <f>AP13*Constants!D$8/Constants!D$2</f>
        <v>0.34401308911190492</v>
      </c>
      <c r="J36" s="53">
        <f t="shared" si="57"/>
        <v>1.3676167916964362E-3</v>
      </c>
      <c r="K36" s="45">
        <f t="shared" si="58"/>
        <v>1866.9045141954823</v>
      </c>
      <c r="L36" s="45">
        <f t="shared" si="59"/>
        <v>13.575516235650376</v>
      </c>
      <c r="M36">
        <v>21182.307424105202</v>
      </c>
      <c r="N36">
        <v>93.949843357785795</v>
      </c>
      <c r="O36">
        <v>21137.601447060501</v>
      </c>
      <c r="P36">
        <v>96.570267924204103</v>
      </c>
      <c r="Q36">
        <v>977.98229374974198</v>
      </c>
      <c r="R36">
        <v>1.8576819325231</v>
      </c>
      <c r="S36" s="50">
        <f t="shared" si="60"/>
        <v>21072.6</v>
      </c>
      <c r="T36" s="50">
        <f t="shared" si="61"/>
        <v>96.6</v>
      </c>
      <c r="U36" s="1"/>
    </row>
    <row r="37" spans="1:21">
      <c r="A37" s="2">
        <f t="shared" ref="A37:A46" si="62">A14</f>
        <v>0</v>
      </c>
      <c r="B37" s="2"/>
      <c r="C37" s="46" t="e">
        <f>AE14*AZ14/BA14*E14/D14*Constants!$B$2/1000</f>
        <v>#DIV/0!</v>
      </c>
      <c r="D37" s="44" t="e">
        <f t="shared" si="53"/>
        <v>#DIV/0!</v>
      </c>
      <c r="E37" s="44" t="e">
        <f>AI14*AY14*Constants!$B$7*E14/D14</f>
        <v>#DIV/0!</v>
      </c>
      <c r="F37" s="44" t="e">
        <f t="shared" si="54"/>
        <v>#DIV/0!</v>
      </c>
      <c r="G37" s="47" t="e">
        <f t="shared" si="55"/>
        <v>#DIV/0!</v>
      </c>
      <c r="H37" s="47" t="e">
        <f t="shared" si="56"/>
        <v>#DIV/0!</v>
      </c>
      <c r="I37" s="52" t="e">
        <f>AP14*Constants!D$8/Constants!D$2</f>
        <v>#DIV/0!</v>
      </c>
      <c r="J37" s="53" t="e">
        <f t="shared" si="57"/>
        <v>#DIV/0!</v>
      </c>
      <c r="K37" s="56" t="e">
        <f t="shared" si="58"/>
        <v>#DIV/0!</v>
      </c>
      <c r="L37" s="57" t="e">
        <f t="shared" si="59"/>
        <v>#DIV/0!</v>
      </c>
      <c r="S37" s="50">
        <f t="shared" si="60"/>
        <v>-65</v>
      </c>
      <c r="T37" s="50">
        <f t="shared" si="61"/>
        <v>0</v>
      </c>
    </row>
    <row r="38" spans="1:21">
      <c r="A38" s="2">
        <f t="shared" si="62"/>
        <v>0</v>
      </c>
      <c r="B38" s="2"/>
      <c r="C38" s="46" t="e">
        <f>AE15*AZ15/BA15*E15/D15*Constants!$B$2/1000</f>
        <v>#DIV/0!</v>
      </c>
      <c r="D38" s="44" t="e">
        <f t="shared" si="53"/>
        <v>#DIV/0!</v>
      </c>
      <c r="E38" s="44" t="e">
        <f>AI15*AY15*Constants!$B$7*E15/D15</f>
        <v>#DIV/0!</v>
      </c>
      <c r="F38" s="44" t="e">
        <f t="shared" si="54"/>
        <v>#DIV/0!</v>
      </c>
      <c r="G38" s="47" t="e">
        <f t="shared" si="55"/>
        <v>#DIV/0!</v>
      </c>
      <c r="H38" s="47" t="e">
        <f t="shared" si="56"/>
        <v>#DIV/0!</v>
      </c>
      <c r="I38" s="52" t="e">
        <f>AP15*Constants!D$8/Constants!D$2</f>
        <v>#DIV/0!</v>
      </c>
      <c r="J38" s="53" t="e">
        <f t="shared" si="57"/>
        <v>#DIV/0!</v>
      </c>
      <c r="K38" s="45" t="e">
        <f t="shared" si="58"/>
        <v>#DIV/0!</v>
      </c>
      <c r="L38" s="45" t="e">
        <f t="shared" si="59"/>
        <v>#DIV/0!</v>
      </c>
      <c r="S38" s="50">
        <f t="shared" si="60"/>
        <v>-65</v>
      </c>
      <c r="T38" s="50">
        <f t="shared" si="61"/>
        <v>0</v>
      </c>
      <c r="U38" s="1"/>
    </row>
    <row r="39" spans="1:21">
      <c r="A39" s="2">
        <f t="shared" si="62"/>
        <v>0</v>
      </c>
      <c r="B39" s="2"/>
      <c r="C39" s="46" t="e">
        <f>AE16*AZ16/BA16*E16/D16*Constants!$B$2/1000</f>
        <v>#DIV/0!</v>
      </c>
      <c r="D39" s="44" t="e">
        <f t="shared" si="53"/>
        <v>#DIV/0!</v>
      </c>
      <c r="E39" s="44" t="e">
        <f>AI16*AY16*Constants!$B$7*E16/D16</f>
        <v>#DIV/0!</v>
      </c>
      <c r="F39" s="44" t="e">
        <f t="shared" si="54"/>
        <v>#DIV/0!</v>
      </c>
      <c r="G39" s="47" t="e">
        <f t="shared" si="55"/>
        <v>#DIV/0!</v>
      </c>
      <c r="H39" s="47" t="e">
        <f t="shared" si="56"/>
        <v>#DIV/0!</v>
      </c>
      <c r="I39" s="52" t="e">
        <f>AP16*Constants!D$8/Constants!D$2</f>
        <v>#DIV/0!</v>
      </c>
      <c r="J39" s="53" t="e">
        <f t="shared" si="57"/>
        <v>#DIV/0!</v>
      </c>
      <c r="K39" s="45" t="e">
        <f t="shared" si="58"/>
        <v>#DIV/0!</v>
      </c>
      <c r="L39" s="45" t="e">
        <f t="shared" si="59"/>
        <v>#DIV/0!</v>
      </c>
      <c r="S39" s="50">
        <f t="shared" si="60"/>
        <v>-65</v>
      </c>
      <c r="T39" s="50">
        <f t="shared" si="61"/>
        <v>0</v>
      </c>
      <c r="U39" s="1"/>
    </row>
    <row r="40" spans="1:21">
      <c r="A40" s="2">
        <f t="shared" si="62"/>
        <v>0</v>
      </c>
      <c r="B40" s="2"/>
      <c r="C40" s="46" t="e">
        <f>AE17*AZ17/BA17*E17/D17*Constants!$B$2/1000</f>
        <v>#DIV/0!</v>
      </c>
      <c r="D40" s="44" t="e">
        <f t="shared" si="53"/>
        <v>#DIV/0!</v>
      </c>
      <c r="E40" s="44" t="e">
        <f>AI17*AY17*Constants!$B$7*E17/D17</f>
        <v>#DIV/0!</v>
      </c>
      <c r="F40" s="44" t="e">
        <f t="shared" si="54"/>
        <v>#DIV/0!</v>
      </c>
      <c r="G40" s="47" t="e">
        <f t="shared" si="55"/>
        <v>#DIV/0!</v>
      </c>
      <c r="H40" s="47" t="e">
        <f t="shared" si="56"/>
        <v>#DIV/0!</v>
      </c>
      <c r="I40" s="52" t="e">
        <f>AP17*Constants!D$8/Constants!D$2</f>
        <v>#DIV/0!</v>
      </c>
      <c r="J40" s="53" t="e">
        <f t="shared" si="57"/>
        <v>#DIV/0!</v>
      </c>
      <c r="K40" s="45" t="e">
        <f t="shared" si="58"/>
        <v>#DIV/0!</v>
      </c>
      <c r="L40" s="45" t="e">
        <f t="shared" si="59"/>
        <v>#DIV/0!</v>
      </c>
      <c r="S40" s="50">
        <f t="shared" si="60"/>
        <v>-65</v>
      </c>
      <c r="T40" s="50">
        <f t="shared" si="61"/>
        <v>0</v>
      </c>
      <c r="U40" s="1"/>
    </row>
    <row r="41" spans="1:21">
      <c r="A41" s="2">
        <f t="shared" si="62"/>
        <v>0</v>
      </c>
      <c r="B41" s="2"/>
      <c r="C41" s="46" t="e">
        <f>AE18*AZ18/BA18*E18/D18*Constants!$B$2/1000</f>
        <v>#DIV/0!</v>
      </c>
      <c r="D41" s="44" t="e">
        <f t="shared" si="53"/>
        <v>#DIV/0!</v>
      </c>
      <c r="E41" s="44" t="e">
        <f>AI18*AY18*Constants!$B$7*E18/D18</f>
        <v>#DIV/0!</v>
      </c>
      <c r="F41" s="44" t="e">
        <f t="shared" si="54"/>
        <v>#DIV/0!</v>
      </c>
      <c r="G41" s="47" t="e">
        <f t="shared" si="55"/>
        <v>#DIV/0!</v>
      </c>
      <c r="H41" s="47" t="e">
        <f t="shared" si="56"/>
        <v>#DIV/0!</v>
      </c>
      <c r="I41" s="52" t="e">
        <f>AP18*Constants!D$8/Constants!D$2</f>
        <v>#DIV/0!</v>
      </c>
      <c r="J41" s="53" t="e">
        <f t="shared" si="57"/>
        <v>#DIV/0!</v>
      </c>
      <c r="K41" s="58" t="e">
        <f t="shared" si="58"/>
        <v>#DIV/0!</v>
      </c>
      <c r="L41" s="45" t="e">
        <f t="shared" si="59"/>
        <v>#DIV/0!</v>
      </c>
      <c r="S41" s="50">
        <f t="shared" si="60"/>
        <v>-65</v>
      </c>
      <c r="T41" s="50">
        <f t="shared" si="61"/>
        <v>0</v>
      </c>
      <c r="U41" s="1"/>
    </row>
    <row r="42" spans="1:21">
      <c r="A42" s="2">
        <f t="shared" si="62"/>
        <v>0</v>
      </c>
      <c r="B42" s="2"/>
      <c r="C42" s="46" t="e">
        <f>AE19*AZ19/BA19*E19/D19*Constants!$B$2/1000</f>
        <v>#DIV/0!</v>
      </c>
      <c r="D42" s="44" t="e">
        <f t="shared" si="53"/>
        <v>#DIV/0!</v>
      </c>
      <c r="E42" s="44" t="e">
        <f>AI19*AY19*Constants!$B$7*E19/D19</f>
        <v>#DIV/0!</v>
      </c>
      <c r="F42" s="44" t="e">
        <f t="shared" si="54"/>
        <v>#DIV/0!</v>
      </c>
      <c r="G42" s="47" t="e">
        <f t="shared" si="55"/>
        <v>#DIV/0!</v>
      </c>
      <c r="H42" s="47" t="e">
        <f t="shared" si="56"/>
        <v>#DIV/0!</v>
      </c>
      <c r="I42" s="52" t="e">
        <f>AP19*Constants!D$8/Constants!D$2</f>
        <v>#DIV/0!</v>
      </c>
      <c r="J42" s="53" t="e">
        <f t="shared" si="57"/>
        <v>#DIV/0!</v>
      </c>
      <c r="K42" s="45" t="e">
        <f t="shared" si="58"/>
        <v>#DIV/0!</v>
      </c>
      <c r="L42" s="45" t="e">
        <f t="shared" si="59"/>
        <v>#DIV/0!</v>
      </c>
      <c r="S42" s="50">
        <f t="shared" si="60"/>
        <v>-65</v>
      </c>
      <c r="T42" s="50">
        <f t="shared" si="61"/>
        <v>0</v>
      </c>
      <c r="U42" s="1"/>
    </row>
    <row r="43" spans="1:21">
      <c r="A43" s="2">
        <f t="shared" si="62"/>
        <v>0</v>
      </c>
      <c r="B43" s="2"/>
      <c r="C43" s="46" t="e">
        <f>AE20*AZ20/BA20*E20/D20*Constants!$B$2/1000</f>
        <v>#DIV/0!</v>
      </c>
      <c r="D43" s="44" t="e">
        <f t="shared" si="53"/>
        <v>#DIV/0!</v>
      </c>
      <c r="E43" s="44" t="e">
        <f>AI20*AY20*Constants!$B$7*E20/D20</f>
        <v>#DIV/0!</v>
      </c>
      <c r="F43" s="44" t="e">
        <f t="shared" si="54"/>
        <v>#DIV/0!</v>
      </c>
      <c r="G43" s="47" t="e">
        <f t="shared" si="55"/>
        <v>#DIV/0!</v>
      </c>
      <c r="H43" s="47" t="e">
        <f t="shared" si="56"/>
        <v>#DIV/0!</v>
      </c>
      <c r="I43" s="52" t="e">
        <f>AP20*Constants!D$8/Constants!D$2</f>
        <v>#DIV/0!</v>
      </c>
      <c r="J43" s="53" t="e">
        <f t="shared" si="57"/>
        <v>#DIV/0!</v>
      </c>
      <c r="K43" s="45" t="e">
        <f t="shared" si="58"/>
        <v>#DIV/0!</v>
      </c>
      <c r="L43" s="45" t="e">
        <f t="shared" si="59"/>
        <v>#DIV/0!</v>
      </c>
      <c r="S43" s="50">
        <f t="shared" si="60"/>
        <v>-65</v>
      </c>
      <c r="T43" s="50">
        <f t="shared" si="61"/>
        <v>0</v>
      </c>
      <c r="U43" s="1"/>
    </row>
    <row r="44" spans="1:21">
      <c r="A44" s="2">
        <f t="shared" si="62"/>
        <v>0</v>
      </c>
      <c r="B44" s="2"/>
      <c r="C44" s="46" t="e">
        <f>AE21*AZ21/BA21*E21/D21*Constants!$B$2/1000</f>
        <v>#DIV/0!</v>
      </c>
      <c r="D44" s="44" t="e">
        <f t="shared" si="53"/>
        <v>#DIV/0!</v>
      </c>
      <c r="E44" s="44" t="e">
        <f>AI21*AY21*Constants!$B$7*E21/D21</f>
        <v>#DIV/0!</v>
      </c>
      <c r="F44" s="44" t="e">
        <f t="shared" si="54"/>
        <v>#DIV/0!</v>
      </c>
      <c r="G44" s="47" t="e">
        <f t="shared" si="55"/>
        <v>#DIV/0!</v>
      </c>
      <c r="H44" s="47" t="e">
        <f t="shared" si="56"/>
        <v>#DIV/0!</v>
      </c>
      <c r="I44" s="52" t="e">
        <f>AP21*Constants!D$8/Constants!D$2</f>
        <v>#DIV/0!</v>
      </c>
      <c r="J44" s="53" t="e">
        <f t="shared" si="57"/>
        <v>#DIV/0!</v>
      </c>
      <c r="K44" s="45" t="e">
        <f t="shared" si="58"/>
        <v>#DIV/0!</v>
      </c>
      <c r="L44" s="45" t="e">
        <f t="shared" si="59"/>
        <v>#DIV/0!</v>
      </c>
      <c r="S44" s="50">
        <f t="shared" si="60"/>
        <v>-65</v>
      </c>
      <c r="T44" s="50">
        <f t="shared" si="61"/>
        <v>0</v>
      </c>
      <c r="U44" s="1"/>
    </row>
    <row r="45" spans="1:21">
      <c r="A45" s="2">
        <f t="shared" si="62"/>
        <v>0</v>
      </c>
      <c r="B45" s="2"/>
      <c r="C45" s="46" t="e">
        <f>AE22*AZ22/BA22*E22/D22*Constants!$B$2/1000</f>
        <v>#DIV/0!</v>
      </c>
      <c r="D45" s="44" t="e">
        <f t="shared" si="53"/>
        <v>#DIV/0!</v>
      </c>
      <c r="E45" s="44" t="e">
        <f>AI22*AY22*Constants!$B$7*E22/D22</f>
        <v>#DIV/0!</v>
      </c>
      <c r="F45" s="44" t="e">
        <f t="shared" si="54"/>
        <v>#DIV/0!</v>
      </c>
      <c r="G45" s="47" t="e">
        <f t="shared" si="55"/>
        <v>#DIV/0!</v>
      </c>
      <c r="H45" s="47" t="e">
        <f t="shared" si="56"/>
        <v>#DIV/0!</v>
      </c>
      <c r="I45" s="52" t="e">
        <f>AP22*Constants!D$8/Constants!D$2</f>
        <v>#DIV/0!</v>
      </c>
      <c r="J45" s="53" t="e">
        <f t="shared" si="57"/>
        <v>#DIV/0!</v>
      </c>
      <c r="K45" s="45" t="e">
        <f t="shared" si="58"/>
        <v>#DIV/0!</v>
      </c>
      <c r="L45" s="45" t="e">
        <f t="shared" si="59"/>
        <v>#DIV/0!</v>
      </c>
      <c r="S45" s="50">
        <f t="shared" si="60"/>
        <v>-65</v>
      </c>
      <c r="T45" s="50">
        <f t="shared" si="61"/>
        <v>0</v>
      </c>
      <c r="U45" s="1"/>
    </row>
    <row r="46" spans="1:21">
      <c r="A46" s="2">
        <f t="shared" si="62"/>
        <v>0</v>
      </c>
      <c r="B46" s="2"/>
      <c r="C46" s="46" t="e">
        <f>AE23*AZ23/BA23*E23/D23*Constants!$B$2/1000</f>
        <v>#DIV/0!</v>
      </c>
      <c r="D46" s="44" t="e">
        <f t="shared" si="53"/>
        <v>#DIV/0!</v>
      </c>
      <c r="E46" s="44" t="e">
        <f>AI23*AY23*Constants!$B$7*E23/D23</f>
        <v>#DIV/0!</v>
      </c>
      <c r="F46" s="44" t="e">
        <f t="shared" si="54"/>
        <v>#DIV/0!</v>
      </c>
      <c r="G46" s="47" t="e">
        <f t="shared" si="55"/>
        <v>#DIV/0!</v>
      </c>
      <c r="H46" s="47" t="e">
        <f t="shared" si="56"/>
        <v>#DIV/0!</v>
      </c>
      <c r="I46" s="52" t="e">
        <f>AP23*Constants!D$8/Constants!D$2</f>
        <v>#DIV/0!</v>
      </c>
      <c r="J46" s="53" t="e">
        <f t="shared" si="57"/>
        <v>#DIV/0!</v>
      </c>
      <c r="K46" s="56" t="e">
        <f t="shared" si="58"/>
        <v>#DIV/0!</v>
      </c>
      <c r="L46" s="57" t="e">
        <f t="shared" si="59"/>
        <v>#DIV/0!</v>
      </c>
      <c r="S46" s="50">
        <f t="shared" si="60"/>
        <v>-65</v>
      </c>
      <c r="T46" s="50">
        <f t="shared" si="61"/>
        <v>0</v>
      </c>
      <c r="U46" s="1"/>
    </row>
    <row r="47" spans="1:21">
      <c r="L47" s="64"/>
    </row>
    <row r="48" spans="1:21">
      <c r="L48" s="64"/>
    </row>
    <row r="51" spans="1:11">
      <c r="A51" s="2" t="s">
        <v>187</v>
      </c>
      <c r="B51" s="76" t="s">
        <v>197</v>
      </c>
      <c r="C51" s="76"/>
    </row>
    <row r="52" spans="1:11" ht="47.25">
      <c r="A52" t="s">
        <v>188</v>
      </c>
      <c r="B52" s="75" t="s">
        <v>192</v>
      </c>
      <c r="C52" s="75" t="s">
        <v>193</v>
      </c>
      <c r="D52" s="75" t="s">
        <v>198</v>
      </c>
      <c r="E52" s="75" t="s">
        <v>199</v>
      </c>
      <c r="F52" s="75" t="s">
        <v>189</v>
      </c>
      <c r="G52" s="75" t="s">
        <v>191</v>
      </c>
      <c r="H52" s="75" t="s">
        <v>190</v>
      </c>
      <c r="I52" s="75" t="s">
        <v>196</v>
      </c>
      <c r="J52" t="s">
        <v>194</v>
      </c>
      <c r="K52" s="75" t="s">
        <v>195</v>
      </c>
    </row>
    <row r="53" spans="1:11">
      <c r="A53" t="str">
        <f>A4</f>
        <v>Procedural blank</v>
      </c>
      <c r="B53" s="76">
        <v>1</v>
      </c>
      <c r="C53" s="76">
        <v>0.3</v>
      </c>
      <c r="D53" s="76">
        <v>3.2504640000000001E-2</v>
      </c>
      <c r="E53" s="93">
        <f>Th!K5</f>
        <v>1.240007E-3</v>
      </c>
      <c r="F53" s="76">
        <v>12.5</v>
      </c>
      <c r="G53" s="76">
        <v>0.26</v>
      </c>
      <c r="H53">
        <f t="shared" ref="H53:H65" si="63">E4*AZ4*236/1000/B53*(F53/12.5)</f>
        <v>3.722781611854814E-2</v>
      </c>
      <c r="I53">
        <f t="shared" ref="I53:I65" si="64">E4*AY4*229/C53*G53/250</f>
        <v>6.7388277117197814E-3</v>
      </c>
      <c r="J53" s="74">
        <f>D53/H53</f>
        <v>0.87312776813155857</v>
      </c>
      <c r="K53" s="74">
        <f>E53/I53</f>
        <v>0.18400930444377606</v>
      </c>
    </row>
    <row r="54" spans="1:11">
      <c r="A54" t="str">
        <f t="shared" ref="A54:A65" si="65">A5</f>
        <v>AB11-2A (138mm)</v>
      </c>
      <c r="B54" s="76">
        <v>1</v>
      </c>
      <c r="C54" s="76">
        <v>0.3</v>
      </c>
      <c r="D54" s="93">
        <f>U!K6</f>
        <v>9.3871529999999995E-2</v>
      </c>
      <c r="E54" s="93">
        <f>Th!K7</f>
        <v>1.3462719999999999E-2</v>
      </c>
      <c r="F54" s="76">
        <v>12.5</v>
      </c>
      <c r="G54" s="76">
        <v>0.26</v>
      </c>
      <c r="H54">
        <f t="shared" si="63"/>
        <v>0.14675502413735694</v>
      </c>
      <c r="I54">
        <f t="shared" si="64"/>
        <v>2.656499699960093E-2</v>
      </c>
      <c r="J54" s="74">
        <f t="shared" ref="J54:J65" si="66">D54/H54</f>
        <v>0.6396478113903612</v>
      </c>
      <c r="K54" s="74">
        <f t="shared" ref="K54:K65" si="67">E54/I54</f>
        <v>0.50678417167531553</v>
      </c>
    </row>
    <row r="55" spans="1:11">
      <c r="A55" t="str">
        <f t="shared" si="65"/>
        <v>AB11-2B (270mm)</v>
      </c>
      <c r="B55" s="76">
        <v>1</v>
      </c>
      <c r="C55" s="76">
        <v>0.3</v>
      </c>
      <c r="D55" s="93">
        <f>U!K8</f>
        <v>9.2610970000000001E-2</v>
      </c>
      <c r="E55" s="93">
        <f>Th!K9</f>
        <v>1.495225E-2</v>
      </c>
      <c r="F55" s="76">
        <v>12.5</v>
      </c>
      <c r="G55" s="76">
        <v>0.26</v>
      </c>
      <c r="H55">
        <f t="shared" si="63"/>
        <v>0.15967613100430367</v>
      </c>
      <c r="I55">
        <f t="shared" si="64"/>
        <v>2.8903923160184669E-2</v>
      </c>
      <c r="J55" s="74">
        <f t="shared" si="66"/>
        <v>0.57999257257494485</v>
      </c>
      <c r="K55" s="74">
        <f t="shared" si="67"/>
        <v>0.5173086683470296</v>
      </c>
    </row>
    <row r="56" spans="1:11">
      <c r="A56" t="str">
        <f t="shared" si="65"/>
        <v>AB13-2A (34mm)</v>
      </c>
      <c r="B56" s="76">
        <v>2</v>
      </c>
      <c r="C56" s="76">
        <v>0.3</v>
      </c>
      <c r="D56" s="93">
        <f>U!K10</f>
        <v>4.480787E-2</v>
      </c>
      <c r="E56" s="93">
        <f>Th!K11</f>
        <v>8.948124E-3</v>
      </c>
      <c r="F56" s="76">
        <v>12.5</v>
      </c>
      <c r="G56" s="76">
        <v>0.26</v>
      </c>
      <c r="H56">
        <f t="shared" si="63"/>
        <v>6.6353395819895813E-2</v>
      </c>
      <c r="I56">
        <f t="shared" si="64"/>
        <v>2.4022043146121767E-2</v>
      </c>
      <c r="J56" s="74">
        <f t="shared" si="66"/>
        <v>0.67529128609518019</v>
      </c>
      <c r="K56" s="74">
        <f t="shared" si="67"/>
        <v>0.37249637533203028</v>
      </c>
    </row>
    <row r="57" spans="1:11">
      <c r="A57" t="str">
        <f t="shared" si="65"/>
        <v>AB13-2B (85.5mm)</v>
      </c>
      <c r="B57" s="76">
        <v>2</v>
      </c>
      <c r="C57" s="76">
        <v>0.3</v>
      </c>
      <c r="D57" s="93">
        <f>U!K12</f>
        <v>4.0449829999999999E-2</v>
      </c>
      <c r="E57" s="93">
        <f>Th!K13</f>
        <v>9.9153950000000005E-3</v>
      </c>
      <c r="F57" s="76">
        <v>12.5</v>
      </c>
      <c r="G57" s="76">
        <v>0.26</v>
      </c>
      <c r="H57">
        <f t="shared" si="63"/>
        <v>6.2400288535697179E-2</v>
      </c>
      <c r="I57">
        <f t="shared" si="64"/>
        <v>2.2590892372768373E-2</v>
      </c>
      <c r="J57" s="74">
        <f t="shared" si="66"/>
        <v>0.64823145772571167</v>
      </c>
      <c r="K57" s="74">
        <f t="shared" si="67"/>
        <v>0.43891116988155215</v>
      </c>
    </row>
    <row r="58" spans="1:11">
      <c r="A58" t="str">
        <f t="shared" si="65"/>
        <v>AB13-2C (130mm)</v>
      </c>
      <c r="B58" s="76">
        <v>2</v>
      </c>
      <c r="C58" s="76">
        <v>0.3</v>
      </c>
      <c r="D58" s="93">
        <f>U!K14</f>
        <v>4.7965870000000001E-2</v>
      </c>
      <c r="E58" s="93">
        <f>Th!K15</f>
        <v>1.424808E-2</v>
      </c>
      <c r="F58" s="76">
        <v>12.5</v>
      </c>
      <c r="G58" s="76">
        <v>0.26</v>
      </c>
      <c r="H58">
        <f t="shared" si="63"/>
        <v>6.6965964097405919E-2</v>
      </c>
      <c r="I58">
        <f t="shared" si="64"/>
        <v>2.4243812377529827E-2</v>
      </c>
      <c r="J58" s="74">
        <f t="shared" si="66"/>
        <v>0.71627237278673139</v>
      </c>
      <c r="K58" s="74">
        <f t="shared" si="67"/>
        <v>0.58769964798134278</v>
      </c>
    </row>
    <row r="59" spans="1:11">
      <c r="A59" t="str">
        <f t="shared" si="65"/>
        <v>AB13-2D (177mm)</v>
      </c>
      <c r="B59" s="76">
        <v>2</v>
      </c>
      <c r="C59" s="76">
        <v>0.3</v>
      </c>
      <c r="D59" s="93">
        <f>U!K16</f>
        <v>6.2585719999999997E-2</v>
      </c>
      <c r="E59" s="93">
        <f>Th!K17</f>
        <v>1.078667E-2</v>
      </c>
      <c r="F59" s="76">
        <v>12.5</v>
      </c>
      <c r="G59" s="76">
        <v>0.26</v>
      </c>
      <c r="H59">
        <f t="shared" si="63"/>
        <v>8.5155158150939658E-2</v>
      </c>
      <c r="I59">
        <f t="shared" si="64"/>
        <v>3.0828880088806687E-2</v>
      </c>
      <c r="J59" s="74">
        <f t="shared" si="66"/>
        <v>0.73496099777144719</v>
      </c>
      <c r="K59" s="74">
        <f t="shared" si="67"/>
        <v>0.3498884801824641</v>
      </c>
    </row>
    <row r="60" spans="1:11">
      <c r="A60" t="str">
        <f t="shared" si="65"/>
        <v>AB13-2E (229mm)</v>
      </c>
      <c r="B60" s="76">
        <v>2</v>
      </c>
      <c r="C60" s="76">
        <v>0.3</v>
      </c>
      <c r="D60" s="93">
        <f>U!K18</f>
        <v>5.5592139999999998E-2</v>
      </c>
      <c r="E60" s="93">
        <f>Th!K19</f>
        <v>1.3532519999999999E-2</v>
      </c>
      <c r="F60" s="76">
        <v>12.5</v>
      </c>
      <c r="G60" s="76">
        <v>0.26</v>
      </c>
      <c r="H60">
        <f t="shared" si="63"/>
        <v>6.788073272515438E-2</v>
      </c>
      <c r="I60">
        <f t="shared" si="64"/>
        <v>2.4574987763099208E-2</v>
      </c>
      <c r="J60" s="74">
        <f t="shared" si="66"/>
        <v>0.81896788334754334</v>
      </c>
      <c r="K60" s="74">
        <f t="shared" si="67"/>
        <v>0.5506623291312428</v>
      </c>
    </row>
    <row r="61" spans="1:11">
      <c r="A61" t="str">
        <f t="shared" si="65"/>
        <v>AB13-2F (265mm)</v>
      </c>
      <c r="B61" s="76">
        <v>2</v>
      </c>
      <c r="C61" s="76">
        <v>0.3</v>
      </c>
      <c r="D61" s="93">
        <f>U!K20</f>
        <v>5.3325709999999998E-2</v>
      </c>
      <c r="E61" s="93">
        <f>Th!K21</f>
        <v>8.9800169999999999E-3</v>
      </c>
      <c r="F61" s="76">
        <v>12.5</v>
      </c>
      <c r="G61" s="76">
        <v>0.26</v>
      </c>
      <c r="H61">
        <f t="shared" si="63"/>
        <v>6.6059363046690953E-2</v>
      </c>
      <c r="I61">
        <f t="shared" si="64"/>
        <v>2.3915593915045892E-2</v>
      </c>
      <c r="J61" s="74">
        <f t="shared" si="66"/>
        <v>0.80723923968672284</v>
      </c>
      <c r="K61" s="74">
        <f t="shared" si="67"/>
        <v>0.37548793610977182</v>
      </c>
    </row>
    <row r="62" spans="1:11">
      <c r="A62" t="str">
        <f t="shared" si="65"/>
        <v>CC5A</v>
      </c>
      <c r="B62" s="76">
        <v>1</v>
      </c>
      <c r="C62" s="76">
        <v>0.3</v>
      </c>
      <c r="D62" s="93">
        <f>U!K22</f>
        <v>0.1308656</v>
      </c>
      <c r="E62" s="93">
        <f>Th!K23</f>
        <v>1.171845E-2</v>
      </c>
      <c r="F62" s="76">
        <v>12.5</v>
      </c>
      <c r="G62" s="76">
        <v>0.26</v>
      </c>
      <c r="H62">
        <f t="shared" si="63"/>
        <v>0.16317185397462808</v>
      </c>
      <c r="I62">
        <f t="shared" si="64"/>
        <v>2.9536704700469023E-2</v>
      </c>
      <c r="J62" s="74">
        <f t="shared" si="66"/>
        <v>0.80201086653307596</v>
      </c>
      <c r="K62" s="74">
        <f t="shared" si="67"/>
        <v>0.39674195611313129</v>
      </c>
    </row>
    <row r="63" spans="1:11">
      <c r="A63">
        <f t="shared" si="65"/>
        <v>0</v>
      </c>
      <c r="B63" s="76">
        <v>1</v>
      </c>
      <c r="C63" s="76">
        <v>0.5</v>
      </c>
      <c r="D63" s="76">
        <v>0.1</v>
      </c>
      <c r="E63" s="76">
        <v>0.02</v>
      </c>
      <c r="F63" s="76">
        <v>12.5</v>
      </c>
      <c r="G63" s="76">
        <v>0.26</v>
      </c>
      <c r="H63">
        <f t="shared" si="63"/>
        <v>0</v>
      </c>
      <c r="I63">
        <f t="shared" si="64"/>
        <v>0</v>
      </c>
      <c r="J63" s="74" t="e">
        <f t="shared" si="66"/>
        <v>#DIV/0!</v>
      </c>
      <c r="K63" s="74" t="e">
        <f t="shared" si="67"/>
        <v>#DIV/0!</v>
      </c>
    </row>
    <row r="64" spans="1:11">
      <c r="A64">
        <f t="shared" si="65"/>
        <v>0</v>
      </c>
      <c r="B64" s="76">
        <v>1</v>
      </c>
      <c r="C64" s="76">
        <v>0.5</v>
      </c>
      <c r="D64" s="76">
        <v>0.1</v>
      </c>
      <c r="E64" s="76">
        <v>0.02</v>
      </c>
      <c r="F64" s="76">
        <v>12.5</v>
      </c>
      <c r="G64" s="76">
        <v>0.26</v>
      </c>
      <c r="H64">
        <f t="shared" si="63"/>
        <v>0</v>
      </c>
      <c r="I64">
        <f t="shared" si="64"/>
        <v>0</v>
      </c>
      <c r="J64" s="74" t="e">
        <f t="shared" si="66"/>
        <v>#DIV/0!</v>
      </c>
      <c r="K64" s="74" t="e">
        <f t="shared" si="67"/>
        <v>#DIV/0!</v>
      </c>
    </row>
    <row r="65" spans="1:11">
      <c r="A65">
        <f t="shared" si="65"/>
        <v>0</v>
      </c>
      <c r="B65" s="76">
        <v>1</v>
      </c>
      <c r="C65" s="76">
        <v>0.5</v>
      </c>
      <c r="D65" s="76">
        <v>0.1</v>
      </c>
      <c r="E65" s="76">
        <v>0.02</v>
      </c>
      <c r="F65" s="76">
        <v>12.5</v>
      </c>
      <c r="G65" s="76">
        <v>0.26</v>
      </c>
      <c r="H65">
        <f t="shared" si="63"/>
        <v>0</v>
      </c>
      <c r="I65">
        <f t="shared" si="64"/>
        <v>0</v>
      </c>
      <c r="J65" s="74" t="e">
        <f t="shared" si="66"/>
        <v>#DIV/0!</v>
      </c>
      <c r="K65" s="74" t="e">
        <f t="shared" si="67"/>
        <v>#DIV/0!</v>
      </c>
    </row>
  </sheetData>
  <mergeCells count="6">
    <mergeCell ref="BU2:BW2"/>
    <mergeCell ref="BE2:BG2"/>
    <mergeCell ref="BH2:BJ2"/>
    <mergeCell ref="BK2:BM2"/>
    <mergeCell ref="BN2:BP2"/>
    <mergeCell ref="BR2:BT2"/>
  </mergeCells>
  <pageMargins left="0.75" right="0.75" top="1" bottom="1" header="0.5" footer="0.5"/>
  <pageSetup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34" id="{5D29DB23-24B2-0B49-96E7-49C75A66FA78}">
            <xm:f>AND(NOT(ISBLANK($B4)),BF4&gt;(Constants!$B$38*BE4),(BF4-BE4)&gt;Constants!$B$37)</xm:f>
            <x14:dxf>
              <font>
                <color rgb="FF9C0006"/>
              </font>
              <fill>
                <patternFill>
                  <bgColor rgb="FFFFC7CE"/>
                </patternFill>
              </fill>
            </x14:dxf>
          </x14:cfRule>
          <x14:cfRule type="expression" priority="35" id="{1642A08F-4F1F-9343-A722-1077D905F43E}">
            <xm:f>AND(NOT(ISBLANK($B4)),BF4&gt;(Constants!$B$38*BE4))</xm:f>
            <x14:dxf>
              <font>
                <color rgb="FF9C6500"/>
              </font>
              <fill>
                <patternFill>
                  <bgColor rgb="FFFFEB9C"/>
                </patternFill>
              </fill>
            </x14:dxf>
          </x14:cfRule>
          <x14:cfRule type="expression" priority="36" id="{8026F625-813B-7B49-9664-F3D00571E820}">
            <xm:f>AND(NOT(ISBLANK($B4)),(BF4-BE4)&gt;Constants!$B$37)</xm:f>
            <x14:dxf>
              <font>
                <color rgb="FF006100"/>
              </font>
              <fill>
                <patternFill>
                  <bgColor rgb="FFC6EFCE"/>
                </patternFill>
              </fill>
            </x14:dxf>
          </x14:cfRule>
          <xm:sqref>BF4:BF23 BP5:BQ23</xm:sqref>
        </x14:conditionalFormatting>
        <x14:conditionalFormatting xmlns:xm="http://schemas.microsoft.com/office/excel/2006/main">
          <x14:cfRule type="expression" priority="31" id="{660DB1CA-F50F-9C49-A7BE-2BB0A182FC9F}">
            <xm:f>AND(NOT(ISBLANK($B5)),BG5&gt;(Constants!$B$38*BF5),(BG5-BF5)&gt;Constants!$B$37)</xm:f>
            <x14:dxf>
              <font>
                <color rgb="FF9C0006"/>
              </font>
              <fill>
                <patternFill>
                  <bgColor rgb="FFFFC7CE"/>
                </patternFill>
              </fill>
            </x14:dxf>
          </x14:cfRule>
          <x14:cfRule type="expression" priority="32" id="{60C9EA73-B892-6F42-B707-C2B796DA1072}">
            <xm:f>AND(NOT(ISBLANK($B5)),BG5&gt;(Constants!$B$38*BF5))</xm:f>
            <x14:dxf>
              <font>
                <color rgb="FF9C6500"/>
              </font>
              <fill>
                <patternFill>
                  <bgColor rgb="FFFFEB9C"/>
                </patternFill>
              </fill>
            </x14:dxf>
          </x14:cfRule>
          <x14:cfRule type="expression" priority="33" id="{B9DEC796-562E-A647-B6BD-470BE4717EC0}">
            <xm:f>AND(NOT(ISBLANK($B5)),(BG5-BF5)&gt;Constants!$B$37)</xm:f>
            <x14:dxf>
              <font>
                <color rgb="FF006100"/>
              </font>
              <fill>
                <patternFill>
                  <bgColor rgb="FFC6EFCE"/>
                </patternFill>
              </fill>
            </x14:dxf>
          </x14:cfRule>
          <xm:sqref>BG5:BG23</xm:sqref>
        </x14:conditionalFormatting>
        <x14:conditionalFormatting xmlns:xm="http://schemas.microsoft.com/office/excel/2006/main">
          <x14:cfRule type="expression" priority="28" id="{2DCB755D-2687-2940-8B1B-802F74613960}">
            <xm:f>AND(NOT(ISBLANK($B4)),BI4&gt;(Constants!$B$38*BH4),(BI4-BH4)&gt;Constants!$B$37)</xm:f>
            <x14:dxf>
              <font>
                <color rgb="FF9C0006"/>
              </font>
              <fill>
                <patternFill>
                  <bgColor rgb="FFFFC7CE"/>
                </patternFill>
              </fill>
            </x14:dxf>
          </x14:cfRule>
          <x14:cfRule type="expression" priority="29" id="{AE8ACA98-3467-6A4C-8D87-B0E7B795E363}">
            <xm:f>AND(NOT(ISBLANK($B4)),BI4&gt;(Constants!$B$38*BH4))</xm:f>
            <x14:dxf>
              <font>
                <color rgb="FF9C6500"/>
              </font>
              <fill>
                <patternFill>
                  <bgColor rgb="FFFFEB9C"/>
                </patternFill>
              </fill>
            </x14:dxf>
          </x14:cfRule>
          <x14:cfRule type="expression" priority="30" id="{E687D6F5-A01E-F74B-80D1-80D86473D704}">
            <xm:f>AND(NOT(ISBLANK($B4)),(BI4-BH4)&gt;Constants!$B$37)</xm:f>
            <x14:dxf>
              <font>
                <color rgb="FF006100"/>
              </font>
              <fill>
                <patternFill>
                  <bgColor rgb="FFC6EFCE"/>
                </patternFill>
              </fill>
            </x14:dxf>
          </x14:cfRule>
          <xm:sqref>BI4:BI23</xm:sqref>
        </x14:conditionalFormatting>
        <x14:conditionalFormatting xmlns:xm="http://schemas.microsoft.com/office/excel/2006/main">
          <x14:cfRule type="expression" priority="25" id="{872F4561-4459-1C4A-AC63-1BF9048217E1}">
            <xm:f>AND(NOT(ISBLANK($B5)),BJ5&gt;(Constants!$B$38*BI5),(BJ5-BI5)&gt;Constants!$B$37)</xm:f>
            <x14:dxf>
              <font>
                <color rgb="FF9C0006"/>
              </font>
              <fill>
                <patternFill>
                  <bgColor rgb="FFFFC7CE"/>
                </patternFill>
              </fill>
            </x14:dxf>
          </x14:cfRule>
          <x14:cfRule type="expression" priority="26" id="{90B5C1CB-D747-CF46-914F-F8E5545241CC}">
            <xm:f>AND(NOT(ISBLANK($B5)),BJ5&gt;(Constants!$B$38*BI5))</xm:f>
            <x14:dxf>
              <font>
                <color rgb="FF9C6500"/>
              </font>
              <fill>
                <patternFill>
                  <bgColor rgb="FFFFEB9C"/>
                </patternFill>
              </fill>
            </x14:dxf>
          </x14:cfRule>
          <x14:cfRule type="expression" priority="27" id="{F6D89D0D-3A93-0A4E-B595-D681528189AA}">
            <xm:f>AND(NOT(ISBLANK($B5)),(BJ5-BI5)&gt;Constants!$B$37)</xm:f>
            <x14:dxf>
              <font>
                <color rgb="FF006100"/>
              </font>
              <fill>
                <patternFill>
                  <bgColor rgb="FFC6EFCE"/>
                </patternFill>
              </fill>
            </x14:dxf>
          </x14:cfRule>
          <xm:sqref>BJ5:BJ23</xm:sqref>
        </x14:conditionalFormatting>
        <x14:conditionalFormatting xmlns:xm="http://schemas.microsoft.com/office/excel/2006/main">
          <x14:cfRule type="expression" priority="22" id="{2EB49358-2A65-EF4E-8D05-3AA44009BF86}">
            <xm:f>AND(NOT(ISBLANK($B4)),BL4&gt;(Constants!$B$38*BK4),(BL4-BK4)&gt;Constants!$B$37)</xm:f>
            <x14:dxf>
              <font>
                <color rgb="FF9C0006"/>
              </font>
              <fill>
                <patternFill>
                  <bgColor rgb="FFFFC7CE"/>
                </patternFill>
              </fill>
            </x14:dxf>
          </x14:cfRule>
          <x14:cfRule type="expression" priority="23" id="{70AE73AB-3DC6-BE42-8393-BA5A84CD9471}">
            <xm:f>AND(NOT(ISBLANK($B4)),BL4&gt;(Constants!$B$38*BK4))</xm:f>
            <x14:dxf>
              <font>
                <color rgb="FF9C6500"/>
              </font>
              <fill>
                <patternFill>
                  <bgColor rgb="FFFFEB9C"/>
                </patternFill>
              </fill>
            </x14:dxf>
          </x14:cfRule>
          <x14:cfRule type="expression" priority="24" id="{AB22A6A2-FBA0-914E-AE48-A9B136514B20}">
            <xm:f>AND(NOT(ISBLANK($B4)),(BL4-BK4)&gt;Constants!$B$37)</xm:f>
            <x14:dxf>
              <font>
                <color rgb="FF006100"/>
              </font>
              <fill>
                <patternFill>
                  <bgColor rgb="FFC6EFCE"/>
                </patternFill>
              </fill>
            </x14:dxf>
          </x14:cfRule>
          <xm:sqref>BL4:BL23</xm:sqref>
        </x14:conditionalFormatting>
        <x14:conditionalFormatting xmlns:xm="http://schemas.microsoft.com/office/excel/2006/main">
          <x14:cfRule type="expression" priority="19" id="{A4280FE7-0B5C-4446-818E-43E3AD498367}">
            <xm:f>AND(NOT(ISBLANK($B5)),BM5&gt;(Constants!$B$38*BL5),(BM5-BL5)&gt;Constants!$B$37)</xm:f>
            <x14:dxf>
              <font>
                <color rgb="FF9C0006"/>
              </font>
              <fill>
                <patternFill>
                  <bgColor rgb="FFFFC7CE"/>
                </patternFill>
              </fill>
            </x14:dxf>
          </x14:cfRule>
          <x14:cfRule type="expression" priority="20" id="{9AC69580-E9D9-1649-9C85-63A69AFF7EA0}">
            <xm:f>AND(NOT(ISBLANK($B5)),BM5&gt;(Constants!$B$38*BL5))</xm:f>
            <x14:dxf>
              <font>
                <color rgb="FF9C6500"/>
              </font>
              <fill>
                <patternFill>
                  <bgColor rgb="FFFFEB9C"/>
                </patternFill>
              </fill>
            </x14:dxf>
          </x14:cfRule>
          <x14:cfRule type="expression" priority="21" id="{B2F41A2E-C232-F14B-BE72-281026EC4476}">
            <xm:f>AND(NOT(ISBLANK($B5)),(BM5-BL5)&gt;Constants!$B$37)</xm:f>
            <x14:dxf>
              <font>
                <color rgb="FF006100"/>
              </font>
              <fill>
                <patternFill>
                  <bgColor rgb="FFC6EFCE"/>
                </patternFill>
              </fill>
            </x14:dxf>
          </x14:cfRule>
          <xm:sqref>BM5:BM23</xm:sqref>
        </x14:conditionalFormatting>
        <x14:conditionalFormatting xmlns:xm="http://schemas.microsoft.com/office/excel/2006/main">
          <x14:cfRule type="expression" priority="16" id="{3FC346C7-E32E-9A41-847C-83D13E03F176}">
            <xm:f>AND(NOT(ISBLANK($B4)),BO4&gt;(Constants!$B$38*BN4),(BO4-BN4)&gt;Constants!$B$37)</xm:f>
            <x14:dxf>
              <font>
                <color rgb="FF9C0006"/>
              </font>
              <fill>
                <patternFill>
                  <bgColor rgb="FFFFC7CE"/>
                </patternFill>
              </fill>
            </x14:dxf>
          </x14:cfRule>
          <x14:cfRule type="expression" priority="17" id="{4FA85451-F00F-2E4D-A73D-F833FE1390C0}">
            <xm:f>AND(NOT(ISBLANK($B4)),BO4&gt;(Constants!$B$38*BN4))</xm:f>
            <x14:dxf>
              <font>
                <color rgb="FF9C6500"/>
              </font>
              <fill>
                <patternFill>
                  <bgColor rgb="FFFFEB9C"/>
                </patternFill>
              </fill>
            </x14:dxf>
          </x14:cfRule>
          <x14:cfRule type="expression" priority="18" id="{BF940B37-8579-DB4E-A911-ADDF996E0EE7}">
            <xm:f>AND(NOT(ISBLANK($B4)),(BO4-BN4)&gt;Constants!$B$37)</xm:f>
            <x14:dxf>
              <font>
                <color rgb="FF006100"/>
              </font>
              <fill>
                <patternFill>
                  <bgColor rgb="FFC6EFCE"/>
                </patternFill>
              </fill>
            </x14:dxf>
          </x14:cfRule>
          <xm:sqref>BO4:BO23</xm:sqref>
        </x14:conditionalFormatting>
        <x14:conditionalFormatting xmlns:xm="http://schemas.microsoft.com/office/excel/2006/main">
          <x14:cfRule type="expression" priority="2076" id="{5D29DB23-24B2-0B49-96E7-49C75A66FA78}">
            <xm:f>AND(NOT(ISBLANK($B5)),BX5&gt;(Constants!$B$38*BQ5),(BX5-BQ5)&gt;Constants!$B$37)</xm:f>
            <x14:dxf>
              <font>
                <color rgb="FF9C0006"/>
              </font>
              <fill>
                <patternFill>
                  <bgColor rgb="FFFFC7CE"/>
                </patternFill>
              </fill>
            </x14:dxf>
          </x14:cfRule>
          <x14:cfRule type="expression" priority="2077" id="{1642A08F-4F1F-9343-A722-1077D905F43E}">
            <xm:f>AND(NOT(ISBLANK($B5)),BX5&gt;(Constants!$B$38*BQ5))</xm:f>
            <x14:dxf>
              <font>
                <color rgb="FF9C6500"/>
              </font>
              <fill>
                <patternFill>
                  <bgColor rgb="FFFFEB9C"/>
                </patternFill>
              </fill>
            </x14:dxf>
          </x14:cfRule>
          <x14:cfRule type="expression" priority="2078" id="{8026F625-813B-7B49-9664-F3D00571E820}">
            <xm:f>AND(NOT(ISBLANK($B5)),(BX5-BQ5)&gt;Constants!$B$37)</xm:f>
            <x14:dxf>
              <font>
                <color rgb="FF006100"/>
              </font>
              <fill>
                <patternFill>
                  <bgColor rgb="FFC6EFCE"/>
                </patternFill>
              </fill>
            </x14:dxf>
          </x14:cfRule>
          <xm:sqref>BX5:BX23</xm:sqref>
        </x14:conditionalFormatting>
      </x14:conditionalFormatting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E93"/>
  <sheetViews>
    <sheetView workbookViewId="0">
      <pane xSplit="1" ySplit="3" topLeftCell="Y4" activePane="bottomRight" state="frozen"/>
      <selection activeCell="E9" sqref="E9"/>
      <selection pane="topRight" activeCell="E9" sqref="E9"/>
      <selection pane="bottomLeft" activeCell="E9" sqref="E9"/>
      <selection pane="bottomRight" activeCell="AO4" sqref="AO4"/>
    </sheetView>
  </sheetViews>
  <sheetFormatPr defaultColWidth="11" defaultRowHeight="15.75"/>
  <cols>
    <col min="1" max="1" width="21.25" bestFit="1" customWidth="1"/>
    <col min="2" max="3" width="15.5" customWidth="1"/>
    <col min="4" max="4" width="12.25" customWidth="1"/>
    <col min="5" max="8" width="12.25" style="34" customWidth="1"/>
    <col min="9" max="9" width="12.25" customWidth="1"/>
    <col min="24" max="24" width="21.25" bestFit="1" customWidth="1"/>
    <col min="36" max="36" width="13.5" customWidth="1"/>
    <col min="69" max="69" width="12.25" bestFit="1" customWidth="1"/>
    <col min="70" max="70" width="12.25" customWidth="1"/>
    <col min="83" max="83" width="11.5" bestFit="1" customWidth="1"/>
    <col min="84" max="84" width="11.5" customWidth="1"/>
    <col min="103" max="109" width="11" style="82"/>
  </cols>
  <sheetData>
    <row r="1" spans="1:109">
      <c r="J1" s="2" t="s">
        <v>15</v>
      </c>
      <c r="AR1" s="2" t="s">
        <v>14</v>
      </c>
      <c r="BU1" s="2" t="s">
        <v>269</v>
      </c>
      <c r="BV1" s="2"/>
      <c r="CC1" s="2" t="s">
        <v>270</v>
      </c>
      <c r="CD1" s="2"/>
      <c r="CM1" s="2" t="s">
        <v>64</v>
      </c>
      <c r="CQ1" s="2" t="s">
        <v>262</v>
      </c>
      <c r="CY1" s="85" t="s">
        <v>261</v>
      </c>
    </row>
    <row r="2" spans="1:109">
      <c r="J2" s="2" t="s">
        <v>125</v>
      </c>
      <c r="AB2" s="2" t="s">
        <v>133</v>
      </c>
      <c r="CN2" s="2"/>
      <c r="CQ2" s="100" t="s">
        <v>240</v>
      </c>
      <c r="CR2" s="100"/>
      <c r="CS2" s="100"/>
      <c r="CT2" s="100" t="s">
        <v>241</v>
      </c>
      <c r="CU2" s="100"/>
      <c r="CV2" s="100"/>
      <c r="CW2" s="100"/>
      <c r="CY2" s="101" t="s">
        <v>0</v>
      </c>
      <c r="CZ2" s="101"/>
      <c r="DA2" s="101"/>
      <c r="DB2" s="101" t="s">
        <v>4</v>
      </c>
      <c r="DC2" s="101"/>
      <c r="DD2" s="101"/>
      <c r="DE2" s="101"/>
    </row>
    <row r="3" spans="1:109">
      <c r="A3" t="s">
        <v>124</v>
      </c>
      <c r="B3" t="s">
        <v>221</v>
      </c>
      <c r="C3" t="s">
        <v>222</v>
      </c>
      <c r="D3" t="s">
        <v>223</v>
      </c>
      <c r="E3" s="35" t="s">
        <v>0</v>
      </c>
      <c r="F3" s="35" t="s">
        <v>177</v>
      </c>
      <c r="G3" s="35" t="s">
        <v>4</v>
      </c>
      <c r="H3" s="35" t="s">
        <v>177</v>
      </c>
      <c r="I3" s="2"/>
      <c r="J3" t="s">
        <v>0</v>
      </c>
      <c r="K3" t="s">
        <v>1</v>
      </c>
      <c r="L3" t="s">
        <v>2</v>
      </c>
      <c r="M3" t="s">
        <v>1</v>
      </c>
      <c r="N3" t="s">
        <v>3</v>
      </c>
      <c r="O3" t="s">
        <v>1</v>
      </c>
      <c r="P3" t="s">
        <v>4</v>
      </c>
      <c r="Q3" t="s">
        <v>1</v>
      </c>
      <c r="R3" t="s">
        <v>5</v>
      </c>
      <c r="S3" t="s">
        <v>1</v>
      </c>
      <c r="T3" t="s">
        <v>6</v>
      </c>
      <c r="U3" t="s">
        <v>1</v>
      </c>
      <c r="V3" t="s">
        <v>7</v>
      </c>
      <c r="W3" t="s">
        <v>1</v>
      </c>
      <c r="X3" t="s">
        <v>124</v>
      </c>
      <c r="Y3" t="s">
        <v>8</v>
      </c>
      <c r="Z3" t="s">
        <v>9</v>
      </c>
      <c r="AB3" t="s">
        <v>5</v>
      </c>
      <c r="AC3" t="s">
        <v>1</v>
      </c>
      <c r="AD3" t="s">
        <v>6</v>
      </c>
      <c r="AE3" t="s">
        <v>1</v>
      </c>
      <c r="AF3" t="s">
        <v>10</v>
      </c>
      <c r="AG3" t="s">
        <v>1</v>
      </c>
      <c r="AH3" t="s">
        <v>11</v>
      </c>
      <c r="AI3" t="s">
        <v>1</v>
      </c>
      <c r="AJ3" t="s">
        <v>12</v>
      </c>
      <c r="AK3" t="s">
        <v>1</v>
      </c>
      <c r="AL3" t="s">
        <v>13</v>
      </c>
      <c r="AM3" t="s">
        <v>1</v>
      </c>
      <c r="AN3" t="s">
        <v>124</v>
      </c>
      <c r="AO3" t="s">
        <v>8</v>
      </c>
      <c r="AP3" t="s">
        <v>9</v>
      </c>
      <c r="AR3" t="s">
        <v>57</v>
      </c>
      <c r="AS3" t="s">
        <v>16</v>
      </c>
      <c r="AT3" t="s">
        <v>17</v>
      </c>
      <c r="AU3" t="s">
        <v>126</v>
      </c>
      <c r="AV3" t="s">
        <v>18</v>
      </c>
      <c r="AW3" t="s">
        <v>127</v>
      </c>
      <c r="AX3" t="s">
        <v>19</v>
      </c>
      <c r="AY3" t="s">
        <v>128</v>
      </c>
      <c r="AZ3" t="s">
        <v>20</v>
      </c>
      <c r="BA3" t="s">
        <v>129</v>
      </c>
      <c r="BB3" t="s">
        <v>130</v>
      </c>
      <c r="BC3" t="s">
        <v>131</v>
      </c>
      <c r="BD3" t="s">
        <v>21</v>
      </c>
      <c r="BF3" t="s">
        <v>58</v>
      </c>
      <c r="BG3" t="s">
        <v>59</v>
      </c>
      <c r="BH3" t="s">
        <v>132</v>
      </c>
      <c r="BI3" t="s">
        <v>65</v>
      </c>
      <c r="BJ3" t="s">
        <v>132</v>
      </c>
      <c r="BK3" t="s">
        <v>66</v>
      </c>
      <c r="BL3" t="s">
        <v>132</v>
      </c>
      <c r="BM3" t="s">
        <v>60</v>
      </c>
      <c r="BN3" t="s">
        <v>132</v>
      </c>
      <c r="BO3" t="s">
        <v>48</v>
      </c>
      <c r="BP3" t="s">
        <v>132</v>
      </c>
      <c r="BQ3" t="s">
        <v>52</v>
      </c>
      <c r="BR3" t="s">
        <v>132</v>
      </c>
      <c r="BS3" t="s">
        <v>45</v>
      </c>
      <c r="BT3" t="s">
        <v>132</v>
      </c>
      <c r="BU3" t="s">
        <v>61</v>
      </c>
      <c r="BV3" t="s">
        <v>132</v>
      </c>
      <c r="BW3" t="s">
        <v>60</v>
      </c>
      <c r="BX3" t="s">
        <v>132</v>
      </c>
      <c r="BY3" t="s">
        <v>48</v>
      </c>
      <c r="BZ3" t="s">
        <v>132</v>
      </c>
      <c r="CA3" t="s">
        <v>45</v>
      </c>
      <c r="CB3" t="s">
        <v>132</v>
      </c>
      <c r="CC3" t="s">
        <v>61</v>
      </c>
      <c r="CD3" t="s">
        <v>132</v>
      </c>
      <c r="CE3" t="s">
        <v>60</v>
      </c>
      <c r="CF3" t="s">
        <v>132</v>
      </c>
      <c r="CG3" t="s">
        <v>48</v>
      </c>
      <c r="CH3" t="s">
        <v>132</v>
      </c>
      <c r="CI3" t="s">
        <v>52</v>
      </c>
      <c r="CJ3" t="s">
        <v>132</v>
      </c>
      <c r="CK3" t="s">
        <v>45</v>
      </c>
      <c r="CL3" t="s">
        <v>132</v>
      </c>
      <c r="CM3" t="s">
        <v>45</v>
      </c>
      <c r="CN3" t="s">
        <v>132</v>
      </c>
      <c r="CO3" t="s">
        <v>62</v>
      </c>
      <c r="CQ3" t="s">
        <v>229</v>
      </c>
      <c r="CR3" t="s">
        <v>237</v>
      </c>
      <c r="CS3" t="s">
        <v>238</v>
      </c>
      <c r="CT3" t="s">
        <v>229</v>
      </c>
      <c r="CU3" t="s">
        <v>237</v>
      </c>
      <c r="CV3" t="s">
        <v>238</v>
      </c>
      <c r="CW3" t="s">
        <v>239</v>
      </c>
      <c r="CY3" s="82" t="s">
        <v>229</v>
      </c>
      <c r="CZ3" s="82" t="s">
        <v>237</v>
      </c>
      <c r="DA3" s="82" t="s">
        <v>238</v>
      </c>
      <c r="DB3" s="82" t="s">
        <v>229</v>
      </c>
      <c r="DC3" s="82" t="s">
        <v>237</v>
      </c>
      <c r="DD3" s="82" t="s">
        <v>238</v>
      </c>
      <c r="DE3" s="82" t="s">
        <v>239</v>
      </c>
    </row>
    <row r="4" spans="1:109">
      <c r="A4" s="73" t="str">
        <f t="shared" ref="A4:A38" si="0">X4</f>
        <v>U 13.5 ppb</v>
      </c>
      <c r="B4" s="73"/>
      <c r="C4" s="73"/>
      <c r="J4" s="1">
        <v>311274.59999999998</v>
      </c>
      <c r="K4" s="1">
        <v>192000</v>
      </c>
      <c r="L4" s="1">
        <v>140.53749999999999</v>
      </c>
      <c r="M4" s="1">
        <v>1.1299999999999999E-2</v>
      </c>
      <c r="N4" s="1">
        <v>-1.7096720000000001</v>
      </c>
      <c r="O4" s="1">
        <v>1.01</v>
      </c>
      <c r="P4" s="1">
        <v>22649.99</v>
      </c>
      <c r="Q4" s="1">
        <v>15.7</v>
      </c>
      <c r="R4" s="1">
        <v>12.4931</v>
      </c>
      <c r="S4" s="1">
        <v>7.1999999999999998E-3</v>
      </c>
      <c r="T4" s="1">
        <v>7.9175449999999998E-6</v>
      </c>
      <c r="U4" s="1">
        <v>5.3399999999999997E-6</v>
      </c>
      <c r="V4" s="1">
        <v>34430.639999999999</v>
      </c>
      <c r="W4" s="1">
        <v>28.6</v>
      </c>
      <c r="X4" t="s">
        <v>337</v>
      </c>
      <c r="Y4" t="s">
        <v>327</v>
      </c>
      <c r="Z4">
        <v>523</v>
      </c>
      <c r="AB4" s="62" cm="1">
        <f t="array" ref="AB4:AP4">U!A28:O28</f>
        <v>12.50118</v>
      </c>
      <c r="AC4" s="62">
        <v>2.5899999999999999E-2</v>
      </c>
      <c r="AD4" s="62">
        <v>1.7674200000000001E-5</v>
      </c>
      <c r="AE4" s="62">
        <v>1.1800000000000001E-5</v>
      </c>
      <c r="AF4" s="62">
        <v>713.69190000000003</v>
      </c>
      <c r="AG4" s="62">
        <v>6.29</v>
      </c>
      <c r="AH4" s="62">
        <v>342.24250000000001</v>
      </c>
      <c r="AI4" s="62">
        <v>8.9499999999999993</v>
      </c>
      <c r="AJ4" s="62">
        <v>102.0124</v>
      </c>
      <c r="AK4" s="62">
        <v>7.81</v>
      </c>
      <c r="AL4" s="62">
        <v>58.006990000000002</v>
      </c>
      <c r="AM4" s="62">
        <v>3.38</v>
      </c>
      <c r="AN4" s="63" t="str">
        <v>U 13.5 ppb tail</v>
      </c>
      <c r="AO4" s="63" t="str">
        <v xml:space="preserve"> March 14</v>
      </c>
      <c r="AP4" s="63">
        <v>524</v>
      </c>
      <c r="AQ4" s="1"/>
      <c r="AR4" s="1">
        <f>Constants!B$25</f>
        <v>2.2917410000000001E-6</v>
      </c>
      <c r="AS4" s="1">
        <f t="shared" ref="AS4:AS34" si="1">R4</f>
        <v>12.4931</v>
      </c>
      <c r="AT4" s="1">
        <f t="shared" ref="AT4:AT34" si="2">MAX(0.000001,T4)</f>
        <v>7.9175449999999998E-6</v>
      </c>
      <c r="AU4" s="1">
        <f>EXP(-$BD4*LN(238-236)+LN(AF4))</f>
        <v>203.17692172157251</v>
      </c>
      <c r="AV4" s="1">
        <f t="shared" ref="AV4:AV34" si="3">AS4/L4</f>
        <v>8.8895134750511431E-2</v>
      </c>
      <c r="AW4" s="1">
        <f>EXP(-BD4*LN(238-235)+LN(AF4))+EXP(-BD4*LN(236-235)+LN(AF4/AS4*AT4))</f>
        <v>97.431539349808403</v>
      </c>
      <c r="AX4" s="1">
        <f t="shared" ref="AX4:AX34" si="4">V4</f>
        <v>34430.639999999999</v>
      </c>
      <c r="AY4">
        <f>$AZ4*$AR4*62415093+EXP(-$BD4*LN(238-234)+LN($AF4))+EXP(-$BD4*LN(236-234)+LN($AF4/$AS4*$AT4))+EXP(-$BD4*LN(235-234)+LN($AF4/$AS4*$AV4))+BB4</f>
        <v>71.768800716140106</v>
      </c>
      <c r="AZ4" s="1">
        <f t="shared" ref="AZ4:AZ34" si="5">AT4/N4</f>
        <v>-4.631031566288738E-6</v>
      </c>
      <c r="BA4" s="1">
        <f>EXP(-BD4*LN(238-233)+LN(AF4))+EXP(-BD4*LN(236-233)+LN(AF4/AS4*AT4))+EXP(-BD4*LN(235-233)+LN(AF4/AS4*AV4))</f>
        <v>40.045330198362919</v>
      </c>
      <c r="BB4" s="1">
        <f t="shared" ref="BB4:BB34" si="6">AL4-BC4</f>
        <v>8.8497402307765611</v>
      </c>
      <c r="BC4" s="1">
        <f>EXP(-$BD4*LN(238-233.5)+LN($AF4))+EXP(-$BD4*LN(236-233.5)+LN($AF4/$AS4*$AT4))+EXP(-$BD4*LN(235-233.5)+LN($AF4/$AS4*$AV4))</f>
        <v>49.157249769223441</v>
      </c>
      <c r="BD4">
        <f t="shared" ref="BD4:BD34" si="7">(LN(AF4)-LN(AH4))/(LN(238-236.5))</f>
        <v>1.8125648589406662</v>
      </c>
      <c r="BE4" s="1"/>
      <c r="BF4" s="32">
        <f t="shared" ref="BF4:BF42" si="8">AY4/AS4/62415093</f>
        <v>9.2039839113214497E-8</v>
      </c>
      <c r="BG4" s="1">
        <f t="shared" ref="BG4:BG42" si="9">AY4/AX4</f>
        <v>2.0844457354304222E-3</v>
      </c>
      <c r="BH4" s="1">
        <f t="shared" ref="BH4:BH38" si="10">BG4*0.1</f>
        <v>2.0844457354304223E-4</v>
      </c>
      <c r="BI4" s="1">
        <f t="shared" ref="BI4:BI42" si="11">AW4/AV4/62415093</f>
        <v>1.7560300747414509E-5</v>
      </c>
      <c r="BJ4" s="1">
        <f t="shared" ref="BJ4:BJ38" si="12">BI4*0.1</f>
        <v>1.756030074741451E-6</v>
      </c>
      <c r="BK4" s="1"/>
      <c r="BL4" s="1"/>
      <c r="BM4" s="1"/>
      <c r="BN4" s="1"/>
      <c r="BO4" s="1">
        <f t="shared" ref="BO4" si="13">L4/(1-AW4/62415093/AV4)</f>
        <v>140.53996792410376</v>
      </c>
      <c r="BP4" s="33">
        <f t="shared" ref="BP4" si="14">SQRT((M4/(1-BI4))^2+(BJ4*L4/(1-BI4)^2)^2)</f>
        <v>1.1302893138514663E-2</v>
      </c>
      <c r="BQ4" s="1"/>
      <c r="BR4" s="1"/>
      <c r="BS4" s="1">
        <f t="shared" ref="BS4" si="15">P4/(1-BG4)</f>
        <v>22697.301292885735</v>
      </c>
      <c r="BT4" s="1">
        <f t="shared" ref="BT4" si="16">SQRT((Q4/(1-BG4))^2+(BH4*P4/(1-BG4)^2)^2)</f>
        <v>16.431615976569354</v>
      </c>
      <c r="BU4" s="1"/>
      <c r="BV4" s="1"/>
      <c r="BW4" s="1"/>
      <c r="BX4" s="1"/>
      <c r="BY4" s="1"/>
      <c r="BZ4" s="1"/>
      <c r="CA4" s="1"/>
      <c r="CB4" s="1"/>
      <c r="CC4">
        <f>(Constants!$C$18/BO4)^(1/LN(Constants!$B$2/Constants!$B$4))</f>
        <v>0.21603639367440355</v>
      </c>
      <c r="CD4">
        <f>ABS((Constants!$C$18/BO4)^(1/LN(Constants!$B$2/Constants!$B$4))-(Constants!$C$18/(BO4+BP4))^(1/LN(Constants!$B$2/Constants!$B$4)))</f>
        <v>1.362464013857978E-3</v>
      </c>
      <c r="CK4">
        <f>BS4*$CC4^(LN(Constants!$B$2/Constants!$B$5))</f>
        <v>22114.096576080301</v>
      </c>
      <c r="CL4" s="33">
        <f>CK4*SQRT((BT4/BS4)^2+((BS4*($CC4+$CD4)^(LN(Constants!$B$2/Constants!$B$5))-CK4)/CK4)^2)</f>
        <v>16.182700597865598</v>
      </c>
      <c r="CR4" s="1"/>
      <c r="CS4" s="1"/>
      <c r="CU4" s="1"/>
      <c r="CV4" s="1"/>
      <c r="CW4" s="1"/>
    </row>
    <row r="5" spans="1:109">
      <c r="A5" s="73" t="str">
        <f t="shared" si="0"/>
        <v>[BHT] AB11_AB13_TPB</v>
      </c>
      <c r="B5" t="str">
        <f>IF(NOT(ISBLANK($J5)),IF($T5&lt;Constants!$B$32,"low spike","OK"),"")</f>
        <v>OK</v>
      </c>
      <c r="C5" t="str">
        <f>IF(NOT(ISBLANK($J5)), IF((ABS($L4-$L6)/$L4)&gt;Constants!$B$33,"variable mass bias","OK"), "")</f>
        <v>variable mass bias</v>
      </c>
      <c r="D5" t="str">
        <f>IF(NOT(ISBLANK($J5)), IF((ABS($P4-$P6)/$P4)&gt;Constants!$B$34,"variable IC yield","OK"),"")</f>
        <v>OK</v>
      </c>
      <c r="E5" s="34">
        <f>CE5</f>
        <v>0.10599929281048938</v>
      </c>
      <c r="F5" s="34">
        <f>CF5</f>
        <v>9.4138434575568846E-3</v>
      </c>
      <c r="G5" s="34">
        <f>CM5</f>
        <v>288.52556470320383</v>
      </c>
      <c r="H5" s="48">
        <f>CN5</f>
        <v>24.625822400378969</v>
      </c>
      <c r="I5" s="33"/>
      <c r="J5" s="1">
        <v>0.10742350000000001</v>
      </c>
      <c r="K5" s="1">
        <v>9.5399999999999999E-3</v>
      </c>
      <c r="L5" s="1">
        <v>0.1</v>
      </c>
      <c r="M5" s="1">
        <v>74.8</v>
      </c>
      <c r="N5" s="1">
        <v>1.0005949999999999</v>
      </c>
      <c r="O5" s="1">
        <v>3.3500000000000001E-4</v>
      </c>
      <c r="P5" s="1">
        <v>343.37880000000001</v>
      </c>
      <c r="Q5" s="1">
        <v>29.3</v>
      </c>
      <c r="R5" s="1">
        <v>3.4948679999999999E-3</v>
      </c>
      <c r="S5" s="1">
        <v>3.1399999999999999E-4</v>
      </c>
      <c r="T5" s="1">
        <v>3.2504640000000001E-2</v>
      </c>
      <c r="U5" s="1">
        <v>6.7199999999999994E-5</v>
      </c>
      <c r="V5" s="1">
        <v>633.09429999999998</v>
      </c>
      <c r="W5" s="1">
        <v>4.18</v>
      </c>
      <c r="X5" t="s">
        <v>336</v>
      </c>
      <c r="Y5" t="s">
        <v>327</v>
      </c>
      <c r="Z5">
        <v>526</v>
      </c>
      <c r="AB5" s="1">
        <f>R5</f>
        <v>3.4948679999999999E-3</v>
      </c>
      <c r="AC5" s="1">
        <f>S5</f>
        <v>3.1399999999999999E-4</v>
      </c>
      <c r="AD5" s="1">
        <f>T5</f>
        <v>3.2504640000000001E-2</v>
      </c>
      <c r="AE5" s="1">
        <f>U5</f>
        <v>6.7199999999999994E-5</v>
      </c>
      <c r="AF5" s="1">
        <f>AVERAGE(AF4/$AB4,AF6/$AB6)*$AB5</f>
        <v>0.18975687419914949</v>
      </c>
      <c r="AG5" s="1">
        <f>AVERAGE(AG4/AF4,AG6/AF6)*AF5</f>
        <v>4.4527538644522011E-3</v>
      </c>
      <c r="AH5" s="1">
        <f>AVERAGE(AH4/$AB4,AH6/$AB6)*$AB5</f>
        <v>9.3340177974766639E-2</v>
      </c>
      <c r="AI5" s="1">
        <f>AVERAGE(AI4/AH4,AI6/AH6)*AH5</f>
        <v>2.4246113170833727E-3</v>
      </c>
      <c r="AJ5" s="1">
        <f>AVERAGE(AJ4/$AB4,AJ6/$AB6)*$AB5</f>
        <v>2.7769428062474868E-2</v>
      </c>
      <c r="AK5" s="1">
        <f>AVERAGE(AK4/AJ4,AK6/AJ6)*AJ5</f>
        <v>1.9201171065658233E-3</v>
      </c>
      <c r="AL5" s="1">
        <f>AVERAGE(AL4/$AB4,AL6/$AB6)*$AB5</f>
        <v>1.5793436151992402E-2</v>
      </c>
      <c r="AM5" s="1">
        <f>AVERAGE(AM4/AL4,AM6/AL6)*AL5</f>
        <v>7.9852261965590425E-4</v>
      </c>
      <c r="AR5" s="1">
        <f>Constants!B$25</f>
        <v>2.2917410000000001E-6</v>
      </c>
      <c r="AS5" s="1">
        <f t="shared" si="1"/>
        <v>3.4948679999999999E-3</v>
      </c>
      <c r="AT5" s="1">
        <f t="shared" si="2"/>
        <v>3.2504640000000001E-2</v>
      </c>
      <c r="AU5" s="1">
        <f>EXP(-$BD5*LN(238-236)+LN(AF5))</f>
        <v>5.6421898557408694E-2</v>
      </c>
      <c r="AV5" s="1">
        <f>AS5/L5</f>
        <v>3.4948679999999996E-2</v>
      </c>
      <c r="AW5" s="1">
        <f>EXP(-BD5*LN(238-235)+LN(AF5))+EXP(-BD5*LN(236-235)+LN(AF5/AS5*AT5))</f>
        <v>1.7926210475749438</v>
      </c>
      <c r="AX5" s="1">
        <f t="shared" si="4"/>
        <v>633.09429999999998</v>
      </c>
      <c r="AY5" s="1">
        <f>$AZ5*$AR5*62415093+EXP(-$BD5*LN(238-234)+LN($AF5))+EXP(-$BD5*LN(236-234)+LN($AF5/$AS5*$AT5))+EXP(-$BD5*LN(235-234)+LN($AF5/$AS5*$AV5))+BB5</f>
        <v>5.7993912039019158</v>
      </c>
      <c r="AZ5" s="1">
        <f t="shared" si="5"/>
        <v>3.2485311239812319E-2</v>
      </c>
      <c r="BA5" s="1">
        <f>EXP(-BD5*LN(238-233)+LN(AF5))+EXP(-BD5*LN(236-233)+LN(AF5/AS5*AT5))+EXP(-BD5*LN(235-233)+LN(AF5/AS5*AV5))</f>
        <v>0.8336992620235002</v>
      </c>
      <c r="BB5" s="1">
        <f>AL5-BC5</f>
        <v>-1.286389612612576</v>
      </c>
      <c r="BC5" s="1">
        <f>EXP(-$BD5*LN(238-233.5)+LN($AF5))+EXP(-$BD5*LN(236-233.5)+LN($AF5/$AS5*$AT5))+EXP(-$BD5*LN(235-233.5)+LN($AF5/$AS5*$AV5))</f>
        <v>1.3021830487645685</v>
      </c>
      <c r="BD5">
        <f t="shared" si="7"/>
        <v>1.7498250326329206</v>
      </c>
      <c r="BF5" s="32">
        <f t="shared" si="8"/>
        <v>2.6586551316271796E-5</v>
      </c>
      <c r="BG5" s="1">
        <f>AY5/AX5</f>
        <v>9.1603908041849626E-3</v>
      </c>
      <c r="BH5" s="1">
        <f t="shared" si="10"/>
        <v>9.160390804184963E-4</v>
      </c>
      <c r="BI5" s="1">
        <f t="shared" si="11"/>
        <v>8.2180369966961468E-7</v>
      </c>
      <c r="BJ5" s="1">
        <f t="shared" si="12"/>
        <v>8.2180369966961471E-8</v>
      </c>
      <c r="BK5" s="1">
        <f>AU5/AT5/62415093</f>
        <v>2.7810750787591864E-8</v>
      </c>
      <c r="BL5" s="1">
        <f>BK5*0.1</f>
        <v>2.7810750787591866E-9</v>
      </c>
      <c r="BM5" s="1">
        <f>J5/(1-(AU5/62415093)/AT5)</f>
        <v>0.10742350298752827</v>
      </c>
      <c r="BN5" s="33">
        <f>SQRT((K5/(1-BK5))^2+(BL5*J5/(1-BK5)^2)^2)</f>
        <v>9.5400002653145757E-3</v>
      </c>
      <c r="BO5" s="1">
        <f>L5/(1-AW5/62415093/AV5)</f>
        <v>0.1000000821804375</v>
      </c>
      <c r="BP5" s="33">
        <f>SQRT((M5/(1-BI5))^2+(BJ5*L5/(1-BI5)^2)^2)</f>
        <v>74.80006147096725</v>
      </c>
      <c r="BQ5" s="1">
        <f>N5*(1-BK5)</f>
        <v>1.0005949721727017</v>
      </c>
      <c r="BR5">
        <f>SQRT(O5^2+BL5^2)</f>
        <v>3.3500000001154389E-4</v>
      </c>
      <c r="BS5" s="1">
        <f>P5/(1-BG5)</f>
        <v>346.55336425104463</v>
      </c>
      <c r="BT5" s="1">
        <f>SQRT((Q5/(1-BG5))^2+(BH5*P5/(1-BG5)^2)^2)</f>
        <v>29.572616444284844</v>
      </c>
      <c r="BU5">
        <f>(Constants!$C$19/$BQ5)^(1/LN(Constants!$B$3/Constants!$B$6))</f>
        <v>0.21880391326375334</v>
      </c>
      <c r="BV5">
        <f>(Constants!$C$19/($BQ5-BR5))^(1/LN(Constants!$B$3/Constants!$B$6))-BU5</f>
        <v>5.7921055358052254E-3</v>
      </c>
      <c r="BW5">
        <f>$BM5*BU5^(LN(Constants!$B$2/Constants!$B$3))</f>
        <v>0.10605147549244698</v>
      </c>
      <c r="BX5" s="33">
        <f>BW5*SQRT((BN5/BM5)^2+(((BM5*($BU5+$BV5)^LN(Constants!$B$2/Constants!$B$3))-BW5)/BW5)^2)</f>
        <v>9.4181832658819103E-3</v>
      </c>
      <c r="BY5">
        <f>BO5*BU5^(LN(Constants!$B$2/Constants!$B$4))</f>
        <v>9.8086984687397349E-2</v>
      </c>
      <c r="BZ5" s="33">
        <f>BY5*SQRT((BP5/BO5)^2+(((BO5*($BU5+$BV5)^LN(Constants!$B$2/Constants!$B$4))-BY5)/BY5)^2)</f>
        <v>73.369064546180454</v>
      </c>
      <c r="CA5">
        <f>BS5*BU5^(LN(Constants!$B$2/Constants!$B$5))</f>
        <v>337.72173413349594</v>
      </c>
      <c r="CB5" s="33">
        <f>CA5*SQRT((BT5/BS5)^2+(((BS5*($BU5+$BV5)^LN(Constants!$B$2/Constants!$B$5))-CA5)/CA5)^2)</f>
        <v>28.819372416541853</v>
      </c>
      <c r="CC5">
        <f>(Constants!$C$18/AVERAGE(BO4,BO6))^(1/LN(Constants!$B$2/Constants!$B$4))</f>
        <v>0.20643674106022505</v>
      </c>
      <c r="CD5">
        <f>MAX(ABS((Constants!$C$18/BO4)^(1/LN(Constants!$B$2/Constants!$B$4))-(Constants!$C$18/BO6)^(1/LN(Constants!$B$2/Constants!$B$4))),CD4,CD6)</f>
        <v>1.8767563748381455E-2</v>
      </c>
      <c r="CE5">
        <f>$BM5*CC5^(LN(Constants!$B$2/Constants!$B$3))</f>
        <v>0.10599929281048938</v>
      </c>
      <c r="CF5" s="33">
        <f>CE5*SQRT((BN5/BM5)^2+(($BM5*($CC5+$CD5)^(LN(Constants!$B$2/Constants!$B$3))-CE5)/CE5)^2)</f>
        <v>9.4138434575568846E-3</v>
      </c>
      <c r="CG5">
        <f>BO5*CC5^(LN(Constants!$B$2/Constants!$B$4))</f>
        <v>9.8014467656646537E-2</v>
      </c>
      <c r="CH5" s="33">
        <f>CG5*SQRT((BP5/BO5)^2+((BO5*($CC5+$CD5)^(LN(Constants!$B$2/Constants!$B$4))-CG5)/CG5)^2)</f>
        <v>73.31482180725186</v>
      </c>
      <c r="CI5">
        <f>BQ5*$CC5^(LN(Constants!$B$3/Constants!$B$6))</f>
        <v>0.98056502972476534</v>
      </c>
      <c r="CJ5" s="33">
        <f>CI5*SQRT((BR5/BQ5)^2+((BQ5*($CC5+$CD5)^(LN(Constants!$B$3/Constants!$B$6))-CI5)/CI5)^2)</f>
        <v>1.1423267804786189E-3</v>
      </c>
      <c r="CK5" s="1">
        <f>BS5*CC5^(LN(Constants!$B$2/Constants!$B$5))</f>
        <v>337.38809776266112</v>
      </c>
      <c r="CL5" s="33">
        <f>CK5*SQRT((BT5/BS5)^2+((BS5*($CC5+$CD5)^(LN(Constants!$B$2/Constants!$B$5))-CK5)/CK5)^2)</f>
        <v>28.794837676324054</v>
      </c>
      <c r="CM5">
        <f>CK5*Constants!$C$17/AVERAGE(CK4,CK6)</f>
        <v>288.52556470320383</v>
      </c>
      <c r="CN5">
        <f>CM5*SQRT(((CK4-CK6)/CK6/4)^2+(CL5/CK5)^2+AVERAGE(CL4/CK4,CL6/CK6)^2)</f>
        <v>24.625822400378969</v>
      </c>
      <c r="CO5">
        <f>1/CM5*CE5*CI5</f>
        <v>3.6024260038253545E-4</v>
      </c>
      <c r="CQ5">
        <f>$K5/$J5</f>
        <v>8.8807383859211428E-2</v>
      </c>
      <c r="CR5">
        <f>$BN5/$BM5</f>
        <v>8.8807383859211497E-2</v>
      </c>
      <c r="CS5">
        <f>$CF5/$CE5</f>
        <v>8.8810436446848801E-2</v>
      </c>
      <c r="CT5">
        <f>$Q5/$P5</f>
        <v>8.5328506011436933E-2</v>
      </c>
      <c r="CU5">
        <f>$BT5/$BS5</f>
        <v>8.533351424302528E-2</v>
      </c>
      <c r="CV5">
        <f>$CL5/$CK5</f>
        <v>8.5346335176826715E-2</v>
      </c>
      <c r="CW5">
        <f>$CN5/$CM5</f>
        <v>8.5350573442983094E-2</v>
      </c>
      <c r="CY5" s="82">
        <f>$CQ5/$CS5</f>
        <v>0.99996562805274358</v>
      </c>
      <c r="CZ5" s="82">
        <f>$CR5/$CS5-$CY5</f>
        <v>0</v>
      </c>
      <c r="DA5" s="82">
        <f>$CS5/$CS5-$CZ5-$CY5</f>
        <v>3.4371947256417457E-5</v>
      </c>
      <c r="DB5" s="82">
        <f>$CT5/$CW5</f>
        <v>0.99974144952217692</v>
      </c>
      <c r="DC5" s="82">
        <f>$CU5/$CW5-$DB5</f>
        <v>5.8678358988317747E-5</v>
      </c>
      <c r="DD5" s="82">
        <f>$CV5/$CW5-$DC5-$DB5</f>
        <v>1.502149696743782E-4</v>
      </c>
      <c r="DE5" s="82">
        <f>$CW5/$CW5-$DD5-$DC5-$DB5</f>
        <v>4.9657149160386993E-5</v>
      </c>
    </row>
    <row r="6" spans="1:109">
      <c r="A6" s="73" t="str">
        <f t="shared" si="0"/>
        <v>U 13.5 ppb</v>
      </c>
      <c r="B6" s="73"/>
      <c r="C6" s="73"/>
      <c r="J6" s="1">
        <v>-422132.8</v>
      </c>
      <c r="K6" s="1">
        <v>268000</v>
      </c>
      <c r="L6" s="1">
        <v>140.69990000000001</v>
      </c>
      <c r="M6" s="1">
        <v>1.11E-2</v>
      </c>
      <c r="N6" s="1">
        <v>1.378295</v>
      </c>
      <c r="O6" s="1">
        <v>0.44900000000000001</v>
      </c>
      <c r="P6" s="1">
        <v>22710.61</v>
      </c>
      <c r="Q6" s="1">
        <v>19.7</v>
      </c>
      <c r="R6" s="1">
        <v>11.71904</v>
      </c>
      <c r="S6" s="1">
        <v>5.62E-3</v>
      </c>
      <c r="T6" s="1">
        <v>-1.058264E-5</v>
      </c>
      <c r="U6" s="1">
        <v>4.5199999999999999E-6</v>
      </c>
      <c r="V6" s="1">
        <v>32211.47</v>
      </c>
      <c r="W6" s="1">
        <v>32.299999999999997</v>
      </c>
      <c r="X6" t="s">
        <v>337</v>
      </c>
      <c r="Y6" t="s">
        <v>327</v>
      </c>
      <c r="Z6">
        <v>529</v>
      </c>
      <c r="AB6" s="62" cm="1">
        <f t="array" ref="AB6:AP6">U!A29:O29</f>
        <v>11.461259999999999</v>
      </c>
      <c r="AC6" s="62">
        <v>6.3200000000000006E-2</v>
      </c>
      <c r="AD6" s="62">
        <v>4.2946990000000003E-6</v>
      </c>
      <c r="AE6" s="62">
        <v>6.0599999999999996E-6</v>
      </c>
      <c r="AF6" s="62">
        <v>590.27509999999995</v>
      </c>
      <c r="AG6" s="62">
        <v>22.5</v>
      </c>
      <c r="AH6" s="62">
        <v>298.43689999999998</v>
      </c>
      <c r="AI6" s="62">
        <v>7.7</v>
      </c>
      <c r="AJ6" s="62">
        <v>88.610720000000001</v>
      </c>
      <c r="AK6" s="62">
        <v>5.47</v>
      </c>
      <c r="AL6" s="62">
        <v>50.40607</v>
      </c>
      <c r="AM6" s="62">
        <v>2.16</v>
      </c>
      <c r="AN6" s="63" t="str">
        <v>U 13.5 ppb tail</v>
      </c>
      <c r="AO6" s="63" t="str">
        <v xml:space="preserve"> March 14</v>
      </c>
      <c r="AP6" s="63">
        <v>530</v>
      </c>
      <c r="AQ6" s="1"/>
      <c r="AR6" s="1">
        <f>Constants!B$25</f>
        <v>2.2917410000000001E-6</v>
      </c>
      <c r="AS6" s="1">
        <f t="shared" si="1"/>
        <v>11.71904</v>
      </c>
      <c r="AT6" s="1">
        <f t="shared" si="2"/>
        <v>9.9999999999999995E-7</v>
      </c>
      <c r="AU6" s="1">
        <f t="shared" ref="AU6:AU37" si="17">EXP(-$BD6*LN(238-236)+LN(AF6))</f>
        <v>183.947502979658</v>
      </c>
      <c r="AV6" s="1">
        <f t="shared" si="3"/>
        <v>8.3291032900520881E-2</v>
      </c>
      <c r="AW6" s="1">
        <f t="shared" ref="AW6:AW37" si="18">EXP(-BD6*LN(238-235)+LN(AF6))+EXP(-BD6*LN(236-235)+LN(AF6/AS6*AT6))</f>
        <v>93.001978710426144</v>
      </c>
      <c r="AX6" s="1">
        <f t="shared" si="4"/>
        <v>32211.47</v>
      </c>
      <c r="AY6">
        <f>$AZ6*$AR6*62415093+EXP(-$BD6*LN(238-234)+LN($AF6))+EXP(-$BD6*LN(236-234)+LN($AF6/$AS6*$AT6))+EXP(-$BD6*LN(235-234)+LN($AF6/$AS6*$AV6))+BB6</f>
        <v>62.783151474743079</v>
      </c>
      <c r="AZ6" s="1">
        <f t="shared" si="5"/>
        <v>7.2553408377742055E-7</v>
      </c>
      <c r="BA6" s="1">
        <f t="shared" ref="BA6:BA37" si="19">EXP(-BD6*LN(238-233)+LN(AF6))+EXP(-BD6*LN(236-233)+LN(AF6/AS6*AT6))+EXP(-BD6*LN(235-233)+LN(AF6/AS6*AV6))</f>
        <v>40.691547314001454</v>
      </c>
      <c r="BB6" s="1">
        <f t="shared" si="6"/>
        <v>1.264171395014408</v>
      </c>
      <c r="BC6" s="1">
        <f t="shared" ref="BC6:BC36" si="20">EXP(-$BD6*LN(238-233.5)+LN($AF6))+EXP(-$BD6*LN(236-233.5)+LN($AF6/$AS6*$AT6))+EXP(-$BD6*LN(235-233.5)+LN($AF6/$AS6*$AV6))</f>
        <v>49.141898604985592</v>
      </c>
      <c r="BD6">
        <f t="shared" si="7"/>
        <v>1.6820933924400914</v>
      </c>
      <c r="BE6" s="1"/>
      <c r="BF6" s="32">
        <f t="shared" si="8"/>
        <v>8.5834415333397802E-8</v>
      </c>
      <c r="BG6" s="1">
        <f t="shared" si="9"/>
        <v>1.9490930241539139E-3</v>
      </c>
      <c r="BH6" s="1">
        <f t="shared" si="10"/>
        <v>1.9490930241539139E-4</v>
      </c>
      <c r="BI6" s="1">
        <f t="shared" si="11"/>
        <v>1.7889751949553054E-5</v>
      </c>
      <c r="BJ6" s="1">
        <f t="shared" si="12"/>
        <v>1.7889751949553055E-6</v>
      </c>
      <c r="BK6" s="1"/>
      <c r="BL6" s="1"/>
      <c r="BM6" s="1"/>
      <c r="BN6" s="1"/>
      <c r="BO6" s="1">
        <f t="shared" ref="BO6" si="21">L6/(1-AW6/62415093/AV6)</f>
        <v>140.70241713134121</v>
      </c>
      <c r="BP6" s="33">
        <f t="shared" ref="BP6" si="22">SQRT((M6/(1-BI6))^2+(BJ6*L6/(1-BI6)^2)^2)</f>
        <v>1.1103052295648069E-2</v>
      </c>
      <c r="BQ6" s="1"/>
      <c r="BR6" s="1"/>
      <c r="BS6" s="1">
        <f t="shared" ref="BS6" si="23">P6/(1-BG6)</f>
        <v>22754.961536796261</v>
      </c>
      <c r="BT6" s="1">
        <f t="shared" ref="BT6" si="24">SQRT((Q6/(1-BG6))^2+(BH6*P6/(1-BG6)^2)^2)</f>
        <v>20.232517740193387</v>
      </c>
      <c r="BU6" s="1"/>
      <c r="BV6" s="1"/>
      <c r="BX6" s="1"/>
      <c r="BY6" s="1"/>
      <c r="BZ6" s="1"/>
      <c r="CA6" s="1"/>
      <c r="CB6" s="1"/>
      <c r="CC6">
        <f>(Constants!$C$18/BO6)^(1/LN(Constants!$B$2/Constants!$B$4))</f>
        <v>0.1972688299260221</v>
      </c>
      <c r="CD6">
        <f>ABS((Constants!$C$18/BO6)^(1/LN(Constants!$B$2/Constants!$B$4))-(Constants!$C$18/(BO6+BP6))^(1/LN(Constants!$B$2/Constants!$B$4)))</f>
        <v>1.2207698471463913E-3</v>
      </c>
      <c r="CK6">
        <f>BS6*$CC6^(LN(Constants!$B$2/Constants!$B$5))</f>
        <v>22136.073953622312</v>
      </c>
      <c r="CL6" s="33">
        <f>CK6*SQRT((BT6/BS6)^2+((BS6*($CC6+$CD6)^(LN(Constants!$B$2/Constants!$B$5))-CK6)/CK6)^2)</f>
        <v>19.818503171047553</v>
      </c>
    </row>
    <row r="7" spans="1:109">
      <c r="A7" s="73" t="str">
        <f>X7</f>
        <v>[BHT] AB11-2A</v>
      </c>
      <c r="B7" t="str">
        <f>IF(NOT(ISBLANK($J7)),IF($T7&lt;Constants!$B$32,"low spike","OK"),"")</f>
        <v>OK</v>
      </c>
      <c r="C7" t="str">
        <f>IF(NOT(ISBLANK($J7)), IF((ABS($L6-$L8)/$L6)&gt;Constants!$B$33,"variable mass bias","OK"), "")</f>
        <v>OK</v>
      </c>
      <c r="D7" t="str">
        <f>IF(NOT(ISBLANK($J7)), IF((ABS($P6-$P8)/$P6)&gt;Constants!$B$34,"variable IC yield","OK"),"")</f>
        <v>OK</v>
      </c>
      <c r="E7" s="34">
        <f>CE7</f>
        <v>144.97258014584071</v>
      </c>
      <c r="F7" s="34">
        <f>CF7</f>
        <v>2.4744300048710179E-2</v>
      </c>
      <c r="G7" s="34">
        <f>CM7</f>
        <v>17340.067574239554</v>
      </c>
      <c r="H7" s="48">
        <f>CN7</f>
        <v>18.831614664525787</v>
      </c>
      <c r="I7" s="33"/>
      <c r="J7" s="1">
        <v>146.9597</v>
      </c>
      <c r="K7" s="1">
        <v>1.03E-2</v>
      </c>
      <c r="L7" s="1">
        <v>140.58340000000001</v>
      </c>
      <c r="M7" s="1">
        <v>1.0999999999999999E-2</v>
      </c>
      <c r="N7" s="1">
        <v>1.000999</v>
      </c>
      <c r="O7" s="1">
        <v>2.1800000000000001E-4</v>
      </c>
      <c r="P7" s="1">
        <v>20796.14</v>
      </c>
      <c r="Q7" s="1">
        <v>11.8</v>
      </c>
      <c r="R7" s="1">
        <v>13.795339999999999</v>
      </c>
      <c r="S7" s="1">
        <v>1.14E-2</v>
      </c>
      <c r="T7" s="1">
        <v>9.3871529999999995E-2</v>
      </c>
      <c r="U7" s="1">
        <v>7.4999999999999993E-5</v>
      </c>
      <c r="V7" s="1">
        <v>41408.620000000003</v>
      </c>
      <c r="W7" s="1">
        <v>39.299999999999997</v>
      </c>
      <c r="X7" t="s">
        <v>326</v>
      </c>
      <c r="Y7" t="s">
        <v>327</v>
      </c>
      <c r="Z7">
        <v>532</v>
      </c>
      <c r="AB7" s="1">
        <f>R7</f>
        <v>13.795339999999999</v>
      </c>
      <c r="AC7" s="1">
        <f>S7</f>
        <v>1.14E-2</v>
      </c>
      <c r="AD7" s="1">
        <f>T7</f>
        <v>9.3871529999999995E-2</v>
      </c>
      <c r="AE7" s="1">
        <f>U7</f>
        <v>7.4999999999999993E-5</v>
      </c>
      <c r="AF7" s="1">
        <f>AVERAGE(AF6/$AB6,AF8/$AB8)*$AB7</f>
        <v>703.86900516852074</v>
      </c>
      <c r="AG7" s="1">
        <f>AVERAGE(AG6/AF6,AG8/AF8)*AF7</f>
        <v>17.01135052500225</v>
      </c>
      <c r="AH7" s="1">
        <f>AVERAGE(AH6/$AB6,AH8/$AB8)*$AB7</f>
        <v>362.11101741583337</v>
      </c>
      <c r="AI7" s="1">
        <f>AVERAGE(AI6/AH6,AI8/AH8)*AH7</f>
        <v>9.4785237697420328</v>
      </c>
      <c r="AJ7" s="1">
        <f>AVERAGE(AJ6/$AB6,AJ8/$AB8)*$AB7</f>
        <v>102.47697052589464</v>
      </c>
      <c r="AK7" s="1">
        <f>AVERAGE(AK6/AJ6,AK8/AJ8)*AJ7</f>
        <v>4.4587215403319567</v>
      </c>
      <c r="AL7" s="1">
        <f>AVERAGE(AL6/$AB6,AL8/$AB8)*$AB7</f>
        <v>58.175159725721365</v>
      </c>
      <c r="AM7" s="1">
        <f>AVERAGE(AM6/AL6,AM8/AL8)*AL7</f>
        <v>3.1435083975401179</v>
      </c>
      <c r="AR7" s="1">
        <f>Constants!B$25</f>
        <v>2.2917410000000001E-6</v>
      </c>
      <c r="AS7" s="1">
        <f>R7</f>
        <v>13.795339999999999</v>
      </c>
      <c r="AT7" s="1">
        <f>MAX(0.000001,T7)</f>
        <v>9.3871529999999995E-2</v>
      </c>
      <c r="AU7" s="1">
        <f t="shared" si="17"/>
        <v>225.96502887471792</v>
      </c>
      <c r="AV7" s="1">
        <f>AS7/L7</f>
        <v>9.8129224360770886E-2</v>
      </c>
      <c r="AW7" s="1">
        <f t="shared" si="18"/>
        <v>121.03904412083124</v>
      </c>
      <c r="AX7" s="1">
        <f>V7</f>
        <v>41408.620000000003</v>
      </c>
      <c r="AY7">
        <f t="shared" ref="AY7:AY70" si="25">$AZ7*$AR7*62415093+EXP(-$BD7*LN(238-234)+LN($AF7))+EXP(-$BD7*LN(236-234)+LN($AF7/$AS7*$AT7))+EXP(-$BD7*LN(235-234)+LN($AF7/$AS7*$AV7))+BB7</f>
        <v>87.227798673607253</v>
      </c>
      <c r="AZ7" s="1">
        <f>AT7/N7</f>
        <v>9.3777845931914017E-2</v>
      </c>
      <c r="BA7" s="1">
        <f t="shared" si="19"/>
        <v>52.717715455437499</v>
      </c>
      <c r="BB7" s="1">
        <f>AL7-BC7</f>
        <v>-5.2726646244394857</v>
      </c>
      <c r="BC7" s="1">
        <f t="shared" ref="BC7:BC89" si="26">EXP(-$BD7*LN(238-233.5)+LN($AF7))+EXP(-$BD7*LN(236-233.5)+LN($AF7/$AS7*$AT7))+EXP(-$BD7*LN(235-233.5)+LN($AF7/$AS7*$AV7))</f>
        <v>63.44782435016085</v>
      </c>
      <c r="BD7">
        <f>(LN(AF7)-LN(AH7))/(LN(238-236.5))</f>
        <v>1.639207444970479</v>
      </c>
      <c r="BF7" s="32">
        <f>AY7/AS7/62415093</f>
        <v>1.013054667880858E-7</v>
      </c>
      <c r="BG7" s="1">
        <f>AY7/AX7</f>
        <v>2.1065130563058428E-3</v>
      </c>
      <c r="BH7" s="1">
        <f>BG7*0.1</f>
        <v>2.1065130563058428E-4</v>
      </c>
      <c r="BI7" s="1">
        <f>AW7/AV7/62415093</f>
        <v>1.9762300430658634E-5</v>
      </c>
      <c r="BJ7" s="1">
        <f>BI7*0.1</f>
        <v>1.9762300430658636E-6</v>
      </c>
      <c r="BK7" s="1">
        <f>AU7/AT7/62415093</f>
        <v>3.85671647497285E-5</v>
      </c>
      <c r="BL7" s="1">
        <f>BK7*0.1</f>
        <v>3.8567164749728505E-6</v>
      </c>
      <c r="BM7" s="1">
        <f>J7/(1-(AU7/62415093)/AT7)</f>
        <v>146.9653680375616</v>
      </c>
      <c r="BN7" s="33">
        <f>SQRT((K7/(1-BK7))^2+(BL7*J7/(1-BK7)^2)^2)</f>
        <v>1.0315981530351426E-2</v>
      </c>
      <c r="BO7" s="1">
        <f>L7/(1-AW7/62415093/AV7)</f>
        <v>140.58617830629211</v>
      </c>
      <c r="BP7" s="33">
        <f>SQRT((M7/(1-BI7))^2+(BJ7*L7/(1-BI7)^2)^2)</f>
        <v>1.1003725529473748E-2</v>
      </c>
      <c r="BQ7" s="1">
        <f>N7*(1-BK7)</f>
        <v>1.0009603943066527</v>
      </c>
      <c r="BR7">
        <f>SQRT(O7^2+BL7^2)</f>
        <v>2.180341126107755E-4</v>
      </c>
      <c r="BS7" s="1">
        <f>P7/(1-BG7)</f>
        <v>20840.039815966265</v>
      </c>
      <c r="BT7" s="1">
        <f>SQRT((Q7/(1-BG7))^2+(BH7*P7/(1-BG7)^2)^2)</f>
        <v>12.616729744197867</v>
      </c>
      <c r="BU7">
        <f>(Constants!$C$19/$BQ7)^(1/LN(Constants!$B$3/Constants!$B$6))</f>
        <v>0.21265813600467748</v>
      </c>
      <c r="BV7">
        <f>(Constants!$C$19/($BQ7-BR7))^(1/LN(Constants!$B$3/Constants!$B$6))-BU7</f>
        <v>3.6456035894988637E-3</v>
      </c>
      <c r="BW7">
        <f>$BM7*BU7^(LN(Constants!$B$2/Constants!$B$3))</f>
        <v>145.05334402974697</v>
      </c>
      <c r="BX7" s="33">
        <f>BW7*SQRT((BN7/BM7)^2+(((BM7*($BU7+$BV7)^LN(Constants!$B$2/Constants!$B$3))-BW7)/BW7)^2)</f>
        <v>2.3210698268629586E-2</v>
      </c>
      <c r="BY7">
        <f>BO7*BU7^(LN(Constants!$B$2/Constants!$B$4))</f>
        <v>137.84669892836192</v>
      </c>
      <c r="BZ7" s="33">
        <f>BY7*SQRT((BP7/BO7)^2+(((BO7*($BU7+$BV7)^LN(Constants!$B$2/Constants!$B$4))-BY7)/BY7)^2)</f>
        <v>3.1681391380199472E-2</v>
      </c>
      <c r="CA7">
        <f>BS7*BU7^(LN(Constants!$B$2/Constants!$B$5))</f>
        <v>20299.121475674852</v>
      </c>
      <c r="CB7" s="33">
        <f>CA7*SQRT((BT7/BS7)^2+(((BS7*($BU7+$BV7)^LN(Constants!$B$2/Constants!$B$5))-CA7)/CA7)^2)</f>
        <v>13.615907597356172</v>
      </c>
      <c r="CC7">
        <f>(Constants!$C$18/AVERAGE(BO6,BO8))^(1/LN(Constants!$B$2/Constants!$B$4))</f>
        <v>0.19910793704889379</v>
      </c>
      <c r="CD7">
        <f>MAX(ABS((Constants!$C$18/BO6)^(1/LN(Constants!$B$2/Constants!$B$4))-(Constants!$C$18/BO8)^(1/LN(Constants!$B$2/Constants!$B$4))),CD6,CD8)</f>
        <v>3.6955799664140088E-3</v>
      </c>
      <c r="CE7">
        <f>$BM7*CC7^(LN(Constants!$B$2/Constants!$B$3))</f>
        <v>144.97258014584071</v>
      </c>
      <c r="CF7" s="33">
        <f>CE7*SQRT((BN7/BM7)^2+(($BM7*($CC7+$CD7)^(LN(Constants!$B$2/Constants!$B$3))-CE7)/CE7)^2)</f>
        <v>2.4744300048710179E-2</v>
      </c>
      <c r="CG7">
        <f>BO7*CC7^(LN(Constants!$B$2/Constants!$B$4))</f>
        <v>137.73138076938559</v>
      </c>
      <c r="CH7" s="33">
        <f>CG7*SQRT((BP7/BO7)^2+((BO7*($CC7+$CD7)^(LN(Constants!$B$2/Constants!$B$4))-CG7)/CG7)^2)</f>
        <v>3.3958297241484837E-2</v>
      </c>
      <c r="CI7">
        <f>BQ7*$CC7^(LN(Constants!$B$3/Constants!$B$6))</f>
        <v>0.98046880859699992</v>
      </c>
      <c r="CJ7" s="33">
        <f>CI7*SQRT((BR7/BQ7)^2+((BQ7*($CC7+$CD7)^(LN(Constants!$B$3/Constants!$B$6))-CI7)/CI7)^2)</f>
        <v>3.1469063052442489E-4</v>
      </c>
      <c r="CK7">
        <f>BS7*CC7^(LN(Constants!$B$2/Constants!$B$5))</f>
        <v>20276.430288767519</v>
      </c>
      <c r="CL7" s="33">
        <f>CK7*SQRT((BT7/BS7)^2+((BS7*($CC7+$CD7)^(LN(Constants!$B$2/Constants!$B$5))-CK7)/CK7)^2)</f>
        <v>13.814101433291075</v>
      </c>
      <c r="CM7">
        <f>CK7*Constants!$C$17/AVERAGE(CK6,CK8)</f>
        <v>17340.067574239554</v>
      </c>
      <c r="CN7">
        <f>CM7*SQRT(((CK6-CK8)/CK8/4)^2+(CL7/CK7)^2+AVERAGE(CL6/CK6,CL8/CK8)^2)</f>
        <v>18.831614664525787</v>
      </c>
      <c r="CO7">
        <f>1/CM7*CE7*CI7</f>
        <v>8.1972629187437931E-3</v>
      </c>
      <c r="CQ7">
        <f>$K7/$J7</f>
        <v>7.0087241604330992E-5</v>
      </c>
      <c r="CR7">
        <f>$BN7/$BM7</f>
        <v>7.0193282050740372E-5</v>
      </c>
      <c r="CS7">
        <f>$CF7/$CE7</f>
        <v>1.7068262166416369E-4</v>
      </c>
      <c r="CT7">
        <f>$Q7/$P7</f>
        <v>5.6741299106468799E-4</v>
      </c>
      <c r="CU7">
        <f>$BT7/$BS7</f>
        <v>6.0540814008098781E-4</v>
      </c>
      <c r="CV7">
        <f>$CL7/$CK7</f>
        <v>6.812886310142884E-4</v>
      </c>
      <c r="CW7">
        <f>$CN7/$CM7</f>
        <v>1.0860173747247721E-3</v>
      </c>
      <c r="CY7" s="82">
        <f>$CQ7/$CS7</f>
        <v>0.41062904307994014</v>
      </c>
      <c r="CZ7" s="82">
        <f>$CR7/$CS7-$CY7</f>
        <v>6.2127266018929816E-4</v>
      </c>
      <c r="DA7" s="82">
        <f>$CS7/$CS7-$CZ7-$CY7</f>
        <v>0.58874968425987051</v>
      </c>
      <c r="DB7" s="82">
        <f>$CT7/$CW7</f>
        <v>0.522471375016893</v>
      </c>
      <c r="DC7" s="82">
        <f>$CU7/$CW7-$DB7</f>
        <v>3.4985765329886065E-2</v>
      </c>
      <c r="DD7" s="82">
        <f>$CV7/$CW7-$DC7-$DB7</f>
        <v>6.9870420767928154E-2</v>
      </c>
      <c r="DE7" s="82">
        <f>$CW7/$CW7-$DD7-$DC7-$DB7</f>
        <v>0.37267243888529278</v>
      </c>
    </row>
    <row r="8" spans="1:109">
      <c r="A8" s="73" t="str">
        <f t="shared" si="0"/>
        <v>U 13.5 ppb</v>
      </c>
      <c r="B8" s="73"/>
      <c r="C8" s="73"/>
      <c r="J8" s="1">
        <v>423902.1</v>
      </c>
      <c r="K8" s="1">
        <v>421000</v>
      </c>
      <c r="L8" s="1">
        <v>140.66650000000001</v>
      </c>
      <c r="M8" s="1">
        <v>1.29E-2</v>
      </c>
      <c r="N8" s="1">
        <v>1.81891</v>
      </c>
      <c r="O8" s="1">
        <v>1.86</v>
      </c>
      <c r="P8" s="1">
        <v>22682.9</v>
      </c>
      <c r="Q8" s="1">
        <v>15.5</v>
      </c>
      <c r="R8" s="1">
        <v>12.261900000000001</v>
      </c>
      <c r="S8" s="1">
        <v>6.8900000000000003E-3</v>
      </c>
      <c r="T8" s="1">
        <v>-1.4004590000000001E-5</v>
      </c>
      <c r="U8" s="1">
        <v>6.2400000000000004E-6</v>
      </c>
      <c r="V8" s="1">
        <v>33744.400000000001</v>
      </c>
      <c r="W8" s="1">
        <v>26.9</v>
      </c>
      <c r="X8" t="s">
        <v>337</v>
      </c>
      <c r="Y8" t="s">
        <v>327</v>
      </c>
      <c r="Z8">
        <v>535</v>
      </c>
      <c r="AB8" s="62" cm="1">
        <f t="array" ref="AB8:AP8">U!A30:O30</f>
        <v>12.04284</v>
      </c>
      <c r="AC8" s="62">
        <v>2.93E-2</v>
      </c>
      <c r="AD8" s="62">
        <v>1.5930829999999999E-5</v>
      </c>
      <c r="AE8" s="62">
        <v>8.14E-6</v>
      </c>
      <c r="AF8" s="62">
        <v>608.67759999999998</v>
      </c>
      <c r="AG8" s="62">
        <v>6.22</v>
      </c>
      <c r="AH8" s="62">
        <v>318.6395</v>
      </c>
      <c r="AI8" s="62">
        <v>8.4600000000000009</v>
      </c>
      <c r="AJ8" s="62">
        <v>85.810379999999995</v>
      </c>
      <c r="AK8" s="62">
        <v>2.17</v>
      </c>
      <c r="AL8" s="62">
        <v>48.605849999999997</v>
      </c>
      <c r="AM8" s="62">
        <v>3.17</v>
      </c>
      <c r="AN8" s="63" t="str">
        <v>U 13.5 ppb tail</v>
      </c>
      <c r="AO8" s="63" t="str">
        <v xml:space="preserve"> March 14</v>
      </c>
      <c r="AP8" s="63">
        <v>536</v>
      </c>
      <c r="AQ8" s="1"/>
      <c r="AR8" s="1">
        <f>Constants!B$25</f>
        <v>2.2917410000000001E-6</v>
      </c>
      <c r="AS8" s="1">
        <f t="shared" si="1"/>
        <v>12.261900000000001</v>
      </c>
      <c r="AT8" s="1">
        <f t="shared" si="2"/>
        <v>9.9999999999999995E-7</v>
      </c>
      <c r="AU8" s="1">
        <f t="shared" si="17"/>
        <v>201.3097036458652</v>
      </c>
      <c r="AV8" s="1">
        <f t="shared" si="3"/>
        <v>8.717000849527072E-2</v>
      </c>
      <c r="AW8" s="1">
        <f t="shared" si="18"/>
        <v>105.38461334780183</v>
      </c>
      <c r="AX8" s="1">
        <f t="shared" si="4"/>
        <v>33744.400000000001</v>
      </c>
      <c r="AY8">
        <f t="shared" si="25"/>
        <v>62.079297960014138</v>
      </c>
      <c r="AZ8" s="1">
        <f t="shared" si="5"/>
        <v>5.4977981318481947E-7</v>
      </c>
      <c r="BA8" s="1">
        <f t="shared" si="19"/>
        <v>48.059291916218967</v>
      </c>
      <c r="BB8" s="1">
        <f t="shared" si="6"/>
        <v>-8.8276348742984894</v>
      </c>
      <c r="BC8" s="1">
        <f t="shared" si="20"/>
        <v>57.433484874298486</v>
      </c>
      <c r="BD8">
        <f t="shared" si="7"/>
        <v>1.5962615584908952</v>
      </c>
      <c r="BE8" s="1"/>
      <c r="BF8" s="32">
        <f t="shared" si="8"/>
        <v>8.1114669873806242E-8</v>
      </c>
      <c r="BG8" s="1">
        <f t="shared" si="9"/>
        <v>1.8396918587977305E-3</v>
      </c>
      <c r="BH8" s="1">
        <f t="shared" si="10"/>
        <v>1.8396918587977305E-4</v>
      </c>
      <c r="BI8" s="1">
        <f t="shared" si="11"/>
        <v>1.9369593040347733E-5</v>
      </c>
      <c r="BJ8" s="1">
        <f t="shared" si="12"/>
        <v>1.9369593040347733E-6</v>
      </c>
      <c r="BK8" s="1"/>
      <c r="BL8" s="1"/>
      <c r="BM8" s="1"/>
      <c r="BN8" s="1"/>
      <c r="BO8" s="1">
        <f t="shared" ref="BO8:BO34" si="27">L8/(1-AW8/62415093/AV8)</f>
        <v>140.66922470563586</v>
      </c>
      <c r="BP8" s="33">
        <f t="shared" ref="BP8:BP34" si="28">SQRT((M8/(1-BI8))^2+(BJ8*L8/(1-BI8)^2)^2)</f>
        <v>1.2903127134899172E-2</v>
      </c>
      <c r="BQ8" s="1"/>
      <c r="BR8" s="1"/>
      <c r="BS8" s="1">
        <f t="shared" ref="BS8:BS34" si="29">P8/(1-BG8)</f>
        <v>22724.706457463366</v>
      </c>
      <c r="BT8" s="1">
        <f t="shared" ref="BT8:BT34" si="30">SQRT((Q8/(1-BG8))^2+(BH8*P8/(1-BG8)^2)^2)</f>
        <v>16.083491585153368</v>
      </c>
      <c r="BU8" s="1"/>
      <c r="BV8" s="1"/>
      <c r="BW8" s="1"/>
      <c r="BX8" s="1"/>
      <c r="BY8" s="1"/>
      <c r="BZ8" s="1"/>
      <c r="CA8" s="1"/>
      <c r="CB8" s="1"/>
      <c r="CC8">
        <f>(Constants!$C$18/BO8)^(1/LN(Constants!$B$2/Constants!$B$4))</f>
        <v>0.20096440989243611</v>
      </c>
      <c r="CD8">
        <f>ABS((Constants!$C$18/BO8)^(1/LN(Constants!$B$2/Constants!$B$4))-(Constants!$C$18/(BO8+BP8))^(1/LN(Constants!$B$2/Constants!$B$4)))</f>
        <v>1.444867752659923E-3</v>
      </c>
      <c r="CK8">
        <f>BS8*$CC8^(LN(Constants!$B$2/Constants!$B$5))</f>
        <v>22113.613144213257</v>
      </c>
      <c r="CL8" s="33">
        <f>CK8*SQRT((BT8/BS8)^2+((BS8*($CC8+$CD8)^(LN(Constants!$B$2/Constants!$B$5))-CK8)/CK8)^2)</f>
        <v>15.880714766165225</v>
      </c>
    </row>
    <row r="9" spans="1:109">
      <c r="A9" s="73" t="str">
        <f>X9</f>
        <v>[BHT] AB11-2B</v>
      </c>
      <c r="B9" t="str">
        <f>IF(NOT(ISBLANK($J9)),IF($T9&lt;Constants!$B$32,"low spike","OK"),"")</f>
        <v>OK</v>
      </c>
      <c r="C9" t="str">
        <f>IF(NOT(ISBLANK($J9)), IF((ABS($L8-$L10)/$L8)&gt;Constants!$B$33,"variable mass bias","OK"), "")</f>
        <v>OK</v>
      </c>
      <c r="D9" t="str">
        <f>IF(NOT(ISBLANK($J9)), IF((ABS($P8-$P10)/$P8)&gt;Constants!$B$34,"variable IC yield","OK"),"")</f>
        <v>OK</v>
      </c>
      <c r="E9" s="34">
        <f>CE9</f>
        <v>477.83737680618026</v>
      </c>
      <c r="F9" s="34">
        <f>CF9</f>
        <v>0.12505874849152016</v>
      </c>
      <c r="G9" s="34">
        <f>CM9</f>
        <v>17849.336414343074</v>
      </c>
      <c r="H9" s="48">
        <f>CN9</f>
        <v>20.594490952507797</v>
      </c>
      <c r="I9" s="33"/>
      <c r="J9" s="1">
        <v>484.24680000000001</v>
      </c>
      <c r="K9" s="1">
        <v>3.1099999999999999E-2</v>
      </c>
      <c r="L9" s="1">
        <v>140.49109999999999</v>
      </c>
      <c r="M9" s="1">
        <v>4.4999999999999997E-3</v>
      </c>
      <c r="N9" s="1">
        <v>1.000076</v>
      </c>
      <c r="O9" s="1">
        <v>3.3100000000000002E-4</v>
      </c>
      <c r="P9" s="1">
        <v>21369.82</v>
      </c>
      <c r="Q9" s="1">
        <v>7.72</v>
      </c>
      <c r="R9" s="1">
        <v>44.846559999999997</v>
      </c>
      <c r="S9" s="1">
        <v>3.3099999999999997E-2</v>
      </c>
      <c r="T9" s="1">
        <v>9.2610970000000001E-2</v>
      </c>
      <c r="U9" s="1">
        <v>6.86E-5</v>
      </c>
      <c r="V9" s="1">
        <v>130998.7</v>
      </c>
      <c r="W9" s="1">
        <v>103</v>
      </c>
      <c r="X9" t="s">
        <v>328</v>
      </c>
      <c r="Y9" t="s">
        <v>327</v>
      </c>
      <c r="Z9">
        <v>538</v>
      </c>
      <c r="AB9" s="1">
        <f>R9</f>
        <v>44.846559999999997</v>
      </c>
      <c r="AC9" s="1">
        <f>S9</f>
        <v>3.3099999999999997E-2</v>
      </c>
      <c r="AD9" s="1">
        <f>T9</f>
        <v>9.2610970000000001E-2</v>
      </c>
      <c r="AE9" s="1">
        <f>U9</f>
        <v>6.86E-5</v>
      </c>
      <c r="AF9" s="1">
        <f>AVERAGE(AF8/$AB8,AF10/$AB10)*$AB9</f>
        <v>2295.2294675436456</v>
      </c>
      <c r="AG9" s="1">
        <f>AVERAGE(AG8/AF8,AG10/AF10)*AF9</f>
        <v>39.022344935992422</v>
      </c>
      <c r="AH9" s="1">
        <f>AVERAGE(AH8/$AB8,AH10/$AB10)*$AB9</f>
        <v>1145.3288065198462</v>
      </c>
      <c r="AI9" s="1">
        <f>AVERAGE(AI8/AH8,AI10/AH10)*AH9</f>
        <v>37.082206462450756</v>
      </c>
      <c r="AJ9" s="1">
        <f>AVERAGE(AJ8/$AB8,AJ10/$AB10)*$AB9</f>
        <v>338.69539071475555</v>
      </c>
      <c r="AK9" s="1">
        <f>AVERAGE(AK8/AJ8,AK10/AJ10)*AJ9</f>
        <v>10.202086222122809</v>
      </c>
      <c r="AL9" s="1">
        <f>AVERAGE(AL8/$AB8,AL10/$AB10)*$AB9</f>
        <v>185.78057764619857</v>
      </c>
      <c r="AM9" s="1">
        <f>AVERAGE(AM8/AL8,AM10/AL10)*AL9</f>
        <v>12.013769654801468</v>
      </c>
      <c r="AR9" s="1">
        <f>Constants!B$25</f>
        <v>2.2917410000000001E-6</v>
      </c>
      <c r="AS9" s="1">
        <f>R9</f>
        <v>44.846559999999997</v>
      </c>
      <c r="AT9" s="1">
        <f>MAX(0.000001,T9)</f>
        <v>9.2610970000000001E-2</v>
      </c>
      <c r="AU9" s="1">
        <f t="shared" si="17"/>
        <v>699.40964151163928</v>
      </c>
      <c r="AV9" s="1">
        <f>AS9/L9</f>
        <v>0.31921281846323363</v>
      </c>
      <c r="AW9" s="1">
        <f t="shared" si="18"/>
        <v>353.74803907632071</v>
      </c>
      <c r="AX9" s="1">
        <f>V9</f>
        <v>130998.7</v>
      </c>
      <c r="AY9">
        <f t="shared" si="25"/>
        <v>246.64038012506887</v>
      </c>
      <c r="AZ9" s="1">
        <f>AT9/N9</f>
        <v>9.2603932101160316E-2</v>
      </c>
      <c r="BA9" s="1">
        <f t="shared" si="19"/>
        <v>151.0747378476789</v>
      </c>
      <c r="BB9" s="1">
        <f>AL9-BC9</f>
        <v>2.4865366034927092</v>
      </c>
      <c r="BC9" s="1">
        <f t="shared" si="26"/>
        <v>183.29404104270586</v>
      </c>
      <c r="BD9">
        <f>(LN(AF9)-LN(AH9))/(LN(238-236.5))</f>
        <v>1.7144288063839905</v>
      </c>
      <c r="BF9" s="32">
        <f>AY9/AS9/62415093</f>
        <v>8.8114102789145621E-8</v>
      </c>
      <c r="BG9" s="1">
        <f>AY9/AX9</f>
        <v>1.8827696772950333E-3</v>
      </c>
      <c r="BH9" s="1">
        <f>BG9*0.1</f>
        <v>1.8827696772950333E-4</v>
      </c>
      <c r="BI9" s="1">
        <f>AW9/AV9/62415093</f>
        <v>1.7755139808596082E-5</v>
      </c>
      <c r="BJ9" s="1">
        <f>BI9*0.1</f>
        <v>1.7755139808596083E-6</v>
      </c>
      <c r="BK9" s="1">
        <f>AU9/AT9/62415093</f>
        <v>1.209983811563332E-4</v>
      </c>
      <c r="BL9" s="1">
        <f>BK9*0.1</f>
        <v>1.2099838115633321E-5</v>
      </c>
      <c r="BM9" s="1">
        <f>J9/(1-(AU9/62415093)/AT9)</f>
        <v>484.30540016940574</v>
      </c>
      <c r="BN9" s="33">
        <f>SQRT((K9/(1-BK9))^2+(BL9*J9/(1-BK9)^2)^2)</f>
        <v>3.165110131337269E-2</v>
      </c>
      <c r="BO9" s="1">
        <f>L9/(1-AW9/62415093/AV9)</f>
        <v>140.49359448341227</v>
      </c>
      <c r="BP9" s="33">
        <f>SQRT((M9/(1-BI9))^2+(BJ9*L9/(1-BI9)^2)^2)</f>
        <v>4.5069885496772507E-3</v>
      </c>
      <c r="BQ9" s="1">
        <f>N9*(1-BK9)</f>
        <v>0.9999549924229667</v>
      </c>
      <c r="BR9">
        <f>SQRT(O9^2+BL9^2)</f>
        <v>3.3122108339057242E-4</v>
      </c>
      <c r="BS9" s="1">
        <f>P9/(1-BG9)</f>
        <v>21410.130344198991</v>
      </c>
      <c r="BT9" s="1">
        <f>SQRT((Q9/(1-BG9))^2+(BH9*P9/(1-BG9)^2)^2)</f>
        <v>8.7254830462731601</v>
      </c>
      <c r="BU9">
        <f>(Constants!$C$19/$BQ9)^(1/LN(Constants!$B$3/Constants!$B$6))</f>
        <v>0.23000405626871609</v>
      </c>
      <c r="BV9">
        <f>(Constants!$C$19/($BQ9-BR9))^(1/LN(Constants!$B$3/Constants!$B$6))-BU9</f>
        <v>6.0229110785787743E-3</v>
      </c>
      <c r="BW9">
        <f>$BM9*BU9^(LN(Constants!$B$2/Constants!$B$3))</f>
        <v>478.32173438359166</v>
      </c>
      <c r="BX9" s="33">
        <f>BW9*SQRT((BN9/BM9)^2+(((BM9*($BU9+$BV9)^LN(Constants!$B$2/Constants!$B$3))-BW9)/BW9)^2)</f>
        <v>0.10917354050861514</v>
      </c>
      <c r="BY9">
        <f>BO9*BU9^(LN(Constants!$B$2/Constants!$B$4))</f>
        <v>137.89329340459258</v>
      </c>
      <c r="BZ9" s="33">
        <f>BY9*SQRT((BP9/BO9)^2+(((BO9*($BU9+$BV9)^LN(Constants!$B$2/Constants!$B$4))-BY9)/BY9)^2)</f>
        <v>4.5532415280420818E-2</v>
      </c>
      <c r="CA9">
        <f>BS9*BU9^(LN(Constants!$B$2/Constants!$B$5))</f>
        <v>20882.212376269621</v>
      </c>
      <c r="CB9" s="33">
        <f>CA9*SQRT((BT9/BS9)^2+(((BS9*($BU9+$BV9)^LN(Constants!$B$2/Constants!$B$5))-CA9)/CA9)^2)</f>
        <v>12.511964628666197</v>
      </c>
      <c r="CC9">
        <f>(Constants!$C$18/AVERAGE(BO8,BO10))^(1/LN(Constants!$B$2/Constants!$B$4))</f>
        <v>0.20404281444669045</v>
      </c>
      <c r="CD9">
        <f>MAX(ABS((Constants!$C$18/BO8)^(1/LN(Constants!$B$2/Constants!$B$4))-(Constants!$C$18/BO10)^(1/LN(Constants!$B$2/Constants!$B$4))),CD8,CD10)</f>
        <v>6.2045733071898757E-3</v>
      </c>
      <c r="CE9">
        <f>$BM9*CC9^(LN(Constants!$B$2/Constants!$B$3))</f>
        <v>477.83737680618026</v>
      </c>
      <c r="CF9" s="33">
        <f>CE9*SQRT((BN9/BM9)^2+(($BM9*($CC9+$CD9)^(LN(Constants!$B$2/Constants!$B$3))-CE9)/CE9)^2)</f>
        <v>0.12505874849152016</v>
      </c>
      <c r="CG9">
        <f>BO9*CC9^(LN(Constants!$B$2/Constants!$B$4))</f>
        <v>137.68351961414012</v>
      </c>
      <c r="CH9" s="33">
        <f>CG9*SQRT((BP9/BO9)^2+((BO9*($CC9+$CD9)^(LN(Constants!$B$2/Constants!$B$4))-CG9)/CG9)^2)</f>
        <v>5.2622405744375038E-2</v>
      </c>
      <c r="CI9">
        <f>BQ9*$CC9^(LN(Constants!$B$3/Constants!$B$6))</f>
        <v>0.97979137921359416</v>
      </c>
      <c r="CJ9" s="33">
        <f>CI9*SQRT((BR9/BQ9)^2+((BQ9*($CC9+$CD9)^(LN(Constants!$B$3/Constants!$B$6))-CI9)/CI9)^2)</f>
        <v>4.9686481054559935E-4</v>
      </c>
      <c r="CK9">
        <f>BS9*CC9^(LN(Constants!$B$2/Constants!$B$5))</f>
        <v>20839.76868216346</v>
      </c>
      <c r="CL9" s="33">
        <f>CK9*SQRT((BT9/BS9)^2+((BS9*($CC9+$CD9)^(LN(Constants!$B$2/Constants!$B$5))-CK9)/CK9)^2)</f>
        <v>13.588643978393074</v>
      </c>
      <c r="CM9">
        <f>CK9*Constants!$C$17/AVERAGE(CK8,CK10)</f>
        <v>17849.336414343074</v>
      </c>
      <c r="CN9">
        <f>CM9*SQRT(((CK8-CK10)/CK10/4)^2+(CL9/CK9)^2+AVERAGE(CL8/CK8,CL10/CK10)^2)</f>
        <v>20.594490952507797</v>
      </c>
      <c r="CO9">
        <f>1/CM9*CE9*CI9</f>
        <v>2.6229599330343741E-2</v>
      </c>
      <c r="CQ9">
        <f>$K9/$J9</f>
        <v>6.4223449695485858E-5</v>
      </c>
      <c r="CR9">
        <f>$BN9/$BM9</f>
        <v>6.5353599820075129E-5</v>
      </c>
      <c r="CS9">
        <f>$CF9/$CE9</f>
        <v>2.6171822164143158E-4</v>
      </c>
      <c r="CT9">
        <f>$Q9/$P9</f>
        <v>3.6125713740218682E-4</v>
      </c>
      <c r="CU9">
        <f>$BT9/$BS9</f>
        <v>4.0753993114466501E-4</v>
      </c>
      <c r="CV9">
        <f>$CL9/$CK9</f>
        <v>6.520534937618311E-4</v>
      </c>
      <c r="CW9">
        <f>$CN9/$CM9</f>
        <v>1.153795887670021E-3</v>
      </c>
      <c r="CY9" s="82">
        <f>$CQ9/$CS9</f>
        <v>0.24539158677104084</v>
      </c>
      <c r="CZ9" s="82">
        <f>$CR9/$CS9-$CY9</f>
        <v>4.3181942682525287E-3</v>
      </c>
      <c r="DA9" s="82">
        <f>$CS9/$CS9-$CZ9-$CY9</f>
        <v>0.75029021896070658</v>
      </c>
      <c r="DB9" s="82">
        <f>$CT9/$CW9</f>
        <v>0.31310315911396652</v>
      </c>
      <c r="DC9" s="82">
        <f>$CU9/$CW9-$DB9</f>
        <v>4.0113502082193941E-2</v>
      </c>
      <c r="DD9" s="82">
        <f>$CV9/$CW9-$DC9-$DB9</f>
        <v>0.21192098639815532</v>
      </c>
      <c r="DE9" s="82">
        <f>$CW9/$CW9-$DD9-$DC9-$DB9</f>
        <v>0.43486235240568433</v>
      </c>
    </row>
    <row r="10" spans="1:109">
      <c r="A10" s="73" t="str">
        <f t="shared" si="0"/>
        <v>U 13.5 ppb</v>
      </c>
      <c r="B10" s="73"/>
      <c r="C10" s="73"/>
      <c r="J10" s="1">
        <v>-237026.5</v>
      </c>
      <c r="K10" s="1">
        <v>329000</v>
      </c>
      <c r="L10" s="1">
        <v>140.61269999999999</v>
      </c>
      <c r="M10" s="1">
        <v>1.01E-2</v>
      </c>
      <c r="N10" s="1">
        <v>-0.35673759999999999</v>
      </c>
      <c r="O10" s="1">
        <v>0.85499999999999998</v>
      </c>
      <c r="P10" s="1">
        <v>22623.43</v>
      </c>
      <c r="Q10" s="1">
        <v>19.3</v>
      </c>
      <c r="R10" s="1">
        <v>12.458349999999999</v>
      </c>
      <c r="S10" s="1">
        <v>7.3200000000000001E-3</v>
      </c>
      <c r="T10" s="1">
        <v>-1.661058E-6</v>
      </c>
      <c r="U10" s="1">
        <v>5.5400000000000003E-6</v>
      </c>
      <c r="V10" s="1">
        <v>34375.43</v>
      </c>
      <c r="W10" s="1">
        <v>33.799999999999997</v>
      </c>
      <c r="X10" t="s">
        <v>337</v>
      </c>
      <c r="Y10" t="s">
        <v>327</v>
      </c>
      <c r="Z10">
        <v>541</v>
      </c>
      <c r="AB10" s="62" cm="1">
        <f t="array" ref="AB10:AP10">U!A31:O31</f>
        <v>12.333550000000001</v>
      </c>
      <c r="AC10" s="62">
        <v>1.46E-2</v>
      </c>
      <c r="AD10" s="62">
        <v>2.363394E-5</v>
      </c>
      <c r="AE10" s="62">
        <v>5.3499999999999996E-6</v>
      </c>
      <c r="AF10" s="62">
        <v>639.08169999999996</v>
      </c>
      <c r="AG10" s="62">
        <v>15.2</v>
      </c>
      <c r="AH10" s="62">
        <v>303.63760000000002</v>
      </c>
      <c r="AI10" s="62">
        <v>11.6</v>
      </c>
      <c r="AJ10" s="62">
        <v>98.411919999999995</v>
      </c>
      <c r="AK10" s="62">
        <v>3.44</v>
      </c>
      <c r="AL10" s="62">
        <v>52.406320000000001</v>
      </c>
      <c r="AM10" s="62">
        <v>3.36</v>
      </c>
      <c r="AN10" s="63" t="str">
        <v>U 13.5 ppb tail</v>
      </c>
      <c r="AO10" s="63" t="str">
        <v xml:space="preserve"> March 14</v>
      </c>
      <c r="AP10" s="63">
        <v>542</v>
      </c>
      <c r="AQ10" s="1"/>
      <c r="AR10" s="1">
        <f>Constants!B$25</f>
        <v>2.2917410000000001E-6</v>
      </c>
      <c r="AS10" s="1">
        <f t="shared" si="1"/>
        <v>12.458349999999999</v>
      </c>
      <c r="AT10" s="1">
        <f t="shared" si="2"/>
        <v>9.9999999999999995E-7</v>
      </c>
      <c r="AU10" s="1">
        <f t="shared" si="17"/>
        <v>179.07745370519262</v>
      </c>
      <c r="AV10" s="1">
        <f t="shared" si="3"/>
        <v>8.8600460698073508E-2</v>
      </c>
      <c r="AW10" s="1">
        <f t="shared" si="18"/>
        <v>85.082519246636465</v>
      </c>
      <c r="AX10" s="1">
        <f t="shared" si="4"/>
        <v>34375.43</v>
      </c>
      <c r="AY10">
        <f t="shared" si="25"/>
        <v>64.546913479115659</v>
      </c>
      <c r="AZ10" s="1">
        <f t="shared" si="5"/>
        <v>-2.8031808253461365E-6</v>
      </c>
      <c r="BA10" s="1">
        <f t="shared" si="19"/>
        <v>34.589736853044442</v>
      </c>
      <c r="BB10" s="1">
        <f t="shared" si="6"/>
        <v>9.8229244236908784</v>
      </c>
      <c r="BC10" s="1">
        <f t="shared" si="20"/>
        <v>42.583395576309123</v>
      </c>
      <c r="BD10">
        <f t="shared" si="7"/>
        <v>1.8354166667549354</v>
      </c>
      <c r="BE10" s="1"/>
      <c r="BF10" s="32">
        <f t="shared" si="8"/>
        <v>8.300902835134631E-8</v>
      </c>
      <c r="BG10" s="1">
        <f t="shared" si="9"/>
        <v>1.8777049037383869E-3</v>
      </c>
      <c r="BH10" s="1">
        <f t="shared" si="10"/>
        <v>1.877704903738387E-4</v>
      </c>
      <c r="BI10" s="1">
        <f t="shared" si="11"/>
        <v>1.5385610672779169E-5</v>
      </c>
      <c r="BJ10" s="1">
        <f t="shared" si="12"/>
        <v>1.5385610672779169E-6</v>
      </c>
      <c r="BK10" s="1"/>
      <c r="BL10" s="1"/>
      <c r="BM10" s="1"/>
      <c r="BN10" s="1"/>
      <c r="BO10" s="1">
        <f t="shared" si="27"/>
        <v>140.61486344554376</v>
      </c>
      <c r="BP10" s="33">
        <f t="shared" si="28"/>
        <v>1.0102472244516271E-2</v>
      </c>
      <c r="BQ10" s="1"/>
      <c r="BR10" s="1"/>
      <c r="BS10" s="1">
        <f t="shared" si="29"/>
        <v>22665.990040647408</v>
      </c>
      <c r="BT10" s="1">
        <f t="shared" si="30"/>
        <v>19.800873440047575</v>
      </c>
      <c r="BU10" s="1"/>
      <c r="BV10" s="1"/>
      <c r="BW10" s="1"/>
      <c r="BX10" s="1"/>
      <c r="BY10" s="1"/>
      <c r="BZ10" s="1"/>
      <c r="CA10" s="1"/>
      <c r="CB10" s="1"/>
      <c r="CC10">
        <f>(Constants!$C$18/BO10)^(1/LN(Constants!$B$2/Constants!$B$4))</f>
        <v>0.20716898319962598</v>
      </c>
      <c r="CD10">
        <f>ABS((Constants!$C$18/BO10)^(1/LN(Constants!$B$2/Constants!$B$4))-(Constants!$C$18/(BO10+BP10))^(1/LN(Constants!$B$2/Constants!$B$4)))</f>
        <v>1.1675561907593113E-3</v>
      </c>
      <c r="CK10">
        <f>BS10*$CC10^(LN(Constants!$B$2/Constants!$B$5))</f>
        <v>22067.871940535231</v>
      </c>
      <c r="CL10" s="33">
        <f>CK10*SQRT((BT10/BS10)^2+((BS10*($CC10+$CD10)^(LN(Constants!$B$2/Constants!$B$5))-CK10)/CK10)^2)</f>
        <v>19.393154512408291</v>
      </c>
    </row>
    <row r="11" spans="1:109">
      <c r="A11" s="73" t="str">
        <f>X11</f>
        <v>[BHT] AB13-2A</v>
      </c>
      <c r="B11" t="str">
        <f>IF(NOT(ISBLANK($J11)),IF($T11&lt;Constants!$B$32,"low spike","OK"),"")</f>
        <v>OK</v>
      </c>
      <c r="C11" t="str">
        <f>IF(NOT(ISBLANK($J11)), IF((ABS($L10-$L12)/$L10)&gt;Constants!$B$33,"variable mass bias","OK"), "")</f>
        <v>OK</v>
      </c>
      <c r="D11" t="str">
        <f>IF(NOT(ISBLANK($J11)), IF((ABS($P10-$P12)/$P10)&gt;Constants!$B$34,"variable IC yield","OK"),"")</f>
        <v>OK</v>
      </c>
      <c r="E11" s="34">
        <f>CE11</f>
        <v>533.25588790050006</v>
      </c>
      <c r="F11" s="34">
        <f>CF11</f>
        <v>8.6040317106768877E-2</v>
      </c>
      <c r="G11" s="34">
        <f>CM11</f>
        <v>17841.551387460258</v>
      </c>
      <c r="H11" s="48">
        <f>CN11</f>
        <v>17.790286191188624</v>
      </c>
      <c r="I11" s="33"/>
      <c r="J11" s="1">
        <v>540.36030000000005</v>
      </c>
      <c r="K11" s="1">
        <v>7.3099999999999998E-2</v>
      </c>
      <c r="L11" s="1">
        <v>140.4665</v>
      </c>
      <c r="M11" s="1">
        <v>7.45E-3</v>
      </c>
      <c r="N11" s="1">
        <v>1.0000100000000001</v>
      </c>
      <c r="O11" s="1">
        <v>2.2499999999999999E-4</v>
      </c>
      <c r="P11" s="1">
        <v>21326.94</v>
      </c>
      <c r="Q11" s="1">
        <v>10.8</v>
      </c>
      <c r="R11" s="1">
        <v>24.212350000000001</v>
      </c>
      <c r="S11" s="1">
        <v>2.0199999999999999E-2</v>
      </c>
      <c r="T11" s="1">
        <v>4.480787E-2</v>
      </c>
      <c r="U11" s="1">
        <v>3.9900000000000001E-5</v>
      </c>
      <c r="V11" s="1">
        <v>70867.539999999994</v>
      </c>
      <c r="W11" s="1">
        <v>58.2</v>
      </c>
      <c r="X11" t="s">
        <v>329</v>
      </c>
      <c r="Y11" t="s">
        <v>327</v>
      </c>
      <c r="Z11">
        <v>544</v>
      </c>
      <c r="AB11" s="1">
        <f>R11</f>
        <v>24.212350000000001</v>
      </c>
      <c r="AC11" s="1">
        <f>S11</f>
        <v>2.0199999999999999E-2</v>
      </c>
      <c r="AD11" s="1">
        <f>T11</f>
        <v>4.480787E-2</v>
      </c>
      <c r="AE11" s="1">
        <f>U11</f>
        <v>3.9900000000000001E-5</v>
      </c>
      <c r="AF11" s="1">
        <f>AVERAGE(AF10/$AB10,AF12/$AB12)*$AB11</f>
        <v>1271.5750214612722</v>
      </c>
      <c r="AG11" s="1">
        <f>AVERAGE(AG10/AF10,AG12/AF12)*AF11</f>
        <v>27.714575283184427</v>
      </c>
      <c r="AH11" s="1">
        <f>AVERAGE(AH10/$AB10,AH12/$AB12)*$AB11</f>
        <v>599.16092866436043</v>
      </c>
      <c r="AI11" s="1">
        <f>AVERAGE(AI10/AH10,AI12/AH12)*AH11</f>
        <v>20.293845678570452</v>
      </c>
      <c r="AJ11" s="1">
        <f>AVERAGE(AJ10/$AB10,AJ12/$AB12)*$AB11</f>
        <v>192.1730746843177</v>
      </c>
      <c r="AK11" s="1">
        <f>AVERAGE(AK10/AJ10,AK12/AJ12)*AJ11</f>
        <v>6.435813815880751</v>
      </c>
      <c r="AL11" s="1">
        <f>AVERAGE(AL10/$AB10,AL12/$AB12)*$AB11</f>
        <v>97.692523731987464</v>
      </c>
      <c r="AM11" s="1">
        <f>AVERAGE(AM10/AL10,AM12/AL12)*AL11</f>
        <v>6.0398791860135717</v>
      </c>
      <c r="AR11" s="1">
        <f>Constants!B$25</f>
        <v>2.2917410000000001E-6</v>
      </c>
      <c r="AS11" s="1">
        <f>R11</f>
        <v>24.212350000000001</v>
      </c>
      <c r="AT11" s="1">
        <f>MAX(0.000001,T11)</f>
        <v>4.480787E-2</v>
      </c>
      <c r="AU11" s="1">
        <f t="shared" si="17"/>
        <v>351.29846927092899</v>
      </c>
      <c r="AV11" s="1">
        <f>AS11/L11</f>
        <v>0.17237099237184667</v>
      </c>
      <c r="AW11" s="1">
        <f t="shared" si="18"/>
        <v>167.88359892483635</v>
      </c>
      <c r="AX11" s="1">
        <f>V11</f>
        <v>70867.539999999994</v>
      </c>
      <c r="AY11">
        <f t="shared" si="25"/>
        <v>128.16529757207269</v>
      </c>
      <c r="AZ11" s="1">
        <f>AT11/N11</f>
        <v>4.4807421925780737E-2</v>
      </c>
      <c r="BA11" s="1">
        <f t="shared" si="19"/>
        <v>66.951909353129892</v>
      </c>
      <c r="BB11" s="1">
        <f>AL11-BC11</f>
        <v>15.000094825828711</v>
      </c>
      <c r="BC11" s="1">
        <f t="shared" si="26"/>
        <v>82.692428906158753</v>
      </c>
      <c r="BD11">
        <f>(LN(AF11)-LN(AH11))/(LN(238-236.5))</f>
        <v>1.8558473865195222</v>
      </c>
      <c r="BF11" s="32">
        <f>AY11/AS11/62415093</f>
        <v>8.4809379361966415E-8</v>
      </c>
      <c r="BG11" s="1">
        <f>AY11/AX11</f>
        <v>1.8085190705374096E-3</v>
      </c>
      <c r="BH11" s="1">
        <f>BG11*0.1</f>
        <v>1.8085190705374098E-4</v>
      </c>
      <c r="BI11" s="1">
        <f>AW11/AV11/62415093</f>
        <v>1.5604665611559764E-5</v>
      </c>
      <c r="BJ11" s="1">
        <f>BI11*0.1</f>
        <v>1.5604665611559765E-6</v>
      </c>
      <c r="BK11" s="1">
        <f>AU11/AT11/62415093</f>
        <v>1.2561234860914818E-4</v>
      </c>
      <c r="BL11" s="1">
        <f>BK11*0.1</f>
        <v>1.2561234860914818E-5</v>
      </c>
      <c r="BM11" s="1">
        <f>J11/(1-(AU11/62415093)/AT11)</f>
        <v>540.42818445350383</v>
      </c>
      <c r="BN11" s="33">
        <f>SQRT((K11/(1-BK11))^2+(BL11*J11/(1-BK11)^2)^2)</f>
        <v>7.3423751398512649E-2</v>
      </c>
      <c r="BO11" s="1">
        <f>L11/(1-AW11/62415093/AV11)</f>
        <v>140.46869196696704</v>
      </c>
      <c r="BP11" s="33">
        <f>SQRT((M11/(1-BI11))^2+(BJ11*L11/(1-BI11)^2)^2)</f>
        <v>7.4533402530579688E-3</v>
      </c>
      <c r="BQ11" s="1">
        <f>N11*(1-BK11)</f>
        <v>0.99988438639526733</v>
      </c>
      <c r="BR11">
        <f>SQRT(O11^2+BL11^2)</f>
        <v>2.2535035970956661E-4</v>
      </c>
      <c r="BS11" s="1">
        <f>P11/(1-BG11)</f>
        <v>21365.580058989774</v>
      </c>
      <c r="BT11" s="1">
        <f>SQRT((Q11/(1-BG11))^2+(BH11*P11/(1-BG11)^2)^2)</f>
        <v>11.491202346760677</v>
      </c>
      <c r="BU11">
        <f>(Constants!$C$19/$BQ11)^(1/LN(Constants!$B$3/Constants!$B$6))</f>
        <v>0.23127476326345042</v>
      </c>
      <c r="BV11">
        <f>(Constants!$C$19/($BQ11-BR11))^(1/LN(Constants!$B$3/Constants!$B$6))-BU11</f>
        <v>4.1034257923387996E-3</v>
      </c>
      <c r="BW11">
        <f>$BM11*BU11^(LN(Constants!$B$2/Constants!$B$3))</f>
        <v>533.77598982014956</v>
      </c>
      <c r="BX11" s="33">
        <f>BW11*SQRT((BN11/BM11)^2+(((BM11*($BU11+$BV11)^LN(Constants!$B$2/Constants!$B$3))-BW11)/BW11)^2)</f>
        <v>0.1075463039667519</v>
      </c>
      <c r="BY11">
        <f>BO11*BU11^(LN(Constants!$B$2/Constants!$B$4))</f>
        <v>137.87850775233269</v>
      </c>
      <c r="BZ11" s="33">
        <f>BY11*SQRT((BP11/BO11)^2+(((BO11*($BU11+$BV11)^LN(Constants!$B$2/Constants!$B$4))-BY11)/BY11)^2)</f>
        <v>3.1683821332854877E-2</v>
      </c>
      <c r="CA11">
        <f>BS11*BU11^(LN(Constants!$B$2/Constants!$B$5))</f>
        <v>20840.711085464922</v>
      </c>
      <c r="CB11" s="33">
        <f>CA11*SQRT((BT11/BS11)^2+(((BS11*($BU11+$BV11)^LN(Constants!$B$2/Constants!$B$5))-CA11)/CA11)^2)</f>
        <v>12.822678310226008</v>
      </c>
      <c r="CC11">
        <f>(Constants!$C$18/AVERAGE(BO10,BO12))^(1/LN(Constants!$B$2/Constants!$B$4))</f>
        <v>0.20610050928474008</v>
      </c>
      <c r="CD11">
        <f>MAX(ABS((Constants!$C$18/BO10)^(1/LN(Constants!$B$2/Constants!$B$4))-(Constants!$C$18/BO12)^(1/LN(Constants!$B$2/Constants!$B$4))),CD10,CD12)</f>
        <v>2.1313674927850856E-3</v>
      </c>
      <c r="CE11">
        <f>$BM11*CC11^(LN(Constants!$B$2/Constants!$B$3))</f>
        <v>533.25588790050006</v>
      </c>
      <c r="CF11" s="33">
        <f>CE11*SQRT((BN11/BM11)^2+(($BM11*($CC11+$CD11)^(LN(Constants!$B$2/Constants!$B$3))-CE11)/CE11)^2)</f>
        <v>8.6040317106768877E-2</v>
      </c>
      <c r="CG11">
        <f>BO11*CC11^(LN(Constants!$B$2/Constants!$B$4))</f>
        <v>137.6766747079208</v>
      </c>
      <c r="CH11" s="33">
        <f>CG11*SQRT((BP11/BO11)^2+((BO11*($CC11+$CD11)^(LN(Constants!$B$2/Constants!$B$4))-CG11)/CG11)^2)</f>
        <v>1.9432078000123424E-2</v>
      </c>
      <c r="CI11">
        <f>BQ11*$CC11^(LN(Constants!$B$3/Constants!$B$6))</f>
        <v>0.97984819777754739</v>
      </c>
      <c r="CJ11" s="33">
        <f>CI11*SQRT((BR11/BQ11)^2+((BQ11*($CC11+$CD11)^(LN(Constants!$B$3/Constants!$B$6))-CI11)/CI11)^2)</f>
        <v>2.5585746622639458E-4</v>
      </c>
      <c r="CK11">
        <f>BS11*CC11^(LN(Constants!$B$2/Constants!$B$5))</f>
        <v>20799.950443539157</v>
      </c>
      <c r="CL11" s="33">
        <f>CK11*SQRT((BT11/BS11)^2+((BS11*($CC11+$CD11)^(LN(Constants!$B$2/Constants!$B$5))-CK11)/CK11)^2)</f>
        <v>11.762939398490536</v>
      </c>
      <c r="CM11">
        <f>CK11*Constants!$C$17/AVERAGE(CK10,CK12)</f>
        <v>17841.551387460258</v>
      </c>
      <c r="CN11">
        <f>CM11*SQRT(((CK10-CK12)/CK12/4)^2+(CL11/CK11)^2+AVERAGE(CL10/CK10,CL12/CK12)^2)</f>
        <v>17.790286191188624</v>
      </c>
      <c r="CO11">
        <f>1/CM11*CE11*CI11</f>
        <v>2.9286120324761175E-2</v>
      </c>
      <c r="CQ11">
        <f>$K11/$J11</f>
        <v>1.3528010847577068E-4</v>
      </c>
      <c r="CR11">
        <f>$BN11/$BM11</f>
        <v>1.3586218023170054E-4</v>
      </c>
      <c r="CS11">
        <f>$CF11/$CE11</f>
        <v>1.6134902409708243E-4</v>
      </c>
      <c r="CT11">
        <f>$Q11/$P11</f>
        <v>5.0640176227813283E-4</v>
      </c>
      <c r="CU11">
        <f>$BT11/$BS11</f>
        <v>5.3783713407423467E-4</v>
      </c>
      <c r="CV11">
        <f>$CL11/$CK11</f>
        <v>5.6552728000101166E-4</v>
      </c>
      <c r="CW11">
        <f>$CN11/$CM11</f>
        <v>9.971266402142773E-4</v>
      </c>
      <c r="CY11" s="82">
        <f>$CQ11/$CS11</f>
        <v>0.83843152589738446</v>
      </c>
      <c r="CZ11" s="82">
        <f>$CR11/$CS11-$CY11</f>
        <v>3.6075319276777096E-3</v>
      </c>
      <c r="DA11" s="82">
        <f>$CS11/$CS11-$CZ11-$CY11</f>
        <v>0.15796094217493784</v>
      </c>
      <c r="DB11" s="82">
        <f>$CT11/$CW11</f>
        <v>0.50786102973771696</v>
      </c>
      <c r="DC11" s="82">
        <f>$CU11/$CW11-$DB11</f>
        <v>3.1525957213766276E-2</v>
      </c>
      <c r="DD11" s="82">
        <f>$CV11/$CW11-$DC11-$DB11</f>
        <v>2.7769938952615369E-2</v>
      </c>
      <c r="DE11" s="82">
        <f>$CW11/$CW11-$DD11-$DC11-$DB11</f>
        <v>0.43284307409590139</v>
      </c>
    </row>
    <row r="12" spans="1:109">
      <c r="A12" s="73" t="str">
        <f t="shared" si="0"/>
        <v>U 13.5 ppb</v>
      </c>
      <c r="B12" s="73"/>
      <c r="C12" s="73"/>
      <c r="J12" s="1">
        <v>-45751.53</v>
      </c>
      <c r="K12" s="1">
        <v>327000</v>
      </c>
      <c r="L12" s="1">
        <v>140.63120000000001</v>
      </c>
      <c r="M12" s="1">
        <v>8.5599999999999999E-3</v>
      </c>
      <c r="N12" s="1">
        <v>0.42529899999999998</v>
      </c>
      <c r="O12" s="1">
        <v>0.89900000000000002</v>
      </c>
      <c r="P12" s="1">
        <v>22610.58</v>
      </c>
      <c r="Q12" s="1">
        <v>15.3</v>
      </c>
      <c r="R12" s="1">
        <v>12.606629999999999</v>
      </c>
      <c r="S12" s="1">
        <v>1.23E-2</v>
      </c>
      <c r="T12" s="1">
        <v>-1.028124E-5</v>
      </c>
      <c r="U12" s="1">
        <v>4.4900000000000002E-6</v>
      </c>
      <c r="V12" s="1">
        <v>34830.54</v>
      </c>
      <c r="W12" s="1">
        <v>37.9</v>
      </c>
      <c r="X12" t="s">
        <v>337</v>
      </c>
      <c r="Y12" t="s">
        <v>327</v>
      </c>
      <c r="Z12">
        <v>547</v>
      </c>
      <c r="AB12" s="62" cm="1">
        <f t="array" ref="AB12:AP12">U!A32:O32</f>
        <v>12.61748</v>
      </c>
      <c r="AC12" s="62">
        <v>3.3000000000000002E-2</v>
      </c>
      <c r="AD12" s="62">
        <v>1.440793E-5</v>
      </c>
      <c r="AE12" s="62">
        <v>7.1400000000000002E-6</v>
      </c>
      <c r="AF12" s="62">
        <v>671.48609999999996</v>
      </c>
      <c r="AG12" s="62">
        <v>13.3</v>
      </c>
      <c r="AH12" s="62">
        <v>313.83890000000002</v>
      </c>
      <c r="AI12" s="62">
        <v>9.27</v>
      </c>
      <c r="AJ12" s="62">
        <v>99.61206</v>
      </c>
      <c r="AK12" s="62">
        <v>3.19</v>
      </c>
      <c r="AL12" s="62">
        <v>48.20581</v>
      </c>
      <c r="AM12" s="62">
        <v>2.87</v>
      </c>
      <c r="AN12" s="63" t="str">
        <v>U 13.5 ppb tail</v>
      </c>
      <c r="AO12" s="63" t="str">
        <v xml:space="preserve"> March 14</v>
      </c>
      <c r="AP12" s="63">
        <v>548</v>
      </c>
      <c r="AQ12" s="1"/>
      <c r="AR12" s="1">
        <f>Constants!B$25</f>
        <v>2.2917410000000001E-6</v>
      </c>
      <c r="AS12" s="1">
        <f t="shared" si="1"/>
        <v>12.606629999999999</v>
      </c>
      <c r="AT12" s="1">
        <f t="shared" si="2"/>
        <v>9.9999999999999995E-7</v>
      </c>
      <c r="AU12" s="1">
        <f t="shared" si="17"/>
        <v>182.95055350615081</v>
      </c>
      <c r="AV12" s="1">
        <f t="shared" si="3"/>
        <v>8.964319439782921E-2</v>
      </c>
      <c r="AW12" s="1">
        <f t="shared" si="18"/>
        <v>85.507408467794789</v>
      </c>
      <c r="AX12" s="1">
        <f t="shared" si="4"/>
        <v>34830.54</v>
      </c>
      <c r="AY12">
        <f t="shared" si="25"/>
        <v>60.630928520711819</v>
      </c>
      <c r="AZ12" s="1">
        <f t="shared" si="5"/>
        <v>2.3512869769268209E-6</v>
      </c>
      <c r="BA12" s="1">
        <f t="shared" si="19"/>
        <v>34.098116258482825</v>
      </c>
      <c r="BB12" s="1">
        <f t="shared" si="6"/>
        <v>6.0097626954995462</v>
      </c>
      <c r="BC12" s="1">
        <f t="shared" si="20"/>
        <v>42.196047304500453</v>
      </c>
      <c r="BD12">
        <f t="shared" si="7"/>
        <v>1.875903755191016</v>
      </c>
      <c r="BE12" s="1"/>
      <c r="BF12" s="32">
        <f t="shared" si="8"/>
        <v>7.7055845585510432E-8</v>
      </c>
      <c r="BG12" s="1">
        <f t="shared" si="9"/>
        <v>1.7407404111653686E-3</v>
      </c>
      <c r="BH12" s="1">
        <f t="shared" si="10"/>
        <v>1.7407404111653688E-4</v>
      </c>
      <c r="BI12" s="1">
        <f t="shared" si="11"/>
        <v>1.5282584233058067E-5</v>
      </c>
      <c r="BJ12" s="1">
        <f t="shared" si="12"/>
        <v>1.5282584233058067E-6</v>
      </c>
      <c r="BK12" s="1"/>
      <c r="BL12" s="1"/>
      <c r="BM12" s="1"/>
      <c r="BN12" s="1"/>
      <c r="BO12" s="1">
        <f t="shared" si="27"/>
        <v>140.63334924100576</v>
      </c>
      <c r="BP12" s="33">
        <f t="shared" si="28"/>
        <v>8.5628285894433238E-3</v>
      </c>
      <c r="BQ12" s="1"/>
      <c r="BR12" s="1"/>
      <c r="BS12" s="1">
        <f t="shared" si="29"/>
        <v>22650.00778386258</v>
      </c>
      <c r="BT12" s="1">
        <f t="shared" si="30"/>
        <v>15.827409049234666</v>
      </c>
      <c r="BU12" s="1"/>
      <c r="BV12" s="1"/>
      <c r="BW12" s="1"/>
      <c r="BX12" s="1"/>
      <c r="BY12" s="1"/>
      <c r="BZ12" s="1"/>
      <c r="CA12" s="1"/>
      <c r="CB12" s="1"/>
      <c r="CC12">
        <f>(Constants!$C$18/BO12)^(1/LN(Constants!$B$2/Constants!$B$4))</f>
        <v>0.2050376157068409</v>
      </c>
      <c r="CD12">
        <f>ABS((Constants!$C$18/BO12)^(1/LN(Constants!$B$2/Constants!$B$4))-(Constants!$C$18/(BO12+BP12))^(1/LN(Constants!$B$2/Constants!$B$4)))</f>
        <v>9.7973467182077556E-4</v>
      </c>
      <c r="CK12">
        <f>BS12*$CC12^(LN(Constants!$B$2/Constants!$B$5))</f>
        <v>22048.437656702961</v>
      </c>
      <c r="CL12" s="33">
        <f>CK12*SQRT((BT12/BS12)^2+((BS12*($CC12+$CD12)^(LN(Constants!$B$2/Constants!$B$5))-CK12)/CK12)^2)</f>
        <v>15.510164845899583</v>
      </c>
      <c r="CR12" s="1"/>
      <c r="CS12" s="1"/>
      <c r="CU12" s="1"/>
      <c r="CV12" s="1"/>
      <c r="CW12" s="1"/>
    </row>
    <row r="13" spans="1:109">
      <c r="A13" s="73" t="str">
        <f>X13</f>
        <v>[BHT] AB13-2B</v>
      </c>
      <c r="B13" t="str">
        <f>IF(NOT(ISBLANK($J13)),IF($T13&lt;Constants!$B$32,"low spike","OK"),"")</f>
        <v>OK</v>
      </c>
      <c r="C13" t="str">
        <f>IF(NOT(ISBLANK($J13)), IF((ABS($L12-$L14)/$L12)&gt;Constants!$B$33,"variable mass bias","OK"), "")</f>
        <v>OK</v>
      </c>
      <c r="D13" t="str">
        <f>IF(NOT(ISBLANK($J13)), IF((ABS($P12-$P14)/$P12)&gt;Constants!$B$34,"variable IC yield","OK"),"")</f>
        <v>OK</v>
      </c>
      <c r="E13" s="34">
        <f>CE13</f>
        <v>938.05123365151587</v>
      </c>
      <c r="F13" s="34">
        <f>CF13</f>
        <v>0.27712208499927438</v>
      </c>
      <c r="G13" s="34">
        <f>CM13</f>
        <v>17948.50730151037</v>
      </c>
      <c r="H13" s="48">
        <f>CN13</f>
        <v>17.433020042707533</v>
      </c>
      <c r="I13" s="33"/>
      <c r="J13" s="1">
        <v>950.37950000000001</v>
      </c>
      <c r="K13" s="1">
        <v>0.16200000000000001</v>
      </c>
      <c r="L13" s="1">
        <v>140.45679999999999</v>
      </c>
      <c r="M13" s="1">
        <v>5.8399999999999997E-3</v>
      </c>
      <c r="N13" s="1">
        <v>1.0002390000000001</v>
      </c>
      <c r="O13" s="1">
        <v>2.6699999999999998E-4</v>
      </c>
      <c r="P13" s="1">
        <v>21439.63</v>
      </c>
      <c r="Q13" s="1">
        <v>9.18</v>
      </c>
      <c r="R13" s="1">
        <v>38.442689999999999</v>
      </c>
      <c r="S13" s="1">
        <v>5.0500000000000003E-2</v>
      </c>
      <c r="T13" s="1">
        <v>4.0449829999999999E-2</v>
      </c>
      <c r="U13" s="1">
        <v>5.2899999999999998E-5</v>
      </c>
      <c r="V13" s="1">
        <v>112006</v>
      </c>
      <c r="W13" s="1">
        <v>119</v>
      </c>
      <c r="X13" t="s">
        <v>330</v>
      </c>
      <c r="Y13" t="s">
        <v>327</v>
      </c>
      <c r="Z13">
        <v>550</v>
      </c>
      <c r="AB13" s="1">
        <f>R13</f>
        <v>38.442689999999999</v>
      </c>
      <c r="AC13" s="1">
        <f>S13</f>
        <v>5.0500000000000003E-2</v>
      </c>
      <c r="AD13" s="1">
        <f>T13</f>
        <v>4.0449829999999999E-2</v>
      </c>
      <c r="AE13" s="1">
        <f>U13</f>
        <v>5.2899999999999998E-5</v>
      </c>
      <c r="AF13" s="1">
        <f>AVERAGE(AF12/$AB12,AF14/$AB14)*$AB13</f>
        <v>2050.7688862550926</v>
      </c>
      <c r="AG13" s="1">
        <f>AVERAGE(AG12/AF12,AG14/AF14)*AF13</f>
        <v>41.202229554081377</v>
      </c>
      <c r="AH13" s="1">
        <f>AVERAGE(AH12/$AB12,AH14/$AB14)*$AB13</f>
        <v>968.94365481823525</v>
      </c>
      <c r="AI13" s="1">
        <f>AVERAGE(AI12/AH12,AI14/AH14)*AH13</f>
        <v>25.798738360249146</v>
      </c>
      <c r="AJ13" s="1">
        <f>AVERAGE(AJ12/$AB12,AJ14/$AB14)*$AB13</f>
        <v>285.61432685954372</v>
      </c>
      <c r="AK13" s="1">
        <f>AVERAGE(AK12/AJ12,AK14/AJ14)*AJ13</f>
        <v>10.984264761947237</v>
      </c>
      <c r="AL13" s="1">
        <f>AVERAGE(AL12/$AB12,AL14/$AB14)*$AB13</f>
        <v>151.44901308350049</v>
      </c>
      <c r="AM13" s="1">
        <f>AVERAGE(AM12/AL12,AM14/AL14)*AL13</f>
        <v>9.1779696275431366</v>
      </c>
      <c r="AR13" s="1">
        <f>Constants!B$25</f>
        <v>2.2917410000000001E-6</v>
      </c>
      <c r="AS13" s="1">
        <f>R13</f>
        <v>38.442689999999999</v>
      </c>
      <c r="AT13" s="1">
        <f>MAX(0.000001,T13)</f>
        <v>4.0449829999999999E-2</v>
      </c>
      <c r="AU13" s="1">
        <f t="shared" si="17"/>
        <v>569.20503859982819</v>
      </c>
      <c r="AV13" s="1">
        <f>AS13/L13</f>
        <v>0.27369760666624898</v>
      </c>
      <c r="AW13" s="1">
        <f t="shared" si="18"/>
        <v>271.09483155127822</v>
      </c>
      <c r="AX13" s="1">
        <f>V13</f>
        <v>112006</v>
      </c>
      <c r="AY13">
        <f t="shared" si="25"/>
        <v>196.05813330899062</v>
      </c>
      <c r="AZ13" s="1">
        <f>AT13/N13</f>
        <v>4.0440164800612646E-2</v>
      </c>
      <c r="BA13" s="1">
        <f t="shared" si="19"/>
        <v>108.90864069744478</v>
      </c>
      <c r="BB13" s="1">
        <f>AL13-BC13</f>
        <v>17.087188765278199</v>
      </c>
      <c r="BC13" s="1">
        <f t="shared" si="26"/>
        <v>134.36182431822229</v>
      </c>
      <c r="BD13">
        <f>(LN(AF13)-LN(AH13))/(LN(238-236.5))</f>
        <v>1.8491445770489714</v>
      </c>
      <c r="BF13" s="32">
        <f>AY13/AS13/62415093</f>
        <v>8.171117805296368E-8</v>
      </c>
      <c r="BG13" s="1">
        <f>AY13/AX13</f>
        <v>1.7504252746191331E-3</v>
      </c>
      <c r="BH13" s="1">
        <f>BG13*0.1</f>
        <v>1.7504252746191332E-4</v>
      </c>
      <c r="BI13" s="1">
        <f>AW13/AV13/62415093</f>
        <v>1.5869403985843611E-5</v>
      </c>
      <c r="BJ13" s="1">
        <f>BI13*0.1</f>
        <v>1.5869403985843613E-6</v>
      </c>
      <c r="BK13" s="1">
        <f>AU13/AT13/62415093</f>
        <v>2.2545631955571852E-4</v>
      </c>
      <c r="BL13" s="1">
        <f>BK13*0.1</f>
        <v>2.2545631955571852E-5</v>
      </c>
      <c r="BM13" s="1">
        <f>J13/(1-(AU13/62415093)/AT13)</f>
        <v>950.59381738345974</v>
      </c>
      <c r="BN13" s="33">
        <f>SQRT((K13/(1-BK13))^2+(BL13*J13/(1-BK13)^2)^2)</f>
        <v>0.16344835375743458</v>
      </c>
      <c r="BO13" s="1">
        <f>L13/(1-AW13/62415093/AV13)</f>
        <v>140.45902900107467</v>
      </c>
      <c r="BP13" s="33">
        <f>SQRT((M13/(1-BI13))^2+(BJ13*L13/(1-BI13)^2)^2)</f>
        <v>5.8443450045089817E-3</v>
      </c>
      <c r="BQ13" s="1">
        <f>N13*(1-BK13)</f>
        <v>1.0000134897963839</v>
      </c>
      <c r="BR13">
        <f>SQRT(O13^2+BL13^2)</f>
        <v>2.6795019223780394E-4</v>
      </c>
      <c r="BS13" s="1">
        <f>P13/(1-BG13)</f>
        <v>21477.224276201727</v>
      </c>
      <c r="BT13" s="1">
        <f>SQRT((Q13/(1-BG13))^2+(BH13*P13/(1-BG13)^2)^2)</f>
        <v>9.9373591222145681</v>
      </c>
      <c r="BU13">
        <f>(Constants!$C$19/$BQ13)^(1/LN(Constants!$B$3/Constants!$B$6))</f>
        <v>0.22895662800761274</v>
      </c>
      <c r="BV13">
        <f>(Constants!$C$19/($BQ13-BR13))^(1/LN(Constants!$B$3/Constants!$B$6))-BU13</f>
        <v>4.8377598939259858E-3</v>
      </c>
      <c r="BW13">
        <f>$BM13*BU13^(LN(Constants!$B$2/Constants!$B$3))</f>
        <v>938.81283938896559</v>
      </c>
      <c r="BX13" s="33">
        <f>BW13*SQRT((BN13/BM13)^2+(((BM13*($BU13+$BV13)^LN(Constants!$B$2/Constants!$B$3))-BW13)/BW13)^2)</f>
        <v>0.23159491283723127</v>
      </c>
      <c r="BY13">
        <f>BO13*BU13^(LN(Constants!$B$2/Constants!$B$4))</f>
        <v>137.85136924893331</v>
      </c>
      <c r="BZ13" s="33">
        <f>BY13*SQRT((BP13/BO13)^2+(((BO13*($BU13+$BV13)^LN(Constants!$B$2/Constants!$B$4))-BY13)/BY13)^2)</f>
        <v>3.7091011125634232E-2</v>
      </c>
      <c r="CA13">
        <f>BS13*BU13^(LN(Constants!$B$2/Constants!$B$5))</f>
        <v>20946.027749043911</v>
      </c>
      <c r="CB13" s="33">
        <f>CA13*SQRT((BT13/BS13)^2+(((BS13*($BU13+$BV13)^LN(Constants!$B$2/Constants!$B$5))-CA13)/CA13)^2)</f>
        <v>12.218965054572372</v>
      </c>
      <c r="CC13">
        <f>(Constants!$C$18/AVERAGE(BO12,BO14))^(1/LN(Constants!$B$2/Constants!$B$4))</f>
        <v>0.20801137232146055</v>
      </c>
      <c r="CD13">
        <f>MAX(ABS((Constants!$C$18/BO12)^(1/LN(Constants!$B$2/Constants!$B$4))-(Constants!$C$18/BO14)^(1/LN(Constants!$B$2/Constants!$B$4))),CD12,CD14)</f>
        <v>5.99119930899919E-3</v>
      </c>
      <c r="CE13">
        <f>$BM13*CC13^(LN(Constants!$B$2/Constants!$B$3))</f>
        <v>938.05123365151587</v>
      </c>
      <c r="CF13" s="33">
        <f>CE13*SQRT((BN13/BM13)^2+(($BM13*($CC13+$CD13)^(LN(Constants!$B$2/Constants!$B$3))-CE13)/CE13)^2)</f>
        <v>0.27712208499927438</v>
      </c>
      <c r="CG13">
        <f>BO13*CC13^(LN(Constants!$B$2/Constants!$B$4))</f>
        <v>137.68335490405681</v>
      </c>
      <c r="CH13" s="33">
        <f>CG13*SQRT((BP13/BO13)^2+((BO13*($CC13+$CD13)^(LN(Constants!$B$2/Constants!$B$4))-CG13)/CG13)^2)</f>
        <v>5.0034850846596757E-2</v>
      </c>
      <c r="CI13">
        <f>BQ13*$CC13^(LN(Constants!$B$3/Constants!$B$6))</f>
        <v>0.98009063168005273</v>
      </c>
      <c r="CJ13" s="33">
        <f>CI13*SQRT((BR13/BQ13)^2+((BQ13*($CC13+$CD13)^(LN(Constants!$B$3/Constants!$B$6))-CI13)/CI13)^2)</f>
        <v>4.4297896362600686E-4</v>
      </c>
      <c r="CK13">
        <f>BS13*CC13^(LN(Constants!$B$2/Constants!$B$5))</f>
        <v>20911.917282977309</v>
      </c>
      <c r="CL13" s="33">
        <f>CK13*SQRT((BT13/BS13)^2+((BS13*($CC13+$CD13)^(LN(Constants!$B$2/Constants!$B$5))-CK13)/CK13)^2)</f>
        <v>13.979503531497681</v>
      </c>
      <c r="CM13">
        <f>CK13*Constants!$C$17/AVERAGE(CK12,CK14)</f>
        <v>17948.50730151037</v>
      </c>
      <c r="CN13">
        <f>CM13*SQRT(((CK12-CK14)/CK14/4)^2+(CL13/CK13)^2+AVERAGE(CL12/CK12,CL14/CK14)^2)</f>
        <v>17.433020042707533</v>
      </c>
      <c r="CO13">
        <f>1/CM13*CE13*CI13</f>
        <v>5.1222935183050093E-2</v>
      </c>
      <c r="CQ13">
        <f>$K13/$J13</f>
        <v>1.7045822221544132E-4</v>
      </c>
      <c r="CR13">
        <f>$BN13/$BM13</f>
        <v>1.7194342185743587E-4</v>
      </c>
      <c r="CS13">
        <f>$CF13/$CE13</f>
        <v>2.95423186983649E-4</v>
      </c>
      <c r="CT13">
        <f>$Q13/$P13</f>
        <v>4.2817903107469668E-4</v>
      </c>
      <c r="CU13">
        <f>$BT13/$BS13</f>
        <v>4.6269289710895554E-4</v>
      </c>
      <c r="CV13">
        <f>$CL13/$CK13</f>
        <v>6.6849458814937344E-4</v>
      </c>
      <c r="CW13">
        <f>$CN13/$CM13</f>
        <v>9.7127965851737108E-4</v>
      </c>
      <c r="CY13" s="82">
        <f>$CQ13/$CS13</f>
        <v>0.57699676168233804</v>
      </c>
      <c r="CZ13" s="82">
        <f>$CR13/$CS13-$CY13</f>
        <v>5.0273631435597821E-3</v>
      </c>
      <c r="DA13" s="82">
        <f>$CS13/$CS13-$CZ13-$CY13</f>
        <v>0.41797587517410217</v>
      </c>
      <c r="DB13" s="82">
        <f>$CT13/$CW13</f>
        <v>0.44084010956051417</v>
      </c>
      <c r="DC13" s="82">
        <f>$CU13/$CW13-$DB13</f>
        <v>3.5534426909488936E-2</v>
      </c>
      <c r="DD13" s="82">
        <f>$CV13/$CW13-$DC13-$DB13</f>
        <v>0.21188716270921176</v>
      </c>
      <c r="DE13" s="82">
        <f>$CW13/$CW13-$DD13-$DC13-$DB13</f>
        <v>0.31173830082078507</v>
      </c>
    </row>
    <row r="14" spans="1:109">
      <c r="A14" s="73" t="str">
        <f t="shared" si="0"/>
        <v>U 13.5 ppb</v>
      </c>
      <c r="B14" s="73"/>
      <c r="C14" s="73"/>
      <c r="J14" s="1">
        <v>-342470.8</v>
      </c>
      <c r="K14" s="1">
        <v>366000</v>
      </c>
      <c r="L14" s="1">
        <v>140.5796</v>
      </c>
      <c r="M14" s="1">
        <v>1.04E-2</v>
      </c>
      <c r="N14" s="1">
        <v>-1.419322</v>
      </c>
      <c r="O14" s="1">
        <v>0.9</v>
      </c>
      <c r="P14" s="1">
        <v>22589.97</v>
      </c>
      <c r="Q14" s="1">
        <v>15</v>
      </c>
      <c r="R14" s="1">
        <v>12.745649999999999</v>
      </c>
      <c r="S14" s="1">
        <v>8.0499999999999999E-3</v>
      </c>
      <c r="T14" s="1">
        <v>2.3667940000000002E-6</v>
      </c>
      <c r="U14" s="1">
        <v>3.8500000000000004E-6</v>
      </c>
      <c r="V14" s="1">
        <v>35219.97</v>
      </c>
      <c r="W14" s="1">
        <v>31.1</v>
      </c>
      <c r="X14" t="s">
        <v>337</v>
      </c>
      <c r="Y14" t="s">
        <v>327</v>
      </c>
      <c r="Z14">
        <v>553</v>
      </c>
      <c r="AB14" s="62" cm="1">
        <f t="array" ref="AB14:AP14">U!A33:O33</f>
        <v>12.66583</v>
      </c>
      <c r="AC14" s="62">
        <v>1.6500000000000001E-2</v>
      </c>
      <c r="AD14" s="62">
        <v>-5.4522800000000002E-7</v>
      </c>
      <c r="AE14" s="62">
        <v>5.4E-6</v>
      </c>
      <c r="AF14" s="62">
        <v>677.28689999999995</v>
      </c>
      <c r="AG14" s="62">
        <v>13.8</v>
      </c>
      <c r="AH14" s="62">
        <v>323.44009999999997</v>
      </c>
      <c r="AI14" s="62">
        <v>7.67</v>
      </c>
      <c r="AJ14" s="62">
        <v>88.210669999999993</v>
      </c>
      <c r="AK14" s="62">
        <v>3.96</v>
      </c>
      <c r="AL14" s="62">
        <v>51.406199999999998</v>
      </c>
      <c r="AM14" s="62">
        <v>3.17</v>
      </c>
      <c r="AN14" s="63" t="str">
        <v>U 13.5 ppb tail</v>
      </c>
      <c r="AO14" s="63" t="str">
        <v xml:space="preserve"> March 14</v>
      </c>
      <c r="AP14" s="63">
        <v>554</v>
      </c>
      <c r="AQ14" s="1"/>
      <c r="AR14" s="1">
        <f>Constants!B$25</f>
        <v>2.2917410000000001E-6</v>
      </c>
      <c r="AS14" s="1">
        <f t="shared" si="1"/>
        <v>12.745649999999999</v>
      </c>
      <c r="AT14" s="1">
        <f t="shared" si="2"/>
        <v>2.3667940000000002E-6</v>
      </c>
      <c r="AU14" s="1">
        <f t="shared" si="17"/>
        <v>191.45017624153687</v>
      </c>
      <c r="AV14" s="1">
        <f t="shared" si="3"/>
        <v>9.0665004026188725E-2</v>
      </c>
      <c r="AW14" s="1">
        <f t="shared" si="18"/>
        <v>91.427649537874899</v>
      </c>
      <c r="AX14" s="1">
        <f t="shared" si="4"/>
        <v>35219.97</v>
      </c>
      <c r="AY14">
        <f t="shared" si="25"/>
        <v>64.379222897944715</v>
      </c>
      <c r="AZ14" s="1">
        <f t="shared" si="5"/>
        <v>-1.6675525356473022E-6</v>
      </c>
      <c r="BA14" s="1">
        <f t="shared" si="19"/>
        <v>37.394138034416599</v>
      </c>
      <c r="BB14" s="1">
        <f t="shared" si="6"/>
        <v>5.4439660702612542</v>
      </c>
      <c r="BC14" s="1">
        <f t="shared" si="20"/>
        <v>45.962233929738744</v>
      </c>
      <c r="BD14">
        <f t="shared" si="7"/>
        <v>1.8227981033199008</v>
      </c>
      <c r="BE14" s="1"/>
      <c r="BF14" s="32">
        <f t="shared" si="8"/>
        <v>8.0927126443071991E-8</v>
      </c>
      <c r="BG14" s="1">
        <f t="shared" si="9"/>
        <v>1.8279181639832378E-3</v>
      </c>
      <c r="BH14" s="1">
        <f t="shared" si="10"/>
        <v>1.827918163983238E-4</v>
      </c>
      <c r="BI14" s="1">
        <f t="shared" si="11"/>
        <v>1.6156535817897961E-5</v>
      </c>
      <c r="BJ14" s="1">
        <f t="shared" si="12"/>
        <v>1.6156535817897961E-6</v>
      </c>
      <c r="BK14" s="1"/>
      <c r="BL14" s="1"/>
      <c r="BM14" s="1"/>
      <c r="BN14" s="1"/>
      <c r="BO14" s="1">
        <f t="shared" si="27"/>
        <v>140.58187131603927</v>
      </c>
      <c r="BP14" s="33">
        <f t="shared" si="28"/>
        <v>1.0402648004189328E-2</v>
      </c>
      <c r="BQ14" s="1"/>
      <c r="BR14" s="1"/>
      <c r="BS14" s="1">
        <f t="shared" si="29"/>
        <v>22631.338234233604</v>
      </c>
      <c r="BT14" s="1">
        <f t="shared" si="30"/>
        <v>15.588485093173389</v>
      </c>
      <c r="BU14" s="1"/>
      <c r="BV14" s="1"/>
      <c r="BW14" s="1"/>
      <c r="BX14" s="1"/>
      <c r="BY14" s="1"/>
      <c r="BZ14" s="1"/>
      <c r="CA14" s="1"/>
      <c r="CB14" s="1"/>
      <c r="CC14">
        <f>(Constants!$C$18/BO14)^(1/LN(Constants!$B$2/Constants!$B$4))</f>
        <v>0.21102881501584009</v>
      </c>
      <c r="CD14">
        <f>ABS((Constants!$C$18/BO14)^(1/LN(Constants!$B$2/Constants!$B$4))-(Constants!$C$18/(BO14+BP14))^(1/LN(Constants!$B$2/Constants!$B$4)))</f>
        <v>1.2248298751674769E-3</v>
      </c>
      <c r="CK14">
        <f>BS14*$CC14^(LN(Constants!$B$2/Constants!$B$5))</f>
        <v>22041.045427437555</v>
      </c>
      <c r="CL14" s="33">
        <f>CK14*SQRT((BT14/BS14)^2+((BS14*($CC14+$CD14)^(LN(Constants!$B$2/Constants!$B$5))-CK14)/CK14)^2)</f>
        <v>15.335774006861682</v>
      </c>
    </row>
    <row r="15" spans="1:109">
      <c r="A15" s="73" t="str">
        <f>X15</f>
        <v>[BHT] AB13-2C</v>
      </c>
      <c r="B15" t="str">
        <f>IF(NOT(ISBLANK($J15)),IF($T15&lt;Constants!$B$32,"low spike","OK"),"")</f>
        <v>OK</v>
      </c>
      <c r="C15" t="str">
        <f>IF(NOT(ISBLANK($J15)), IF((ABS($L14-$L16)/$L14)&gt;Constants!$B$33,"variable mass bias","OK"), "")</f>
        <v>OK</v>
      </c>
      <c r="D15" t="str">
        <f>IF(NOT(ISBLANK($J15)), IF((ABS($P14-$P16)/$P14)&gt;Constants!$B$34,"variable IC yield","OK"),"")</f>
        <v>OK</v>
      </c>
      <c r="E15" s="34">
        <f>CE15</f>
        <v>582.83994414837809</v>
      </c>
      <c r="F15" s="34">
        <f>CF15</f>
        <v>0.11321567593167478</v>
      </c>
      <c r="G15" s="34">
        <f>CM15</f>
        <v>17865.46339576934</v>
      </c>
      <c r="H15" s="48">
        <f>CN15</f>
        <v>16.186019262477124</v>
      </c>
      <c r="I15" s="33"/>
      <c r="J15" s="1">
        <v>590.47839999999997</v>
      </c>
      <c r="K15" s="1">
        <v>0.109</v>
      </c>
      <c r="L15" s="1">
        <v>140.4744</v>
      </c>
      <c r="M15" s="1">
        <v>6.6499999999999997E-3</v>
      </c>
      <c r="N15" s="1">
        <v>0.99939679999999997</v>
      </c>
      <c r="O15" s="1">
        <v>2.8800000000000001E-4</v>
      </c>
      <c r="P15" s="1">
        <v>21332.880000000001</v>
      </c>
      <c r="Q15" s="1">
        <v>9.99</v>
      </c>
      <c r="R15" s="1">
        <v>28.322790000000001</v>
      </c>
      <c r="S15" s="1">
        <v>2.18E-2</v>
      </c>
      <c r="T15" s="1">
        <v>4.7965870000000001E-2</v>
      </c>
      <c r="U15" s="1">
        <v>3.7400000000000001E-5</v>
      </c>
      <c r="V15" s="1">
        <v>82875.81</v>
      </c>
      <c r="W15" s="1">
        <v>81.5</v>
      </c>
      <c r="X15" t="s">
        <v>331</v>
      </c>
      <c r="Y15" t="s">
        <v>327</v>
      </c>
      <c r="Z15">
        <v>556</v>
      </c>
      <c r="AB15" s="1">
        <f>R15</f>
        <v>28.322790000000001</v>
      </c>
      <c r="AC15" s="1">
        <f>S15</f>
        <v>2.18E-2</v>
      </c>
      <c r="AD15" s="1">
        <f>T15</f>
        <v>4.7965870000000001E-2</v>
      </c>
      <c r="AE15" s="1">
        <f>U15</f>
        <v>3.7400000000000001E-5</v>
      </c>
      <c r="AF15" s="1">
        <f>AVERAGE(AF14/$AB14,AF16/$AB16)*$AB15</f>
        <v>1512.1343923595637</v>
      </c>
      <c r="AG15" s="1">
        <f>AVERAGE(AG14/AF14,AG16/AF16)*AF15</f>
        <v>29.152125562458913</v>
      </c>
      <c r="AH15" s="1">
        <f>AVERAGE(AH14/$AB14,AH16/$AB16)*$AB15</f>
        <v>723.88919102953889</v>
      </c>
      <c r="AI15" s="1">
        <f>AVERAGE(AI14/AH14,AI16/AH16)*AH15</f>
        <v>19.442311742622746</v>
      </c>
      <c r="AJ15" s="1">
        <f>AVERAGE(AJ14/$AB14,AJ16/$AB16)*$AB15</f>
        <v>210.89705429181106</v>
      </c>
      <c r="AK15" s="1">
        <f>AVERAGE(AK14/AJ14,AK16/AJ16)*AJ15</f>
        <v>11.368127716101403</v>
      </c>
      <c r="AL15" s="1">
        <f>AVERAGE(AL14/$AB14,AL16/$AB16)*$AB15</f>
        <v>110.82140347303474</v>
      </c>
      <c r="AM15" s="1">
        <f>AVERAGE(AM14/AL14,AM16/AL16)*AL15</f>
        <v>5.7698729176568051</v>
      </c>
      <c r="AR15" s="1">
        <f>Constants!B$25</f>
        <v>2.2917410000000001E-6</v>
      </c>
      <c r="AS15" s="1">
        <f>R15</f>
        <v>28.322790000000001</v>
      </c>
      <c r="AT15" s="1">
        <f>MAX(0.000001,T15)</f>
        <v>4.7965870000000001E-2</v>
      </c>
      <c r="AU15" s="1">
        <f t="shared" si="17"/>
        <v>429.22642012116211</v>
      </c>
      <c r="AV15" s="1">
        <f>AS15/L15</f>
        <v>0.20162243084861015</v>
      </c>
      <c r="AW15" s="1">
        <f t="shared" si="18"/>
        <v>208.04019779202386</v>
      </c>
      <c r="AX15" s="1">
        <f>V15</f>
        <v>82875.81</v>
      </c>
      <c r="AY15">
        <f t="shared" si="25"/>
        <v>147.01095951472453</v>
      </c>
      <c r="AZ15" s="1">
        <f>AT15/N15</f>
        <v>4.799482047571095E-2</v>
      </c>
      <c r="BA15" s="1">
        <f t="shared" si="19"/>
        <v>84.633967913824563</v>
      </c>
      <c r="BB15" s="1">
        <f>AL15-BC15</f>
        <v>6.8164932173113186</v>
      </c>
      <c r="BC15" s="1">
        <f t="shared" si="26"/>
        <v>104.00491025572342</v>
      </c>
      <c r="BD15">
        <f>(LN(AF15)-LN(AH15))/(LN(238-236.5))</f>
        <v>1.8167755801584049</v>
      </c>
      <c r="BF15" s="32">
        <f>AY15/AS15/62415093</f>
        <v>8.3161833903078196E-8</v>
      </c>
      <c r="BG15" s="1">
        <f>AY15/AX15</f>
        <v>1.7738705602361477E-3</v>
      </c>
      <c r="BH15" s="1">
        <f>BG15*0.1</f>
        <v>1.7738705602361477E-4</v>
      </c>
      <c r="BI15" s="1">
        <f>AW15/AV15/62415093</f>
        <v>1.6531748495823622E-5</v>
      </c>
      <c r="BJ15" s="1">
        <f>BI15*0.1</f>
        <v>1.6531748495823623E-6</v>
      </c>
      <c r="BK15" s="1">
        <f>AU15/AT15/62415093</f>
        <v>1.4337205103616917E-4</v>
      </c>
      <c r="BL15" s="1">
        <f>BK15*0.1</f>
        <v>1.4337205103616918E-5</v>
      </c>
      <c r="BM15" s="1">
        <f>J15/(1-(AU15/62415093)/AT15)</f>
        <v>590.56307023864633</v>
      </c>
      <c r="BN15" s="33">
        <f>SQRT((K15/(1-BK15))^2+(BL15*J15/(1-BK15)^2)^2)</f>
        <v>0.10934403776086833</v>
      </c>
      <c r="BO15" s="1">
        <f>L15/(1-AW15/62415093/AV15)</f>
        <v>140.47672232584301</v>
      </c>
      <c r="BP15" s="33">
        <f>SQRT((M15/(1-BI15))^2+(BJ15*L15/(1-BI15)^2)^2)</f>
        <v>6.654163804956207E-3</v>
      </c>
      <c r="BQ15" s="1">
        <f>N15*(1-BK15)</f>
        <v>0.99925351443098498</v>
      </c>
      <c r="BR15">
        <f>SQRT(O15^2+BL15^2)</f>
        <v>2.8835664627364357E-4</v>
      </c>
      <c r="BS15" s="1">
        <f>P15/(1-BG15)</f>
        <v>21370.789013480033</v>
      </c>
      <c r="BT15" s="1">
        <f>SQRT((Q15/(1-BG15))^2+(BH15*P15/(1-BG15)^2)^2)</f>
        <v>10.704072244297171</v>
      </c>
      <c r="BU15">
        <f>(Constants!$C$19/$BQ15)^(1/LN(Constants!$B$3/Constants!$B$6))</f>
        <v>0.24294905218903395</v>
      </c>
      <c r="BV15">
        <f>(Constants!$C$19/($BQ15-BR15))^(1/LN(Constants!$B$3/Constants!$B$6))-BU15</f>
        <v>5.5330891226401113E-3</v>
      </c>
      <c r="BW15">
        <f>$BM15*BU15^(LN(Constants!$B$2/Constants!$B$3))</f>
        <v>583.53679559840361</v>
      </c>
      <c r="BX15" s="33">
        <f>BW15*SQRT((BN15/BM15)^2+(((BM15*($BU15+$BV15)^LN(Constants!$B$2/Constants!$B$3))-BW15)/BW15)^2)</f>
        <v>0.15502352950547582</v>
      </c>
      <c r="BY15">
        <f>BO15*BU15^(LN(Constants!$B$2/Constants!$B$4))</f>
        <v>137.97273226698988</v>
      </c>
      <c r="BZ15" s="33">
        <f>BY15*SQRT((BP15/BO15)^2+(((BO15*($BU15+$BV15)^LN(Constants!$B$2/Constants!$B$4))-BY15)/BY15)^2)</f>
        <v>4.0038168352539177E-2</v>
      </c>
      <c r="CA15">
        <f>BS15*BU15^(LN(Constants!$B$2/Constants!$B$5))</f>
        <v>20863.238474223541</v>
      </c>
      <c r="CB15" s="33">
        <f>CA15*SQRT((BT15/BS15)^2+(((BS15*($BU15+$BV15)^LN(Constants!$B$2/Constants!$B$5))-CA15)/CA15)^2)</f>
        <v>13.150118684758127</v>
      </c>
      <c r="CC15">
        <f>(Constants!$C$18/AVERAGE(BO14,BO16))^(1/LN(Constants!$B$2/Constants!$B$4))</f>
        <v>0.21094491635773649</v>
      </c>
      <c r="CD15">
        <f>MAX(ABS((Constants!$C$18/BO14)^(1/LN(Constants!$B$2/Constants!$B$4))-(Constants!$C$18/BO16)^(1/LN(Constants!$B$2/Constants!$B$4))),CD14,CD16)</f>
        <v>1.4699891788304553E-3</v>
      </c>
      <c r="CE15">
        <f>$BM15*CC15^(LN(Constants!$B$2/Constants!$B$3))</f>
        <v>582.83994414837809</v>
      </c>
      <c r="CF15" s="33">
        <f>CE15*SQRT((BN15/BM15)^2+(($BM15*($CC15+$CD15)^(LN(Constants!$B$2/Constants!$B$3))-CE15)/CE15)^2)</f>
        <v>0.11321567593167478</v>
      </c>
      <c r="CG15">
        <f>BO15*CC15^(LN(Constants!$B$2/Constants!$B$4))</f>
        <v>137.72521386524443</v>
      </c>
      <c r="CH15" s="33">
        <f>CG15*SQRT((BP15/BO15)^2+((BO15*($CC15+$CD15)^(LN(Constants!$B$2/Constants!$B$4))-CG15)/CG15)^2)</f>
        <v>1.3797921578268446E-2</v>
      </c>
      <c r="CI15">
        <f>BQ15*$CC15^(LN(Constants!$B$3/Constants!$B$6))</f>
        <v>0.97952158922688914</v>
      </c>
      <c r="CJ15" s="33">
        <f>CI15*SQRT((BR15/BQ15)^2+((BQ15*($CC15+$CD15)^(LN(Constants!$B$3/Constants!$B$6))-CI15)/CI15)^2)</f>
        <v>2.9580238417219456E-4</v>
      </c>
      <c r="CK15">
        <f>BS15*CC15^(LN(Constants!$B$2/Constants!$B$5))</f>
        <v>20813.234491608644</v>
      </c>
      <c r="CL15" s="33">
        <f>CK15*SQRT((BT15/BS15)^2+((BS15*($CC15+$CD15)^(LN(Constants!$B$2/Constants!$B$5))-CK15)/CK15)^2)</f>
        <v>10.710096234686485</v>
      </c>
      <c r="CM15">
        <f>CK15*Constants!$C$17/AVERAGE(CK14,CK16)</f>
        <v>17865.46339576934</v>
      </c>
      <c r="CN15">
        <f>CM15*SQRT(((CK14-CK16)/CK16/4)^2+(CL15/CK15)^2+AVERAGE(CL14/CK14,CL16/CK16)^2)</f>
        <v>16.186019262477124</v>
      </c>
      <c r="CO15">
        <f>1/CM15*CE15*CI15</f>
        <v>3.195575148038559E-2</v>
      </c>
      <c r="CQ15">
        <f>$K15/$J15</f>
        <v>1.8459608344691356E-4</v>
      </c>
      <c r="CR15">
        <f>$BN15/$BM15</f>
        <v>1.8515217640798713E-4</v>
      </c>
      <c r="CS15">
        <f>$CF15/$CE15</f>
        <v>1.9424831305462582E-4</v>
      </c>
      <c r="CT15">
        <f>$Q15/$P15</f>
        <v>4.6829120118802524E-4</v>
      </c>
      <c r="CU15">
        <f>$BT15/$BS15</f>
        <v>5.0087398446287471E-4</v>
      </c>
      <c r="CV15">
        <f>$CL15/$CK15</f>
        <v>5.1458105846088063E-4</v>
      </c>
      <c r="CW15">
        <f>$CN15/$CM15</f>
        <v>9.0599493021323372E-4</v>
      </c>
      <c r="CY15" s="82">
        <f>$CQ15/$CS15</f>
        <v>0.95030984076037817</v>
      </c>
      <c r="CZ15" s="82">
        <f>$CR15/$CS15-$CY15</f>
        <v>2.8627942880368185E-3</v>
      </c>
      <c r="DA15" s="82">
        <f>$CS15/$CS15-$CZ15-$CY15</f>
        <v>4.6827364951585015E-2</v>
      </c>
      <c r="DB15" s="82">
        <f>$CT15/$CW15</f>
        <v>0.51688059786141283</v>
      </c>
      <c r="DC15" s="82">
        <f>$CU15/$CW15-$DB15</f>
        <v>3.5963538192405609E-2</v>
      </c>
      <c r="DD15" s="82">
        <f>$CV15/$CW15-$DC15-$DB15</f>
        <v>1.5129305408783988E-2</v>
      </c>
      <c r="DE15" s="82">
        <f>$CW15/$CW15-$DD15-$DC15-$DB15</f>
        <v>0.43202655853739758</v>
      </c>
    </row>
    <row r="16" spans="1:109">
      <c r="A16" s="73" t="str">
        <f t="shared" si="0"/>
        <v>U 13.5 ppb</v>
      </c>
      <c r="B16" s="73"/>
      <c r="C16" s="73"/>
      <c r="J16" s="1">
        <v>439780.7</v>
      </c>
      <c r="K16" s="1">
        <v>198000</v>
      </c>
      <c r="L16" s="1">
        <v>140.58099999999999</v>
      </c>
      <c r="M16" s="1">
        <v>1.2500000000000001E-2</v>
      </c>
      <c r="N16" s="1">
        <v>0.56546149999999995</v>
      </c>
      <c r="O16" s="1">
        <v>1.57</v>
      </c>
      <c r="P16" s="1">
        <v>22596.02</v>
      </c>
      <c r="Q16" s="1">
        <v>17.3</v>
      </c>
      <c r="R16" s="1">
        <v>12.781219999999999</v>
      </c>
      <c r="S16" s="1">
        <v>7.7099999999999998E-3</v>
      </c>
      <c r="T16" s="1">
        <v>2.029319E-5</v>
      </c>
      <c r="U16" s="1">
        <v>5.6899999999999997E-6</v>
      </c>
      <c r="V16" s="1">
        <v>35308.959999999999</v>
      </c>
      <c r="W16" s="1">
        <v>33.1</v>
      </c>
      <c r="X16" t="s">
        <v>337</v>
      </c>
      <c r="Y16" t="s">
        <v>327</v>
      </c>
      <c r="Z16">
        <v>559</v>
      </c>
      <c r="AB16" s="62" cm="1">
        <f t="array" ref="AB16:AP16">U!A34:O34</f>
        <v>12.690849999999999</v>
      </c>
      <c r="AC16" s="62">
        <v>3.85E-2</v>
      </c>
      <c r="AD16" s="62">
        <v>2.7012230000000001E-5</v>
      </c>
      <c r="AE16" s="62">
        <v>6.6699999999999997E-6</v>
      </c>
      <c r="AF16" s="62">
        <v>676.48680000000002</v>
      </c>
      <c r="AG16" s="62">
        <v>12.3</v>
      </c>
      <c r="AH16" s="62">
        <v>324.64019999999999</v>
      </c>
      <c r="AI16" s="62">
        <v>9.74</v>
      </c>
      <c r="AJ16" s="62">
        <v>100.6122</v>
      </c>
      <c r="AK16" s="62">
        <v>6.33</v>
      </c>
      <c r="AL16" s="62">
        <v>47.805759999999999</v>
      </c>
      <c r="AM16" s="62">
        <v>2.0299999999999998</v>
      </c>
      <c r="AN16" s="63" t="str">
        <v>U 13.5 ppb tail</v>
      </c>
      <c r="AO16" s="63" t="str">
        <v xml:space="preserve"> March 14</v>
      </c>
      <c r="AP16" s="63">
        <v>560</v>
      </c>
      <c r="AQ16" s="1"/>
      <c r="AR16" s="1">
        <f>Constants!B$25</f>
        <v>2.2917410000000001E-6</v>
      </c>
      <c r="AS16" s="1">
        <f t="shared" si="1"/>
        <v>12.781219999999999</v>
      </c>
      <c r="AT16" s="1">
        <f t="shared" si="2"/>
        <v>2.029319E-5</v>
      </c>
      <c r="AU16" s="1">
        <f t="shared" si="17"/>
        <v>192.82779471001433</v>
      </c>
      <c r="AV16" s="1">
        <f t="shared" si="3"/>
        <v>9.0917122512999632E-2</v>
      </c>
      <c r="AW16" s="1">
        <f t="shared" si="18"/>
        <v>92.537475147105695</v>
      </c>
      <c r="AX16" s="1">
        <f t="shared" si="4"/>
        <v>35308.959999999999</v>
      </c>
      <c r="AY16">
        <f t="shared" si="25"/>
        <v>60.870579007160813</v>
      </c>
      <c r="AZ16" s="1">
        <f t="shared" si="5"/>
        <v>3.588783674927471E-5</v>
      </c>
      <c r="BA16" s="1">
        <f t="shared" si="19"/>
        <v>38.066235261594933</v>
      </c>
      <c r="BB16" s="1">
        <f t="shared" si="6"/>
        <v>1.0888571306358799</v>
      </c>
      <c r="BC16" s="1">
        <f t="shared" si="20"/>
        <v>46.71690286936412</v>
      </c>
      <c r="BD16">
        <f t="shared" si="7"/>
        <v>1.8107487633316994</v>
      </c>
      <c r="BE16" s="1"/>
      <c r="BF16" s="32">
        <f t="shared" si="8"/>
        <v>7.6303682949833449E-8</v>
      </c>
      <c r="BG16" s="1">
        <f t="shared" si="9"/>
        <v>1.7239414303667061E-3</v>
      </c>
      <c r="BH16" s="1">
        <f t="shared" si="10"/>
        <v>1.7239414303667062E-4</v>
      </c>
      <c r="BI16" s="1">
        <f t="shared" si="11"/>
        <v>1.630731054773208E-5</v>
      </c>
      <c r="BJ16" s="1">
        <f t="shared" si="12"/>
        <v>1.630731054773208E-6</v>
      </c>
      <c r="BK16" s="1"/>
      <c r="BL16" s="1"/>
      <c r="BM16" s="1"/>
      <c r="BN16" s="1"/>
      <c r="BO16" s="1">
        <f t="shared" si="27"/>
        <v>140.58329253540919</v>
      </c>
      <c r="BP16" s="33">
        <f t="shared" si="28"/>
        <v>1.2502305989672533E-2</v>
      </c>
      <c r="BQ16" s="1"/>
      <c r="BR16" s="1"/>
      <c r="BS16" s="1">
        <f t="shared" si="29"/>
        <v>22635.041485795431</v>
      </c>
      <c r="BT16" s="1">
        <f t="shared" si="30"/>
        <v>17.765246723923187</v>
      </c>
      <c r="BU16" s="1"/>
      <c r="BV16" s="1"/>
      <c r="BW16" s="1"/>
      <c r="BX16" s="1"/>
      <c r="BY16" s="1"/>
      <c r="BZ16" s="1"/>
      <c r="CA16" s="1"/>
      <c r="CB16" s="1"/>
      <c r="CC16">
        <f>(Constants!$C$18/BO16)^(1/LN(Constants!$B$2/Constants!$B$4))</f>
        <v>0.21086105147903314</v>
      </c>
      <c r="CD16">
        <f>ABS((Constants!$C$18/BO16)^(1/LN(Constants!$B$2/Constants!$B$4))-(Constants!$C$18/(BO16+BP16))^(1/LN(Constants!$B$2/Constants!$B$4)))</f>
        <v>1.4699891788304553E-3</v>
      </c>
      <c r="CK16">
        <f>BS16*$CC16^(LN(Constants!$B$2/Constants!$B$5))</f>
        <v>22044.354256299055</v>
      </c>
      <c r="CL16" s="33">
        <f>CK16*SQRT((BT16/BS16)^2+((BS16*($CC16+$CD16)^(LN(Constants!$B$2/Constants!$B$5))-CK16)/CK16)^2)</f>
        <v>17.496174962687711</v>
      </c>
    </row>
    <row r="17" spans="1:109">
      <c r="A17" s="73" t="str">
        <f>X17</f>
        <v>[BHT] AB13-2D</v>
      </c>
      <c r="B17" t="str">
        <f>IF(NOT(ISBLANK($J17)),IF($T17&lt;Constants!$B$32,"low spike","OK"),"")</f>
        <v>OK</v>
      </c>
      <c r="C17" t="str">
        <f>IF(NOT(ISBLANK($J17)), IF((ABS($L16-$L18)/$L16)&gt;Constants!$B$33,"variable mass bias","OK"), "")</f>
        <v>OK</v>
      </c>
      <c r="D17" t="str">
        <f>IF(NOT(ISBLANK($J17)), IF((ABS($P16-$P18)/$P16)&gt;Constants!$B$34,"variable IC yield","OK"),"")</f>
        <v>OK</v>
      </c>
      <c r="E17" s="34">
        <f>CE17</f>
        <v>512.56712896287058</v>
      </c>
      <c r="F17" s="34">
        <f>CF17</f>
        <v>0.15159088779740953</v>
      </c>
      <c r="G17" s="34">
        <f>CM17</f>
        <v>17866.529523952424</v>
      </c>
      <c r="H17" s="48">
        <f>CN17</f>
        <v>19.449922008831905</v>
      </c>
      <c r="I17" s="33"/>
      <c r="J17" s="1">
        <v>519.36720000000003</v>
      </c>
      <c r="K17" s="1">
        <v>5.4600000000000003E-2</v>
      </c>
      <c r="L17" s="1">
        <v>140.46940000000001</v>
      </c>
      <c r="M17" s="1">
        <v>7.9399999999999991E-3</v>
      </c>
      <c r="N17" s="1">
        <v>0.99983299999999997</v>
      </c>
      <c r="O17" s="1">
        <v>2.5599999999999999E-4</v>
      </c>
      <c r="P17" s="1">
        <v>21334.76</v>
      </c>
      <c r="Q17" s="1">
        <v>10.5</v>
      </c>
      <c r="R17" s="1">
        <v>32.504950000000001</v>
      </c>
      <c r="S17" s="1">
        <v>3.1099999999999999E-2</v>
      </c>
      <c r="T17" s="1">
        <v>6.2585719999999997E-2</v>
      </c>
      <c r="U17" s="1">
        <v>6.0699999999999998E-5</v>
      </c>
      <c r="V17" s="1">
        <v>95104.5</v>
      </c>
      <c r="W17" s="1">
        <v>93.5</v>
      </c>
      <c r="X17" t="s">
        <v>332</v>
      </c>
      <c r="Y17" t="s">
        <v>327</v>
      </c>
      <c r="Z17">
        <v>562</v>
      </c>
      <c r="AB17" s="1">
        <f>R17</f>
        <v>32.504950000000001</v>
      </c>
      <c r="AC17" s="1">
        <f>S17</f>
        <v>3.1099999999999999E-2</v>
      </c>
      <c r="AD17" s="1">
        <f>T17</f>
        <v>6.2585719999999997E-2</v>
      </c>
      <c r="AE17" s="1">
        <f>U17</f>
        <v>6.0699999999999998E-5</v>
      </c>
      <c r="AF17" s="1">
        <f>AVERAGE(AF16/$AB16,AF18/$AB18)*$AB17</f>
        <v>1684.1677151175948</v>
      </c>
      <c r="AG17" s="1">
        <f>AVERAGE(AG16/AF16,AG18/AF18)*AF17</f>
        <v>30.41782605113718</v>
      </c>
      <c r="AH17" s="1">
        <f>AVERAGE(AH16/$AB16,AH18/$AB18)*$AB17</f>
        <v>827.90778367235168</v>
      </c>
      <c r="AI17" s="1">
        <f>AVERAGE(AI16/AH16,AI18/AH18)*AH17</f>
        <v>25.355716842916284</v>
      </c>
      <c r="AJ17" s="1">
        <f>AVERAGE(AJ16/$AB16,AJ18/$AB18)*$AB17</f>
        <v>246.75628464752819</v>
      </c>
      <c r="AK17" s="1">
        <f>AVERAGE(AK16/AJ16,AK18/AJ18)*AJ17</f>
        <v>11.98764135378395</v>
      </c>
      <c r="AL17" s="1">
        <f>AVERAGE(AL16/$AB16,AL18/$AB18)*$AB17</f>
        <v>121.73430723214005</v>
      </c>
      <c r="AM17" s="1">
        <f>AVERAGE(AM16/AL16,AM18/AL18)*AL17</f>
        <v>7.2731900002148491</v>
      </c>
      <c r="AR17" s="1">
        <f>Constants!B$25</f>
        <v>2.2917410000000001E-6</v>
      </c>
      <c r="AS17" s="1">
        <f>R17</f>
        <v>32.504950000000001</v>
      </c>
      <c r="AT17" s="1">
        <f>MAX(0.000001,T17)</f>
        <v>6.2585719999999997E-2</v>
      </c>
      <c r="AU17" s="1">
        <f t="shared" si="17"/>
        <v>500.22603427997444</v>
      </c>
      <c r="AV17" s="1">
        <f>AS17/L17</f>
        <v>0.23140235524605357</v>
      </c>
      <c r="AW17" s="1">
        <f t="shared" si="18"/>
        <v>249.14521786796575</v>
      </c>
      <c r="AX17" s="1">
        <f>V17</f>
        <v>95104.5</v>
      </c>
      <c r="AY17">
        <f t="shared" si="25"/>
        <v>164.78938585592547</v>
      </c>
      <c r="AZ17" s="1">
        <f>AT17/N17</f>
        <v>6.259617356098468E-2</v>
      </c>
      <c r="BA17" s="1">
        <f t="shared" si="19"/>
        <v>104.54719531135999</v>
      </c>
      <c r="BB17" s="1">
        <f>AL17-BC17</f>
        <v>-5.692553208095319</v>
      </c>
      <c r="BC17" s="1">
        <f t="shared" si="26"/>
        <v>127.42686044023537</v>
      </c>
      <c r="BD17">
        <f>(LN(AF17)-LN(AH17))/(LN(238-236.5))</f>
        <v>1.7513837643151196</v>
      </c>
      <c r="BF17" s="32">
        <f>AY17/AS17/62415093</f>
        <v>8.1225073107035187E-8</v>
      </c>
      <c r="BG17" s="1">
        <f>AY17/AX17</f>
        <v>1.7327191232373387E-3</v>
      </c>
      <c r="BH17" s="1">
        <f>BG17*0.1</f>
        <v>1.7327191232373388E-4</v>
      </c>
      <c r="BI17" s="1">
        <f>AW17/AV17/62415093</f>
        <v>1.725024067676938E-5</v>
      </c>
      <c r="BJ17" s="1">
        <f>BI17*0.1</f>
        <v>1.7250240676769381E-6</v>
      </c>
      <c r="BK17" s="1">
        <f>AU17/AT17/62415093</f>
        <v>1.2805643761566542E-4</v>
      </c>
      <c r="BL17" s="1">
        <f>BK17*0.1</f>
        <v>1.2805643761566543E-5</v>
      </c>
      <c r="BM17" s="1">
        <f>J17/(1-(AU17/62415093)/AT17)</f>
        <v>519.4337168313549</v>
      </c>
      <c r="BN17" s="33">
        <f>SQRT((K17/(1-BK17))^2+(BL17*J17/(1-BK17)^2)^2)</f>
        <v>5.5010725159199352E-2</v>
      </c>
      <c r="BO17" s="1">
        <f>L17/(1-AW17/62415093/AV17)</f>
        <v>140.47182317275804</v>
      </c>
      <c r="BP17" s="33">
        <f>SQRT((M17/(1-BI17))^2+(BJ17*L17/(1-BI17)^2)^2)</f>
        <v>7.9438337582567898E-3</v>
      </c>
      <c r="BQ17" s="1">
        <f>N17*(1-BK17)</f>
        <v>0.99970496494780936</v>
      </c>
      <c r="BR17">
        <f>SQRT(O17^2+BL17^2)</f>
        <v>2.5632008214759167E-4</v>
      </c>
      <c r="BS17" s="1">
        <f>P17/(1-BG17)</f>
        <v>21371.791311503279</v>
      </c>
      <c r="BT17" s="1">
        <f>SQRT((Q17/(1-BG17))^2+(BH17*P17/(1-BG17)^2)^2)</f>
        <v>11.15320071448625</v>
      </c>
      <c r="BU17">
        <f>(Constants!$C$19/$BQ17)^(1/LN(Constants!$B$3/Constants!$B$6))</f>
        <v>0.23453592424251118</v>
      </c>
      <c r="BV17">
        <f>(Constants!$C$19/($BQ17-BR17))^(1/LN(Constants!$B$3/Constants!$B$6))-BU17</f>
        <v>4.739844560310208E-3</v>
      </c>
      <c r="BW17">
        <f>$BM17*BU17^(LN(Constants!$B$2/Constants!$B$3))</f>
        <v>513.1007178268469</v>
      </c>
      <c r="BX17" s="33">
        <f>BW17*SQRT((BN17/BM17)^2+(((BM17*($BU17+$BV17)^LN(Constants!$B$2/Constants!$B$3))-BW17)/BW17)^2)</f>
        <v>0.10244895705694741</v>
      </c>
      <c r="BY17">
        <f>BO17*BU17^(LN(Constants!$B$2/Constants!$B$4))</f>
        <v>137.90612525100082</v>
      </c>
      <c r="BZ17" s="33">
        <f>BY17*SQRT((BP17/BO17)^2+(((BO17*($BU17+$BV17)^LN(Constants!$B$2/Constants!$B$4))-BY17)/BY17)^2)</f>
        <v>3.5935095172136167E-2</v>
      </c>
      <c r="CA17">
        <f>BS17*BU17^(LN(Constants!$B$2/Constants!$B$5))</f>
        <v>20851.729175008106</v>
      </c>
      <c r="CB17" s="33">
        <f>CA17*SQRT((BT17/BS17)^2+(((BS17*($BU17+$BV17)^LN(Constants!$B$2/Constants!$B$5))-CA17)/CA17)^2)</f>
        <v>12.98697706402027</v>
      </c>
      <c r="CC17">
        <f>(Constants!$C$18/AVERAGE(BO16,BO18))^(1/LN(Constants!$B$2/Constants!$B$4))</f>
        <v>0.20739180076447136</v>
      </c>
      <c r="CD17">
        <f>MAX(ABS((Constants!$C$18/BO16)^(1/LN(Constants!$B$2/Constants!$B$4))-(Constants!$C$18/BO18)^(1/LN(Constants!$B$2/Constants!$B$4))),CD16,CD18)</f>
        <v>6.8807091451482116E-3</v>
      </c>
      <c r="CE17">
        <f>$BM17*CC17^(LN(Constants!$B$2/Constants!$B$3))</f>
        <v>512.56712896287058</v>
      </c>
      <c r="CF17" s="33">
        <f>CE17*SQRT((BN17/BM17)^2+(($BM17*($CC17+$CD17)^(LN(Constants!$B$2/Constants!$B$3))-CE17)/CE17)^2)</f>
        <v>0.15159088779740953</v>
      </c>
      <c r="CG17">
        <f>BO17*CC17^(LN(Constants!$B$2/Constants!$B$4))</f>
        <v>137.69067509822719</v>
      </c>
      <c r="CH17" s="33">
        <f>CG17*SQRT((BP17/BO17)^2+((BO17*($CC17+$CD17)^(LN(Constants!$B$2/Constants!$B$4))-CG17)/CG17)^2)</f>
        <v>5.7666850859910544E-2</v>
      </c>
      <c r="CI17">
        <f>BQ17*$CC17^(LN(Constants!$B$3/Constants!$B$6))</f>
        <v>0.97975079587838088</v>
      </c>
      <c r="CJ17" s="33">
        <f>CI17*SQRT((BR17/BQ17)^2+((BQ17*($CC17+$CD17)^(LN(Constants!$B$3/Constants!$B$6))-CI17)/CI17)^2)</f>
        <v>4.8077270421892381E-4</v>
      </c>
      <c r="CK17">
        <f>BS17*CC17^(LN(Constants!$B$2/Constants!$B$5))</f>
        <v>20808.204963447537</v>
      </c>
      <c r="CL17" s="33">
        <f>CK17*SQRT((BT17/BS17)^2+((BS17*($CC17+$CD17)^(LN(Constants!$B$2/Constants!$B$5))-CK17)/CK17)^2)</f>
        <v>15.846344756240478</v>
      </c>
      <c r="CM17">
        <f>CK17*Constants!$C$17/AVERAGE(CK16,CK18)</f>
        <v>17866.529523952424</v>
      </c>
      <c r="CN17">
        <f>CM17*SQRT(((CK16-CK18)/CK18/4)^2+(CL17/CK17)^2+AVERAGE(CL16/CK16,CL18/CK18)^2)</f>
        <v>19.449922008831905</v>
      </c>
      <c r="CO17">
        <f>1/CM17*CE17*CI17</f>
        <v>2.8107756006515997E-2</v>
      </c>
      <c r="CQ17">
        <f>$K17/$J17</f>
        <v>1.0512793260721893E-4</v>
      </c>
      <c r="CR17">
        <f>$BN17/$BM17</f>
        <v>1.0590518746987644E-4</v>
      </c>
      <c r="CS17">
        <f>$CF17/$CE17</f>
        <v>2.9574836003264365E-4</v>
      </c>
      <c r="CT17">
        <f>$Q17/$P17</f>
        <v>4.921545871619836E-4</v>
      </c>
      <c r="CU17">
        <f>$BT17/$BS17</f>
        <v>5.2186550729058849E-4</v>
      </c>
      <c r="CV17">
        <f>$CL17/$CK17</f>
        <v>7.6154309245207621E-4</v>
      </c>
      <c r="CW17">
        <f>$CN17/$CM17</f>
        <v>1.08862339397009E-3</v>
      </c>
      <c r="CY17" s="82">
        <f>$CQ17/$CS17</f>
        <v>0.35546412698827912</v>
      </c>
      <c r="CZ17" s="82">
        <f>$CR17/$CS17-$CY17</f>
        <v>2.6280952583193073E-3</v>
      </c>
      <c r="DA17" s="82">
        <f>$CS17/$CS17-$CZ17-$CY17</f>
        <v>0.64190777775340158</v>
      </c>
      <c r="DB17" s="82">
        <f>$CT17/$CW17</f>
        <v>0.45208893166180258</v>
      </c>
      <c r="DC17" s="82">
        <f>$CU17/$CW17-$DB17</f>
        <v>2.7292193327071945E-2</v>
      </c>
      <c r="DD17" s="82">
        <f>$CV17/$CW17-$DC17-$DB17</f>
        <v>0.22016574922885851</v>
      </c>
      <c r="DE17" s="82">
        <f>$CW17/$CW17-$DD17-$DC17-$DB17</f>
        <v>0.30045312578226696</v>
      </c>
    </row>
    <row r="18" spans="1:109">
      <c r="A18" s="73" t="str">
        <f t="shared" si="0"/>
        <v>U 13.5 ppb</v>
      </c>
      <c r="B18" s="73"/>
      <c r="C18" s="73"/>
      <c r="J18" s="1">
        <v>165064</v>
      </c>
      <c r="K18" s="1">
        <v>136000</v>
      </c>
      <c r="L18" s="1">
        <v>140.64009999999999</v>
      </c>
      <c r="M18" s="1">
        <v>1.15E-2</v>
      </c>
      <c r="N18" s="1">
        <v>-2.0920619999999999</v>
      </c>
      <c r="O18" s="1">
        <v>1.17</v>
      </c>
      <c r="P18" s="1">
        <v>22591.65</v>
      </c>
      <c r="Q18" s="1">
        <v>15.5</v>
      </c>
      <c r="R18" s="1">
        <v>12.51371</v>
      </c>
      <c r="S18" s="1">
        <v>4.3700000000000003E-2</v>
      </c>
      <c r="T18" s="1">
        <v>6.0631800000000001E-6</v>
      </c>
      <c r="U18" s="1">
        <v>6.0299999999999999E-6</v>
      </c>
      <c r="V18" s="1">
        <v>34576.120000000003</v>
      </c>
      <c r="W18" s="1">
        <v>119</v>
      </c>
      <c r="X18" t="s">
        <v>337</v>
      </c>
      <c r="Y18" t="s">
        <v>327</v>
      </c>
      <c r="Z18">
        <v>565</v>
      </c>
      <c r="AB18" s="62" cm="1">
        <f t="array" ref="AB18:AP18">U!A35:O35</f>
        <v>12.517440000000001</v>
      </c>
      <c r="AC18" s="62">
        <v>8.5199999999999998E-2</v>
      </c>
      <c r="AD18" s="62">
        <v>1.7307099999999999E-5</v>
      </c>
      <c r="AE18" s="62">
        <v>1.0699999999999999E-5</v>
      </c>
      <c r="AF18" s="62">
        <v>629.88040000000001</v>
      </c>
      <c r="AG18" s="62">
        <v>11.3</v>
      </c>
      <c r="AH18" s="62">
        <v>317.4393</v>
      </c>
      <c r="AI18" s="62">
        <v>9.92</v>
      </c>
      <c r="AJ18" s="62">
        <v>90.810990000000004</v>
      </c>
      <c r="AK18" s="62">
        <v>3.11</v>
      </c>
      <c r="AL18" s="62">
        <v>46.605609999999999</v>
      </c>
      <c r="AM18" s="62">
        <v>3.59</v>
      </c>
      <c r="AN18" s="63" t="str">
        <v>U 13.5 ppb tail</v>
      </c>
      <c r="AO18" s="63" t="str">
        <v xml:space="preserve"> March 14</v>
      </c>
      <c r="AP18" s="63">
        <v>566</v>
      </c>
      <c r="AQ18" s="1"/>
      <c r="AR18" s="1">
        <f>Constants!B$25</f>
        <v>2.2917410000000001E-6</v>
      </c>
      <c r="AS18" s="1">
        <f t="shared" si="1"/>
        <v>12.51371</v>
      </c>
      <c r="AT18" s="1">
        <f t="shared" si="2"/>
        <v>6.0631800000000001E-6</v>
      </c>
      <c r="AU18" s="1">
        <f t="shared" si="17"/>
        <v>195.21445648341469</v>
      </c>
      <c r="AV18" s="1">
        <f t="shared" si="3"/>
        <v>8.8976828088148399E-2</v>
      </c>
      <c r="AW18" s="1">
        <f t="shared" si="18"/>
        <v>98.382062134550793</v>
      </c>
      <c r="AX18" s="1">
        <f t="shared" si="4"/>
        <v>34576.120000000003</v>
      </c>
      <c r="AY18">
        <f t="shared" si="25"/>
        <v>59.74703447607552</v>
      </c>
      <c r="AZ18" s="1">
        <f t="shared" si="5"/>
        <v>-2.8981837058366341E-6</v>
      </c>
      <c r="BA18" s="1">
        <f t="shared" si="19"/>
        <v>42.882174952194362</v>
      </c>
      <c r="BB18" s="1">
        <f t="shared" si="6"/>
        <v>-5.2327744666397038</v>
      </c>
      <c r="BC18" s="1">
        <f t="shared" si="20"/>
        <v>51.838384466639702</v>
      </c>
      <c r="BD18">
        <f t="shared" si="7"/>
        <v>1.690018024825592</v>
      </c>
      <c r="BE18" s="1"/>
      <c r="BF18" s="32">
        <f t="shared" si="8"/>
        <v>7.6496338119783476E-8</v>
      </c>
      <c r="BG18" s="1">
        <f t="shared" si="9"/>
        <v>1.7279855135878611E-3</v>
      </c>
      <c r="BH18" s="1">
        <f t="shared" si="10"/>
        <v>1.7279855135878612E-4</v>
      </c>
      <c r="BI18" s="1">
        <f t="shared" si="11"/>
        <v>1.7715335424713303E-5</v>
      </c>
      <c r="BJ18" s="1">
        <f t="shared" si="12"/>
        <v>1.7715335424713304E-6</v>
      </c>
      <c r="BK18" s="1"/>
      <c r="BL18" s="1"/>
      <c r="BM18" s="1"/>
      <c r="BN18" s="1"/>
      <c r="BO18" s="1">
        <f t="shared" si="27"/>
        <v>140.64259153068394</v>
      </c>
      <c r="BP18" s="33">
        <f t="shared" si="28"/>
        <v>1.1502902472060025E-2</v>
      </c>
      <c r="BQ18" s="1"/>
      <c r="BR18" s="1"/>
      <c r="BS18" s="1">
        <f t="shared" si="29"/>
        <v>22630.755617869228</v>
      </c>
      <c r="BT18" s="1">
        <f t="shared" si="30"/>
        <v>16.013367395008302</v>
      </c>
      <c r="BU18" s="1"/>
      <c r="BV18" s="1"/>
      <c r="BW18" s="1"/>
      <c r="BX18" s="1"/>
      <c r="BY18" s="1"/>
      <c r="BZ18" s="1"/>
      <c r="CA18" s="1"/>
      <c r="CB18" s="1"/>
      <c r="CC18">
        <f>(Constants!$C$18/BO18)^(1/LN(Constants!$B$2/Constants!$B$4))</f>
        <v>0.20398034233388493</v>
      </c>
      <c r="CD18">
        <f>ABS((Constants!$C$18/BO18)^(1/LN(Constants!$B$2/Constants!$B$4))-(Constants!$C$18/(BO18+BP18))^(1/LN(Constants!$B$2/Constants!$B$4)))</f>
        <v>1.3081684875795307E-3</v>
      </c>
      <c r="CK18">
        <f>BS18*$CC18^(LN(Constants!$B$2/Constants!$B$5))</f>
        <v>22027.762149361166</v>
      </c>
      <c r="CL18" s="33">
        <f>CK18*SQRT((BT18/BS18)^2+((BS18*($CC18+$CD18)^(LN(Constants!$B$2/Constants!$B$5))-CK18)/CK18)^2)</f>
        <v>15.769218689842353</v>
      </c>
    </row>
    <row r="19" spans="1:109">
      <c r="A19" s="73" t="str">
        <f>X19</f>
        <v>[BHT] AB13-2E</v>
      </c>
      <c r="B19" t="str">
        <f>IF(NOT(ISBLANK($J19)),IF($T19&lt;Constants!$B$32,"low spike","OK"),"")</f>
        <v>OK</v>
      </c>
      <c r="C19" t="str">
        <f>IF(NOT(ISBLANK($J19)), IF((ABS($L18-$L20)/$L18)&gt;Constants!$B$33,"variable mass bias","OK"), "")</f>
        <v>OK</v>
      </c>
      <c r="D19" t="str">
        <f>IF(NOT(ISBLANK($J19)), IF((ABS($P18-$P20)/$P18)&gt;Constants!$B$34,"variable IC yield","OK"),"")</f>
        <v>OK</v>
      </c>
      <c r="E19" s="34">
        <f>CE19</f>
        <v>702.40849763609663</v>
      </c>
      <c r="F19" s="34">
        <f>CF19</f>
        <v>0.14807906300581625</v>
      </c>
      <c r="G19" s="34">
        <f>CM19</f>
        <v>17923.884404366687</v>
      </c>
      <c r="H19" s="48">
        <f>CN19</f>
        <v>18.808967415907606</v>
      </c>
      <c r="I19" s="33"/>
      <c r="J19" s="1">
        <v>711.72739999999999</v>
      </c>
      <c r="K19" s="1">
        <v>8.6099999999999996E-2</v>
      </c>
      <c r="L19" s="1">
        <v>140.53120000000001</v>
      </c>
      <c r="M19" s="1">
        <v>6.0000000000000001E-3</v>
      </c>
      <c r="N19" s="1">
        <v>0.99997749999999996</v>
      </c>
      <c r="O19" s="1">
        <v>2.41E-4</v>
      </c>
      <c r="P19" s="1">
        <v>21414.95</v>
      </c>
      <c r="Q19" s="1">
        <v>10.4</v>
      </c>
      <c r="R19" s="1">
        <v>39.566450000000003</v>
      </c>
      <c r="S19" s="1">
        <v>2.5000000000000001E-2</v>
      </c>
      <c r="T19" s="1">
        <v>5.5592139999999998E-2</v>
      </c>
      <c r="U19" s="1">
        <v>3.4700000000000003E-5</v>
      </c>
      <c r="V19" s="1">
        <v>115332.1</v>
      </c>
      <c r="W19" s="1">
        <v>88.8</v>
      </c>
      <c r="X19" t="s">
        <v>333</v>
      </c>
      <c r="Y19" t="s">
        <v>327</v>
      </c>
      <c r="Z19">
        <v>568</v>
      </c>
      <c r="AB19" s="1">
        <f>R19</f>
        <v>39.566450000000003</v>
      </c>
      <c r="AC19" s="1">
        <f>S19</f>
        <v>2.5000000000000001E-2</v>
      </c>
      <c r="AD19" s="1">
        <f>T19</f>
        <v>5.5592139999999998E-2</v>
      </c>
      <c r="AE19" s="1">
        <f>U19</f>
        <v>3.4700000000000003E-5</v>
      </c>
      <c r="AF19" s="1">
        <f>AVERAGE(AF18/$AB18,AF20/$AB20)*$AB19</f>
        <v>2044.6057485375884</v>
      </c>
      <c r="AG19" s="1">
        <f>AVERAGE(AG18/AF18,AG20/AF20)*AF19</f>
        <v>35.345852537226648</v>
      </c>
      <c r="AH19" s="1">
        <f>AVERAGE(AH18/$AB18,AH20/$AB20)*$AB19</f>
        <v>1025.9386085745687</v>
      </c>
      <c r="AI19" s="1">
        <f>AVERAGE(AI18/AH18,AI20/AH20)*AH19</f>
        <v>27.755192407290203</v>
      </c>
      <c r="AJ19" s="1">
        <f>AVERAGE(AJ18/$AB18,AJ20/$AB20)*$AB19</f>
        <v>294.37373458647238</v>
      </c>
      <c r="AK19" s="1">
        <f>AVERAGE(AK18/AJ18,AK20/AJ20)*AJ19</f>
        <v>12.307934161997862</v>
      </c>
      <c r="AL19" s="1">
        <f>AVERAGE(AL18/$AB18,AL20/$AB20)*$AB19</f>
        <v>157.49881047710417</v>
      </c>
      <c r="AM19" s="1">
        <f>AVERAGE(AM18/AL18,AM20/AL20)*AL19</f>
        <v>13.749742714701455</v>
      </c>
      <c r="AR19" s="1">
        <f>Constants!B$25</f>
        <v>2.2917410000000001E-6</v>
      </c>
      <c r="AS19" s="1">
        <f>R19</f>
        <v>39.566450000000003</v>
      </c>
      <c r="AT19" s="1">
        <f>MAX(0.000001,T19)</f>
        <v>5.5592139999999998E-2</v>
      </c>
      <c r="AU19" s="1">
        <f t="shared" si="17"/>
        <v>628.97170903873291</v>
      </c>
      <c r="AV19" s="1">
        <f>AS19/L19</f>
        <v>0.28154922180981873</v>
      </c>
      <c r="AW19" s="1">
        <f t="shared" si="18"/>
        <v>318.47703415100034</v>
      </c>
      <c r="AX19" s="1">
        <f>V19</f>
        <v>115332.1</v>
      </c>
      <c r="AY19">
        <f t="shared" si="25"/>
        <v>208.10264363166701</v>
      </c>
      <c r="AZ19" s="1">
        <f>AT19/N19</f>
        <v>5.5593390851294153E-2</v>
      </c>
      <c r="BA19" s="1">
        <f t="shared" si="19"/>
        <v>137.3021605183219</v>
      </c>
      <c r="BB19" s="1">
        <f>AL19-BC19</f>
        <v>-8.7696215278784564</v>
      </c>
      <c r="BC19" s="1">
        <f t="shared" si="26"/>
        <v>166.26843200498263</v>
      </c>
      <c r="BD19">
        <f>(LN(AF19)-LN(AH19))/(LN(238-236.5))</f>
        <v>1.7007556503791199</v>
      </c>
      <c r="BF19" s="32">
        <f>AY19/AS19/62415093</f>
        <v>8.4267651268216558E-8</v>
      </c>
      <c r="BG19" s="1">
        <f>AY19/AX19</f>
        <v>1.8043774771435445E-3</v>
      </c>
      <c r="BH19" s="1">
        <f>BG19*0.1</f>
        <v>1.8043774771435447E-4</v>
      </c>
      <c r="BI19" s="1">
        <f>AW19/AV19/62415093</f>
        <v>1.8123170110863112E-5</v>
      </c>
      <c r="BJ19" s="1">
        <f>BI19*0.1</f>
        <v>1.8123170110863114E-6</v>
      </c>
      <c r="BK19" s="1">
        <f>AU19/AT19/62415093</f>
        <v>1.8127090255105034E-4</v>
      </c>
      <c r="BL19" s="1">
        <f>BK19*0.1</f>
        <v>1.8127090255105033E-5</v>
      </c>
      <c r="BM19" s="1">
        <f>J19/(1-(AU19/62415093)/AT19)</f>
        <v>711.85643885915874</v>
      </c>
      <c r="BN19" s="33">
        <f>SQRT((K19/(1-BK19))^2+(BL19*J19/(1-BK19)^2)^2)</f>
        <v>8.7077373551166376E-2</v>
      </c>
      <c r="BO19" s="1">
        <f>L19/(1-AW19/62415093/AV19)</f>
        <v>140.53374691700171</v>
      </c>
      <c r="BP19" s="33">
        <f>SQRT((M19/(1-BI19))^2+(BJ19*L19/(1-BI19)^2)^2)</f>
        <v>6.0055120611937039E-3</v>
      </c>
      <c r="BQ19" s="1">
        <f>N19*(1-BK19)</f>
        <v>0.99979623317604427</v>
      </c>
      <c r="BR19">
        <f>SQRT(O19^2+BL19^2)</f>
        <v>2.4168076340726154E-4</v>
      </c>
      <c r="BS19" s="1">
        <f>P19/(1-BG19)</f>
        <v>21453.660501811755</v>
      </c>
      <c r="BT19" s="1">
        <f>SQRT((Q19/(1-BG19))^2+(BH19*P19/(1-BG19)^2)^2)</f>
        <v>11.117132518749667</v>
      </c>
      <c r="BU19">
        <f>(Constants!$C$19/$BQ19)^(1/LN(Constants!$B$3/Constants!$B$6))</f>
        <v>0.2328712554547149</v>
      </c>
      <c r="BV19">
        <f>(Constants!$C$19/($BQ19-BR19))^(1/LN(Constants!$B$3/Constants!$B$6))-BU19</f>
        <v>4.4344307803416416E-3</v>
      </c>
      <c r="BW19">
        <f>$BM19*BU19^(LN(Constants!$B$2/Constants!$B$3))</f>
        <v>703.13502999970797</v>
      </c>
      <c r="BX19" s="33">
        <f>BW19*SQRT((BN19/BM19)^2+(((BM19*($BU19+$BV19)^LN(Constants!$B$2/Constants!$B$3))-BW19)/BW19)^2)</f>
        <v>0.14137997674534278</v>
      </c>
      <c r="BY19">
        <f>BO19*BU19^(LN(Constants!$B$2/Constants!$B$4))</f>
        <v>137.9544262912982</v>
      </c>
      <c r="BZ19" s="33">
        <f>BY19*SQRT((BP19/BO19)^2+(((BO19*($BU19+$BV19)^LN(Constants!$B$2/Constants!$B$4))-BY19)/BY19)^2)</f>
        <v>3.3604407846364315E-2</v>
      </c>
      <c r="CA19">
        <f>BS19*BU19^(LN(Constants!$B$2/Constants!$B$5))</f>
        <v>20929.073470204567</v>
      </c>
      <c r="CB19" s="33">
        <f>CA19*SQRT((BT19/BS19)^2+(((BS19*($BU19+$BV19)^LN(Constants!$B$2/Constants!$B$5))-CA19)/CA19)^2)</f>
        <v>12.752057321776498</v>
      </c>
      <c r="CC19">
        <f>(Constants!$C$18/AVERAGE(BO18,BO20))^(1/LN(Constants!$B$2/Constants!$B$4))</f>
        <v>0.20608200993430645</v>
      </c>
      <c r="CD19">
        <f>MAX(ABS((Constants!$C$18/BO18)^(1/LN(Constants!$B$2/Constants!$B$4))-(Constants!$C$18/BO20)^(1/LN(Constants!$B$2/Constants!$B$4))),CD18,CD20)</f>
        <v>4.2252674097212894E-3</v>
      </c>
      <c r="CE19">
        <f>$BM19*CC19^(LN(Constants!$B$2/Constants!$B$3))</f>
        <v>702.40849763609663</v>
      </c>
      <c r="CF19" s="33">
        <f>CE19*SQRT((BN19/BM19)^2+(($BM19*($CC19+$CD19)^(LN(Constants!$B$2/Constants!$B$3))-CE19)/CE19)^2)</f>
        <v>0.14807906300581625</v>
      </c>
      <c r="CG19">
        <f>BO19*CC19^(LN(Constants!$B$2/Constants!$B$4))</f>
        <v>137.74027943104517</v>
      </c>
      <c r="CH19" s="33">
        <f>CG19*SQRT((BP19/BO19)^2+((BO19*($CC19+$CD19)^(LN(Constants!$B$2/Constants!$B$4))-CG19)/CG19)^2)</f>
        <v>3.6024151381424528E-2</v>
      </c>
      <c r="CI19">
        <f>BQ19*$CC19^(LN(Constants!$B$3/Constants!$B$6))</f>
        <v>0.97976068386939885</v>
      </c>
      <c r="CJ19" s="33">
        <f>CI19*SQRT((BR19/BQ19)^2+((BQ19*($CC19+$CD19)^(LN(Constants!$B$3/Constants!$B$6))-CI19)/CI19)^2)</f>
        <v>3.4793250701919542E-4</v>
      </c>
      <c r="CK19">
        <f>BS19*CC19^(LN(Constants!$B$2/Constants!$B$5))</f>
        <v>20885.667207743852</v>
      </c>
      <c r="CL19" s="33">
        <f>CK19*SQRT((BT19/BS19)^2+((BS19*($CC19+$CD19)^(LN(Constants!$B$2/Constants!$B$5))-CK19)/CK19)^2)</f>
        <v>13.000168223366357</v>
      </c>
      <c r="CM19">
        <f>CK19*Constants!$C$17/AVERAGE(CK18,CK20)</f>
        <v>17923.884404366687</v>
      </c>
      <c r="CN19">
        <f>CM19*SQRT(((CK18-CK20)/CK20/4)^2+(CL19/CK19)^2+AVERAGE(CL18/CK18,CL20/CK20)^2)</f>
        <v>18.808967415907606</v>
      </c>
      <c r="CO19">
        <f>1/CM19*CE19*CI19</f>
        <v>3.83952615668487E-2</v>
      </c>
      <c r="CQ19">
        <f>$K19/$J19</f>
        <v>1.2097328274842306E-4</v>
      </c>
      <c r="CR19">
        <f>$BN19/$BM19</f>
        <v>1.2232434631162295E-4</v>
      </c>
      <c r="CS19">
        <f>$CF19/$CE19</f>
        <v>2.1081616111445872E-4</v>
      </c>
      <c r="CT19">
        <f>$Q19/$P19</f>
        <v>4.8564203978995984E-4</v>
      </c>
      <c r="CU19">
        <f>$BT19/$BS19</f>
        <v>5.181928052702628E-4</v>
      </c>
      <c r="CV19">
        <f>$CL19/$CK19</f>
        <v>6.224444780268374E-4</v>
      </c>
      <c r="CW19">
        <f>$CN19/$CM19</f>
        <v>1.0493800892470212E-3</v>
      </c>
      <c r="CY19" s="82">
        <f>$CQ19/$CS19</f>
        <v>0.5738330596141672</v>
      </c>
      <c r="CZ19" s="82">
        <f>$CR19/$CS19-$CY19</f>
        <v>6.4087286100724672E-3</v>
      </c>
      <c r="DA19" s="82">
        <f>$CS19/$CS19-$CZ19-$CY19</f>
        <v>0.41975821177576034</v>
      </c>
      <c r="DB19" s="82">
        <f>$CT19/$CW19</f>
        <v>0.46278945519009274</v>
      </c>
      <c r="DC19" s="82">
        <f>$CU19/$CW19-$DB19</f>
        <v>3.1019042398316932E-2</v>
      </c>
      <c r="DD19" s="82">
        <f>$CV19/$CW19-$DC19-$DB19</f>
        <v>9.934596036730603E-2</v>
      </c>
      <c r="DE19" s="82">
        <f>$CW19/$CW19-$DD19-$DC19-$DB19</f>
        <v>0.40684554204428436</v>
      </c>
    </row>
    <row r="20" spans="1:109">
      <c r="A20" s="73" t="str">
        <f t="shared" si="0"/>
        <v>U 13.5 ppb</v>
      </c>
      <c r="B20" s="73"/>
      <c r="C20" s="73"/>
      <c r="J20" s="1">
        <v>67182.649999999994</v>
      </c>
      <c r="K20" s="1">
        <v>273000</v>
      </c>
      <c r="L20" s="1">
        <v>140.60339999999999</v>
      </c>
      <c r="M20" s="1">
        <v>1.06E-2</v>
      </c>
      <c r="N20" s="1">
        <v>1.137505</v>
      </c>
      <c r="O20" s="1">
        <v>1.1399999999999999</v>
      </c>
      <c r="P20" s="1">
        <v>22619.64</v>
      </c>
      <c r="Q20" s="1">
        <v>15.6</v>
      </c>
      <c r="R20" s="1">
        <v>12.804830000000001</v>
      </c>
      <c r="S20" s="1">
        <v>7.1300000000000001E-3</v>
      </c>
      <c r="T20" s="1">
        <v>-7.5982910000000001E-6</v>
      </c>
      <c r="U20" s="1">
        <v>4.6800000000000001E-6</v>
      </c>
      <c r="V20" s="1">
        <v>35337.17</v>
      </c>
      <c r="W20" s="1">
        <v>32</v>
      </c>
      <c r="X20" t="s">
        <v>337</v>
      </c>
      <c r="Y20" t="s">
        <v>327</v>
      </c>
      <c r="Z20">
        <v>571</v>
      </c>
      <c r="AB20" s="62" cm="1">
        <f t="array" ref="AB20:AP20">U!A36:O36</f>
        <v>12.69627</v>
      </c>
      <c r="AC20" s="62">
        <v>2.64E-2</v>
      </c>
      <c r="AD20" s="62">
        <v>9.6681789999999992E-6</v>
      </c>
      <c r="AE20" s="62">
        <v>1.3200000000000001E-5</v>
      </c>
      <c r="AF20" s="62">
        <v>673.28639999999996</v>
      </c>
      <c r="AG20" s="62">
        <v>11.2</v>
      </c>
      <c r="AH20" s="62">
        <v>336.44170000000003</v>
      </c>
      <c r="AI20" s="62">
        <v>7.69</v>
      </c>
      <c r="AJ20" s="62">
        <v>96.811719999999994</v>
      </c>
      <c r="AK20" s="62">
        <v>4.78</v>
      </c>
      <c r="AL20" s="62">
        <v>53.806489999999997</v>
      </c>
      <c r="AM20" s="62">
        <v>5.25</v>
      </c>
      <c r="AN20" s="63" t="str">
        <v>U 13.5 ppb tail</v>
      </c>
      <c r="AO20" s="63" t="str">
        <v xml:space="preserve"> March 14</v>
      </c>
      <c r="AP20" s="63">
        <v>572</v>
      </c>
      <c r="AQ20" s="1"/>
      <c r="AR20" s="1">
        <f>Constants!B$25</f>
        <v>2.2917410000000001E-6</v>
      </c>
      <c r="AS20" s="1">
        <f t="shared" si="1"/>
        <v>12.804830000000001</v>
      </c>
      <c r="AT20" s="1">
        <f t="shared" si="2"/>
        <v>9.9999999999999995E-7</v>
      </c>
      <c r="AU20" s="1">
        <f t="shared" si="17"/>
        <v>205.65588667985239</v>
      </c>
      <c r="AV20" s="1">
        <f t="shared" si="3"/>
        <v>9.1070557326494245E-2</v>
      </c>
      <c r="AW20" s="1">
        <f t="shared" si="18"/>
        <v>102.76644757924639</v>
      </c>
      <c r="AX20" s="1">
        <f t="shared" si="4"/>
        <v>35337.17</v>
      </c>
      <c r="AY20">
        <f t="shared" si="25"/>
        <v>67.667647522193562</v>
      </c>
      <c r="AZ20" s="1">
        <f t="shared" si="5"/>
        <v>8.7911701487026428E-7</v>
      </c>
      <c r="BA20" s="1">
        <f t="shared" si="19"/>
        <v>44.344235253871922</v>
      </c>
      <c r="BB20" s="1">
        <f t="shared" si="6"/>
        <v>6.119543601649724E-2</v>
      </c>
      <c r="BC20" s="1">
        <f t="shared" si="20"/>
        <v>53.745294563983499</v>
      </c>
      <c r="BD20">
        <f t="shared" si="7"/>
        <v>1.7109879554766336</v>
      </c>
      <c r="BE20" s="1"/>
      <c r="BF20" s="32">
        <f t="shared" si="8"/>
        <v>8.466767604112794E-8</v>
      </c>
      <c r="BG20" s="1">
        <f t="shared" si="9"/>
        <v>1.9149141689103447E-3</v>
      </c>
      <c r="BH20" s="1">
        <f t="shared" si="10"/>
        <v>1.9149141689103448E-4</v>
      </c>
      <c r="BI20" s="1">
        <f t="shared" si="11"/>
        <v>1.8079388109011388E-5</v>
      </c>
      <c r="BJ20" s="1">
        <f t="shared" si="12"/>
        <v>1.8079388109011389E-6</v>
      </c>
      <c r="BK20" s="1"/>
      <c r="BL20" s="1"/>
      <c r="BM20" s="1"/>
      <c r="BN20" s="1"/>
      <c r="BO20" s="1">
        <f t="shared" si="27"/>
        <v>140.60594206939712</v>
      </c>
      <c r="BP20" s="33">
        <f t="shared" si="28"/>
        <v>1.0603239430247753E-2</v>
      </c>
      <c r="BQ20" s="1"/>
      <c r="BR20" s="1"/>
      <c r="BS20" s="1">
        <f t="shared" si="29"/>
        <v>22663.037772140422</v>
      </c>
      <c r="BT20" s="1">
        <f t="shared" si="30"/>
        <v>16.223461859093685</v>
      </c>
      <c r="BU20" s="1"/>
      <c r="BV20" s="1"/>
      <c r="BW20" s="1"/>
      <c r="BX20" s="1"/>
      <c r="BY20" s="1"/>
      <c r="BZ20" s="1"/>
      <c r="CA20" s="1"/>
      <c r="CB20" s="1"/>
      <c r="CC20">
        <f>(Constants!$C$18/BO20)^(1/LN(Constants!$B$2/Constants!$B$4))</f>
        <v>0.20820560974360622</v>
      </c>
      <c r="CD20">
        <f>ABS((Constants!$C$18/BO20)^(1/LN(Constants!$B$2/Constants!$B$4))-(Constants!$C$18/(BO20+BP20))^(1/LN(Constants!$B$2/Constants!$B$4)))</f>
        <v>1.2314656773405597E-3</v>
      </c>
      <c r="CK20">
        <f>BS20*$CC20^(LN(Constants!$B$2/Constants!$B$5))</f>
        <v>22066.868589052454</v>
      </c>
      <c r="CL20" s="33">
        <f>CK20*SQRT((BT20/BS20)^2+((BS20*($CC20+$CD20)^(LN(Constants!$B$2/Constants!$B$5))-CK20)/CK20)^2)</f>
        <v>15.950646868490075</v>
      </c>
      <c r="CR20" s="1"/>
      <c r="CS20" s="1"/>
      <c r="CU20" s="1"/>
      <c r="CV20" s="1"/>
      <c r="CW20" s="1"/>
    </row>
    <row r="21" spans="1:109">
      <c r="A21" s="73" t="str">
        <f>X21</f>
        <v>[BHT] AB13-2F</v>
      </c>
      <c r="B21" t="str">
        <f>IF(NOT(ISBLANK($J21)),IF($T21&lt;Constants!$B$32,"low spike","OK"),"")</f>
        <v>OK</v>
      </c>
      <c r="C21" t="str">
        <f>IF(NOT(ISBLANK($J21)), IF((ABS($L20-$L22)/$L20)&gt;Constants!$B$33,"variable mass bias","OK"), "")</f>
        <v>OK</v>
      </c>
      <c r="D21" t="str">
        <f>IF(NOT(ISBLANK($J21)), IF((ABS($P20-$P22)/$P20)&gt;Constants!$B$34,"variable IC yield","OK"),"")</f>
        <v>OK</v>
      </c>
      <c r="E21" s="34">
        <f>CE21</f>
        <v>628.3262756475184</v>
      </c>
      <c r="F21" s="34">
        <f>CF21</f>
        <v>0.13640636084110924</v>
      </c>
      <c r="G21" s="34">
        <f>CM21</f>
        <v>17899.001640088933</v>
      </c>
      <c r="H21" s="48">
        <f>CN21</f>
        <v>20.003913154920795</v>
      </c>
      <c r="I21" s="33"/>
      <c r="J21" s="1">
        <v>636.67690000000005</v>
      </c>
      <c r="K21" s="1">
        <v>7.4499999999999997E-2</v>
      </c>
      <c r="L21" s="1">
        <v>140.50720000000001</v>
      </c>
      <c r="M21" s="1">
        <v>6.0200000000000002E-3</v>
      </c>
      <c r="N21" s="1">
        <v>1.0002439999999999</v>
      </c>
      <c r="O21" s="1">
        <v>3.21E-4</v>
      </c>
      <c r="P21" s="1">
        <v>21380.78</v>
      </c>
      <c r="Q21" s="1">
        <v>9.7899999999999991</v>
      </c>
      <c r="R21" s="1">
        <v>33.951230000000002</v>
      </c>
      <c r="S21" s="1">
        <v>2.3E-2</v>
      </c>
      <c r="T21" s="1">
        <v>5.3325709999999998E-2</v>
      </c>
      <c r="U21" s="1">
        <v>3.7100000000000001E-5</v>
      </c>
      <c r="V21" s="1">
        <v>99122.57</v>
      </c>
      <c r="W21" s="1">
        <v>85.5</v>
      </c>
      <c r="X21" t="s">
        <v>334</v>
      </c>
      <c r="Y21" t="s">
        <v>327</v>
      </c>
      <c r="Z21">
        <v>574</v>
      </c>
      <c r="AB21" s="1">
        <f>R21</f>
        <v>33.951230000000002</v>
      </c>
      <c r="AC21" s="1">
        <f>S21</f>
        <v>2.3E-2</v>
      </c>
      <c r="AD21" s="1">
        <f>T21</f>
        <v>5.3325709999999998E-2</v>
      </c>
      <c r="AE21" s="1">
        <f>U21</f>
        <v>3.7100000000000001E-5</v>
      </c>
      <c r="AF21" s="1">
        <f>AVERAGE(AF20/$AB20,AF22/$AB22)*$AB21</f>
        <v>1737.9356097299979</v>
      </c>
      <c r="AG21" s="1">
        <f>AVERAGE(AG20/AF20,AG22/AF22)*AF21</f>
        <v>27.838462947987587</v>
      </c>
      <c r="AH21" s="1">
        <f>AVERAGE(AH20/$AB20,AH22/$AB22)*$AB21</f>
        <v>881.77749275145857</v>
      </c>
      <c r="AI21" s="1">
        <f>AVERAGE(AI20/AH20,AI22/AH22)*AH21</f>
        <v>16.641172204589626</v>
      </c>
      <c r="AJ21" s="1">
        <f>AVERAGE(AJ20/$AB20,AJ22/$AB22)*$AB21</f>
        <v>267.87990313658287</v>
      </c>
      <c r="AK21" s="1">
        <f>AVERAGE(AK20/AJ20,AK22/AJ22)*AJ21</f>
        <v>10.356713829385836</v>
      </c>
      <c r="AL21" s="1">
        <f>AVERAGE(AL20/$AB20,AL22/$AB22)*$AB21</f>
        <v>136.52811018066333</v>
      </c>
      <c r="AM21" s="1">
        <f>AVERAGE(AM20/AL20,AM22/AL22)*AL21</f>
        <v>8.7342466202904259</v>
      </c>
      <c r="AR21" s="1">
        <f>Constants!B$25</f>
        <v>2.2917410000000001E-6</v>
      </c>
      <c r="AS21" s="1">
        <f>R21</f>
        <v>33.951230000000002</v>
      </c>
      <c r="AT21" s="1">
        <f>MAX(0.000001,T21)</f>
        <v>5.3325709999999998E-2</v>
      </c>
      <c r="AU21" s="1">
        <f t="shared" si="17"/>
        <v>544.85884054463702</v>
      </c>
      <c r="AV21" s="1">
        <f>AS21/L21</f>
        <v>0.24163338248858421</v>
      </c>
      <c r="AW21" s="1">
        <f t="shared" si="18"/>
        <v>279.17507489899026</v>
      </c>
      <c r="AX21" s="1">
        <f>V21</f>
        <v>99122.57</v>
      </c>
      <c r="AY21">
        <f t="shared" si="25"/>
        <v>181.07194243155777</v>
      </c>
      <c r="AZ21" s="1">
        <f>AT21/N21</f>
        <v>5.331270170078501E-2</v>
      </c>
      <c r="BA21" s="1">
        <f t="shared" si="19"/>
        <v>121.90003962082056</v>
      </c>
      <c r="BB21" s="1">
        <f>AL21-BC21</f>
        <v>-10.596936861920938</v>
      </c>
      <c r="BC21" s="1">
        <f t="shared" si="26"/>
        <v>147.12504704258427</v>
      </c>
      <c r="BD21">
        <f>(LN(AF21)-LN(AH21))/(LN(238-236.5))</f>
        <v>1.6734202147015556</v>
      </c>
      <c r="BF21" s="32">
        <f>AY21/AS21/62415093</f>
        <v>8.5448811354884917E-8</v>
      </c>
      <c r="BG21" s="1">
        <f>AY21/AX21</f>
        <v>1.8267478580464343E-3</v>
      </c>
      <c r="BH21" s="1">
        <f>BG21*0.1</f>
        <v>1.8267478580464343E-4</v>
      </c>
      <c r="BI21" s="1">
        <f>AW21/AV21/62415093</f>
        <v>1.8511008745101068E-5</v>
      </c>
      <c r="BJ21" s="1">
        <f>BI21*0.1</f>
        <v>1.8511008745101069E-6</v>
      </c>
      <c r="BK21" s="1">
        <f>AU21/AT21/62415093</f>
        <v>1.6370341278235478E-4</v>
      </c>
      <c r="BL21" s="1">
        <f>BK21*0.1</f>
        <v>1.637034127823548E-5</v>
      </c>
      <c r="BM21" s="1">
        <f>J21/(1-(AU21/62415093)/AT21)</f>
        <v>636.78114324634498</v>
      </c>
      <c r="BN21" s="33">
        <f>SQRT((K21/(1-BK21))^2+(BL21*J21/(1-BK21)^2)^2)</f>
        <v>7.5238087210155638E-2</v>
      </c>
      <c r="BO21" s="1">
        <f>L21/(1-AW21/62415093/AV21)</f>
        <v>140.50980097815469</v>
      </c>
      <c r="BP21" s="33">
        <f>SQRT((M21/(1-BI21))^2+(BJ21*L21/(1-BI21)^2)^2)</f>
        <v>6.0257277658578509E-3</v>
      </c>
      <c r="BQ21" s="1">
        <f>N21*(1-BK21)</f>
        <v>1.0000802566435849</v>
      </c>
      <c r="BR21">
        <f>SQRT(O21^2+BL21^2)</f>
        <v>3.2141715584823081E-4</v>
      </c>
      <c r="BS21" s="1">
        <f>P21/(1-BG21)</f>
        <v>21419.908772469658</v>
      </c>
      <c r="BT21" s="1">
        <f>SQRT((Q21/(1-BG21))^2+(BH21*P21/(1-BG21)^2)^2)</f>
        <v>10.562287966606013</v>
      </c>
      <c r="BU21">
        <f>(Constants!$C$19/$BQ21)^(1/LN(Constants!$B$3/Constants!$B$6))</f>
        <v>0.22776703230147086</v>
      </c>
      <c r="BV21">
        <f>(Constants!$C$19/($BQ21-BR21))^(1/LN(Constants!$B$3/Constants!$B$6))-BU21</f>
        <v>5.7848060218857467E-3</v>
      </c>
      <c r="BW21">
        <f>$BM21*BU21^(LN(Constants!$B$2/Constants!$B$3))</f>
        <v>628.86162233177492</v>
      </c>
      <c r="BX21" s="33">
        <f>BW21*SQRT((BN21/BM21)^2+(((BM21*($BU21+$BV21)^LN(Constants!$B$2/Constants!$B$3))-BW21)/BW21)^2)</f>
        <v>0.15272771727648499</v>
      </c>
      <c r="BY21">
        <f>BO21*BU21^(LN(Constants!$B$2/Constants!$B$4))</f>
        <v>137.89206735137066</v>
      </c>
      <c r="BZ21" s="33">
        <f>BY21*SQRT((BP21/BO21)^2+(((BO21*($BU21+$BV21)^LN(Constants!$B$2/Constants!$B$4))-BY21)/BY21)^2)</f>
        <v>4.4365212455371346E-2</v>
      </c>
      <c r="CA21">
        <f>BS21*BU21^(LN(Constants!$B$2/Constants!$B$5))</f>
        <v>20888.281244609101</v>
      </c>
      <c r="CB21" s="33">
        <f>CA21*SQRT((BT21/BS21)^2+(((BS21*($BU21+$BV21)^LN(Constants!$B$2/Constants!$B$5))-CA21)/CA21)^2)</f>
        <v>13.613757874194659</v>
      </c>
      <c r="CC21">
        <f>(Constants!$C$18/AVERAGE(BO20,BO22))^(1/LN(Constants!$B$2/Constants!$B$4))</f>
        <v>0.20595235809452617</v>
      </c>
      <c r="CD21">
        <f>MAX(ABS((Constants!$C$18/BO20)^(1/LN(Constants!$B$2/Constants!$B$4))-(Constants!$C$18/BO22)^(1/LN(Constants!$B$2/Constants!$B$4))),CD20,CD22)</f>
        <v>4.4818114856872426E-3</v>
      </c>
      <c r="CE21">
        <f>$BM21*CC21^(LN(Constants!$B$2/Constants!$B$3))</f>
        <v>628.3262756475184</v>
      </c>
      <c r="CF21" s="33">
        <f>CE21*SQRT((BN21/BM21)^2+(($BM21*($CC21+$CD21)^(LN(Constants!$B$2/Constants!$B$3))-CE21)/CE21)^2)</f>
        <v>0.13640636084110924</v>
      </c>
      <c r="CG21">
        <f>BO21*CC21^(LN(Constants!$B$2/Constants!$B$4))</f>
        <v>137.71570778345821</v>
      </c>
      <c r="CH21" s="33">
        <f>CG21*SQRT((BP21/BO21)^2+((BO21*($CC21+$CD21)^(LN(Constants!$B$2/Constants!$B$4))-CG21)/CG21)^2)</f>
        <v>3.8151760305081939E-2</v>
      </c>
      <c r="CI21">
        <f>BQ21*$CC21^(LN(Constants!$B$3/Constants!$B$6))</f>
        <v>0.9800311109995884</v>
      </c>
      <c r="CJ21" s="33">
        <f>CI21*SQRT((BR21/BQ21)^2+((BQ21*($CC21+$CD21)^(LN(Constants!$B$3/Constants!$B$6))-CI21)/CI21)^2)</f>
        <v>4.1514435771613503E-4</v>
      </c>
      <c r="CK21">
        <f>BS21*CC21^(LN(Constants!$B$2/Constants!$B$5))</f>
        <v>20852.586132385513</v>
      </c>
      <c r="CL21" s="33">
        <f>CK21*SQRT((BT21/BS21)^2+((BS21*($CC21+$CD21)^(LN(Constants!$B$2/Constants!$B$5))-CK21)/CK21)^2)</f>
        <v>12.802725813842757</v>
      </c>
      <c r="CM21">
        <f>CK21*Constants!$C$17/AVERAGE(CK20,CK22)</f>
        <v>17899.001640088933</v>
      </c>
      <c r="CN21">
        <f>CM21*SQRT(((CK20-CK22)/CK22/4)^2+(CL21/CK21)^2+AVERAGE(CL20/CK20,CL22/CK22)^2)</f>
        <v>20.003913154920795</v>
      </c>
      <c r="CO21">
        <f>1/CM21*CE21*CI21</f>
        <v>3.4402996903128473E-2</v>
      </c>
      <c r="CQ21">
        <f>$K21/$J21</f>
        <v>1.1701382600813693E-4</v>
      </c>
      <c r="CR21">
        <f>$BN21/$BM21</f>
        <v>1.1815376131678109E-4</v>
      </c>
      <c r="CS21">
        <f>$CF21/$CE21</f>
        <v>2.1709478996487355E-4</v>
      </c>
      <c r="CT21">
        <f>$Q21/$P21</f>
        <v>4.5788787873969047E-4</v>
      </c>
      <c r="CU21">
        <f>$BT21/$BS21</f>
        <v>4.9310611351348951E-4</v>
      </c>
      <c r="CV21">
        <f>$CL21/$CK21</f>
        <v>6.1396345434388286E-4</v>
      </c>
      <c r="CW21">
        <f>$CN21/$CM21</f>
        <v>1.1175993810804189E-3</v>
      </c>
      <c r="CY21" s="82">
        <f>$CQ21/$CS21</f>
        <v>0.53899877572865773</v>
      </c>
      <c r="CZ21" s="82">
        <f>$CR21/$CS21-$CY21</f>
        <v>5.2508644211526345E-3</v>
      </c>
      <c r="DA21" s="82">
        <f>$CS21/$CS21-$CZ21-$CY21</f>
        <v>0.45575035985018963</v>
      </c>
      <c r="DB21" s="82">
        <f>$CT21/$CW21</f>
        <v>0.40970663235070487</v>
      </c>
      <c r="DC21" s="82">
        <f>$CU21/$CW21-$DB21</f>
        <v>3.1512396454400682E-2</v>
      </c>
      <c r="DD21" s="82">
        <f>$CV21/$CW21-$DC21-$DB21</f>
        <v>0.10814012863317507</v>
      </c>
      <c r="DE21" s="82">
        <f>$CW21/$CW21-$DD21-$DC21-$DB21</f>
        <v>0.45064084256171938</v>
      </c>
    </row>
    <row r="22" spans="1:109">
      <c r="A22" s="73" t="str">
        <f t="shared" si="0"/>
        <v>U 13.5 ppb</v>
      </c>
      <c r="B22" s="73"/>
      <c r="C22" s="73"/>
      <c r="J22" s="1">
        <v>-447744.5</v>
      </c>
      <c r="K22" s="1">
        <v>345000</v>
      </c>
      <c r="L22" s="1">
        <v>140.64230000000001</v>
      </c>
      <c r="M22" s="1">
        <v>8.4899999999999993E-3</v>
      </c>
      <c r="N22" s="1">
        <v>1.413333</v>
      </c>
      <c r="O22" s="1">
        <v>0.66700000000000004</v>
      </c>
      <c r="P22" s="1">
        <v>22583.37</v>
      </c>
      <c r="Q22" s="1">
        <v>17.5</v>
      </c>
      <c r="R22" s="1">
        <v>12.740740000000001</v>
      </c>
      <c r="S22" s="1">
        <v>4.6699999999999997E-3</v>
      </c>
      <c r="T22" s="1">
        <v>-1.171805E-5</v>
      </c>
      <c r="U22" s="1">
        <v>5.8599999999999998E-6</v>
      </c>
      <c r="V22" s="1">
        <v>35216.800000000003</v>
      </c>
      <c r="W22" s="1">
        <v>26.4</v>
      </c>
      <c r="X22" t="s">
        <v>337</v>
      </c>
      <c r="Y22" t="s">
        <v>327</v>
      </c>
      <c r="Z22">
        <v>577</v>
      </c>
      <c r="AB22" s="62" cm="1">
        <f t="array" ref="AB22:AP22">U!A37:O37</f>
        <v>12.46002</v>
      </c>
      <c r="AC22" s="62">
        <v>5.6800000000000003E-2</v>
      </c>
      <c r="AD22" s="62">
        <v>1.4554570000000001E-5</v>
      </c>
      <c r="AE22" s="62">
        <v>8.3699999999999995E-6</v>
      </c>
      <c r="AF22" s="62">
        <v>614.87840000000006</v>
      </c>
      <c r="AG22" s="62">
        <v>9.4700000000000006</v>
      </c>
      <c r="AH22" s="62">
        <v>317.03919999999999</v>
      </c>
      <c r="AI22" s="62">
        <v>4.72</v>
      </c>
      <c r="AJ22" s="62">
        <v>101.6123</v>
      </c>
      <c r="AK22" s="62">
        <v>2.84</v>
      </c>
      <c r="AL22" s="62">
        <v>47.405709999999999</v>
      </c>
      <c r="AM22" s="62">
        <v>1.44</v>
      </c>
      <c r="AN22" s="63" t="str">
        <v>U 13.5 ppb tail</v>
      </c>
      <c r="AO22" s="63" t="str">
        <v xml:space="preserve"> March 14</v>
      </c>
      <c r="AP22" s="63">
        <v>578</v>
      </c>
      <c r="AQ22" s="1"/>
      <c r="AR22" s="1">
        <f>Constants!B$25</f>
        <v>2.2917410000000001E-6</v>
      </c>
      <c r="AS22" s="1">
        <f t="shared" si="1"/>
        <v>12.740740000000001</v>
      </c>
      <c r="AT22" s="1">
        <f t="shared" si="2"/>
        <v>9.9999999999999995E-7</v>
      </c>
      <c r="AU22" s="1">
        <f t="shared" si="17"/>
        <v>198.15425347011578</v>
      </c>
      <c r="AV22" s="1">
        <f t="shared" si="3"/>
        <v>9.0589673234866039E-2</v>
      </c>
      <c r="AW22" s="1">
        <f t="shared" si="18"/>
        <v>102.17092626979704</v>
      </c>
      <c r="AX22" s="1">
        <f t="shared" si="4"/>
        <v>35216.800000000003</v>
      </c>
      <c r="AY22">
        <f t="shared" si="25"/>
        <v>60.701236819114087</v>
      </c>
      <c r="AZ22" s="1">
        <f t="shared" si="5"/>
        <v>7.0754733668569263E-7</v>
      </c>
      <c r="BA22" s="1">
        <f t="shared" si="19"/>
        <v>45.759366543958507</v>
      </c>
      <c r="BB22" s="1">
        <f t="shared" si="6"/>
        <v>-7.5291413545658088</v>
      </c>
      <c r="BC22" s="1">
        <f t="shared" si="20"/>
        <v>54.934851354565808</v>
      </c>
      <c r="BD22">
        <f t="shared" si="7"/>
        <v>1.6336771916872332</v>
      </c>
      <c r="BE22" s="1"/>
      <c r="BF22" s="32">
        <f t="shared" si="8"/>
        <v>7.6333164142877278E-8</v>
      </c>
      <c r="BG22" s="1">
        <f t="shared" si="9"/>
        <v>1.723644306669376E-3</v>
      </c>
      <c r="BH22" s="1">
        <f t="shared" si="10"/>
        <v>1.723644306669376E-4</v>
      </c>
      <c r="BI22" s="1">
        <f t="shared" si="11"/>
        <v>1.807003590839667E-5</v>
      </c>
      <c r="BJ22" s="1">
        <f t="shared" si="12"/>
        <v>1.8070035908396671E-6</v>
      </c>
      <c r="BK22" s="1"/>
      <c r="BL22" s="1"/>
      <c r="BM22" s="1"/>
      <c r="BN22" s="1"/>
      <c r="BO22" s="1">
        <f t="shared" si="27"/>
        <v>140.64484145733547</v>
      </c>
      <c r="BP22" s="33">
        <f t="shared" si="28"/>
        <v>8.4939565244256283E-3</v>
      </c>
      <c r="BQ22" s="1"/>
      <c r="BR22" s="1"/>
      <c r="BS22" s="1">
        <f t="shared" si="29"/>
        <v>22622.362907028106</v>
      </c>
      <c r="BT22" s="1">
        <f t="shared" si="30"/>
        <v>17.960108184142147</v>
      </c>
      <c r="BU22" s="1"/>
      <c r="BV22" s="1"/>
      <c r="BW22" s="1"/>
      <c r="BX22" s="1"/>
      <c r="BY22" s="1"/>
      <c r="BZ22" s="1"/>
      <c r="CA22" s="1"/>
      <c r="CB22" s="1"/>
      <c r="CC22">
        <f>(Constants!$C$18/BO22)^(1/LN(Constants!$B$2/Constants!$B$4))</f>
        <v>0.20372379825791898</v>
      </c>
      <c r="CD22">
        <f>ABS((Constants!$C$18/BO22)^(1/LN(Constants!$B$2/Constants!$B$4))-(Constants!$C$18/(BO22+BP22))^(1/LN(Constants!$B$2/Constants!$B$4)))</f>
        <v>9.6556728964106164E-4</v>
      </c>
      <c r="CK22">
        <f>BS22*$CC22^(LN(Constants!$B$2/Constants!$B$5))</f>
        <v>22019.12230889346</v>
      </c>
      <c r="CL22" s="33">
        <f>CK22*SQRT((BT22/BS22)^2+((BS22*($CC22+$CD22)^(LN(Constants!$B$2/Constants!$B$5))-CK22)/CK22)^2)</f>
        <v>17.570445383818686</v>
      </c>
    </row>
    <row r="23" spans="1:109">
      <c r="A23" s="73" t="str">
        <f>X23</f>
        <v>[BHT] AB11_AB13_CC5A</v>
      </c>
      <c r="B23" t="str">
        <f>IF(NOT(ISBLANK($J23)),IF($T23&lt;Constants!$B$32,"low spike","OK"),"")</f>
        <v>OK</v>
      </c>
      <c r="C23" t="str">
        <f>IF(NOT(ISBLANK($J23)), IF((ABS($L22-$L24)/$L22)&gt;Constants!$B$33,"variable mass bias","OK"), "")</f>
        <v>OK</v>
      </c>
      <c r="D23" t="str">
        <f>IF(NOT(ISBLANK($J23)), IF((ABS($P22-$P24)/$P22)&gt;Constants!$B$34,"variable IC yield","OK"),"")</f>
        <v>OK</v>
      </c>
      <c r="E23" s="34">
        <f>CE23</f>
        <v>205.25574811880583</v>
      </c>
      <c r="F23" s="34">
        <f>CF23</f>
        <v>1.9631791762990895E-2</v>
      </c>
      <c r="G23" s="34">
        <f>CM23</f>
        <v>9312.5114287235883</v>
      </c>
      <c r="H23" s="48">
        <f>CN23</f>
        <v>8.0268910380814713</v>
      </c>
      <c r="I23" s="33"/>
      <c r="J23" s="1">
        <v>208.03030000000001</v>
      </c>
      <c r="K23" s="1">
        <v>1.4800000000000001E-2</v>
      </c>
      <c r="L23" s="1">
        <v>140.4502</v>
      </c>
      <c r="M23" s="1">
        <v>5.0499999999999998E-3</v>
      </c>
      <c r="N23" s="1">
        <v>1.0005360000000001</v>
      </c>
      <c r="O23" s="1">
        <v>3.1E-4</v>
      </c>
      <c r="P23" s="1">
        <v>11120.7</v>
      </c>
      <c r="Q23" s="1">
        <v>4.24</v>
      </c>
      <c r="R23" s="1">
        <v>27.224</v>
      </c>
      <c r="S23" s="1">
        <v>2.4899999999999999E-2</v>
      </c>
      <c r="T23" s="1">
        <v>0.1308656</v>
      </c>
      <c r="U23" s="1">
        <v>1.2E-4</v>
      </c>
      <c r="V23" s="1">
        <v>152812.5</v>
      </c>
      <c r="W23" s="1">
        <v>148</v>
      </c>
      <c r="X23" t="s">
        <v>335</v>
      </c>
      <c r="Y23" t="s">
        <v>327</v>
      </c>
      <c r="Z23">
        <v>580</v>
      </c>
      <c r="AB23" s="1">
        <f>R23</f>
        <v>27.224</v>
      </c>
      <c r="AC23" s="1">
        <f>S23</f>
        <v>2.4899999999999999E-2</v>
      </c>
      <c r="AD23" s="1">
        <f>T23</f>
        <v>0.1308656</v>
      </c>
      <c r="AE23" s="1">
        <f>U23</f>
        <v>1.2E-4</v>
      </c>
      <c r="AF23" s="1">
        <f>AVERAGE(AF22/$AB22,AF24/$AB24)*$AB23</f>
        <v>1379.8462614636878</v>
      </c>
      <c r="AG23" s="1">
        <f>AVERAGE(AG22/AF22,AG24/AF24)*AF23</f>
        <v>21.762527572269704</v>
      </c>
      <c r="AH23" s="1">
        <f>AVERAGE(AH22/$AB22,AH24/$AB24)*$AB23</f>
        <v>695.68254500993771</v>
      </c>
      <c r="AI23" s="1">
        <f>AVERAGE(AI22/AH22,AI24/AH24)*AH23</f>
        <v>11.405672688842566</v>
      </c>
      <c r="AJ23" s="1">
        <f>AVERAGE(AJ22/$AB22,AJ24/$AB24)*$AB23</f>
        <v>208.61714829410769</v>
      </c>
      <c r="AK23" s="1">
        <f>AVERAGE(AK22/AJ22,AK24/AJ24)*AJ23</f>
        <v>8.3650579793073376</v>
      </c>
      <c r="AL23" s="1">
        <f>AVERAGE(AL22/$AB22,AL24/$AB24)*$AB23</f>
        <v>109.3874575904416</v>
      </c>
      <c r="AM23" s="1">
        <f>AVERAGE(AM22/AL22,AM24/AL24)*AL23</f>
        <v>5.1680373502045942</v>
      </c>
      <c r="AR23" s="1">
        <f>Constants!B$25</f>
        <v>2.2917410000000001E-6</v>
      </c>
      <c r="AS23" s="1">
        <f>R23</f>
        <v>27.224</v>
      </c>
      <c r="AT23" s="1">
        <f>MAX(0.000001,T23)</f>
        <v>0.1308656</v>
      </c>
      <c r="AU23" s="1">
        <f t="shared" si="17"/>
        <v>427.94558117773602</v>
      </c>
      <c r="AV23" s="1">
        <f>AS23/L23</f>
        <v>0.19383382864531343</v>
      </c>
      <c r="AW23" s="1">
        <f t="shared" si="18"/>
        <v>222.39192805417878</v>
      </c>
      <c r="AX23" s="1">
        <f>V23</f>
        <v>152812.5</v>
      </c>
      <c r="AY23">
        <f t="shared" si="25"/>
        <v>157.55650760992086</v>
      </c>
      <c r="AZ23" s="1">
        <f>AT23/N23</f>
        <v>0.13079549361542211</v>
      </c>
      <c r="BA23" s="1">
        <f t="shared" si="19"/>
        <v>95.13088538145135</v>
      </c>
      <c r="BB23" s="1">
        <f>AL23-BC23</f>
        <v>-5.7570243039640587</v>
      </c>
      <c r="BC23" s="1">
        <f t="shared" si="26"/>
        <v>115.14448189440566</v>
      </c>
      <c r="BD23">
        <f>(LN(AF23)-LN(AH23))/(LN(238-236.5))</f>
        <v>1.6890082789431571</v>
      </c>
      <c r="BF23" s="32">
        <f>AY23/AS23/62415093</f>
        <v>9.272456138168018E-8</v>
      </c>
      <c r="BG23" s="1">
        <f>AY23/AX23</f>
        <v>1.0310446305761692E-3</v>
      </c>
      <c r="BH23" s="1">
        <f>BG23*0.1</f>
        <v>1.0310446305761693E-4</v>
      </c>
      <c r="BI23" s="1">
        <f>AW23/AV23/62415093</f>
        <v>1.8382298917242929E-5</v>
      </c>
      <c r="BJ23" s="1">
        <f>BI23*0.1</f>
        <v>1.8382298917242929E-6</v>
      </c>
      <c r="BK23" s="1">
        <f>AU23/AT23/62415093</f>
        <v>5.2393018945429933E-5</v>
      </c>
      <c r="BL23" s="1">
        <f>BK23*0.1</f>
        <v>5.2393018945429933E-6</v>
      </c>
      <c r="BM23" s="1">
        <f>J23/(1-(AU23/62415093)/AT23)</f>
        <v>208.04119990652813</v>
      </c>
      <c r="BN23" s="33">
        <f>SQRT((K23/(1-BK23))^2+(BL23*J23/(1-BK23)^2)^2)</f>
        <v>1.4840861102538494E-2</v>
      </c>
      <c r="BO23" s="1">
        <f>L23/(1-AW23/62415093/AV23)</f>
        <v>140.45278184501964</v>
      </c>
      <c r="BP23" s="33">
        <f>SQRT((M23/(1-BI23))^2+(BJ23*L23/(1-BI23)^2)^2)</f>
        <v>5.0566885708763151E-3</v>
      </c>
      <c r="BQ23" s="1">
        <f>N23*(1-BK23)</f>
        <v>1.0004835788983966</v>
      </c>
      <c r="BR23">
        <f>SQRT(O23^2+BL23^2)</f>
        <v>3.1004427149093107E-4</v>
      </c>
      <c r="BS23" s="1">
        <f>P23/(1-BG23)</f>
        <v>11132.177772118563</v>
      </c>
      <c r="BT23" s="1">
        <f>SQRT((Q23/(1-BG23))^2+(BH23*P23/(1-BG23)^2)^2)</f>
        <v>4.3971402234231798</v>
      </c>
      <c r="BU23">
        <f>(Constants!$C$19/$BQ23)^(1/LN(Constants!$B$3/Constants!$B$6))</f>
        <v>0.22071290453414297</v>
      </c>
      <c r="BV23">
        <f>(Constants!$C$19/($BQ23-BR23))^(1/LN(Constants!$B$3/Constants!$B$6))-BU23</f>
        <v>5.4026527967840354E-3</v>
      </c>
      <c r="BW23">
        <f>$BM23*BU23^(LN(Constants!$B$2/Constants!$B$3))</f>
        <v>205.39916247802702</v>
      </c>
      <c r="BX23" s="33">
        <f>BW23*SQRT((BN23/BM23)^2+(((BM23*($BU23+$BV23)^LN(Constants!$B$2/Constants!$B$3))-BW23)/BW23)^2)</f>
        <v>4.4504383799328508E-2</v>
      </c>
      <c r="BY23">
        <f>BO23*BU23^(LN(Constants!$B$2/Constants!$B$4))</f>
        <v>137.78099885186396</v>
      </c>
      <c r="BZ23" s="33">
        <f>BY23*SQRT((BP23/BO23)^2+(((BO23*($BU23+$BV23)^LN(Constants!$B$2/Constants!$B$4))-BY23)/BY23)^2)</f>
        <v>4.2651260993288358E-2</v>
      </c>
      <c r="CA23">
        <f>BS23*BU23^(LN(Constants!$B$2/Constants!$B$5))</f>
        <v>10850.084335486168</v>
      </c>
      <c r="CB23" s="33">
        <f>CA23*SQRT((BT23/BS23)^2+(((BS23*($BU23+$BV23)^LN(Constants!$B$2/Constants!$B$5))-CA23)/CA23)^2)</f>
        <v>6.1842402259475335</v>
      </c>
      <c r="CC23">
        <f>(Constants!$C$18/AVERAGE(BO22,BO24))^(1/LN(Constants!$B$2/Constants!$B$4))</f>
        <v>0.20322093773612285</v>
      </c>
      <c r="CD23">
        <f>MAX(ABS((Constants!$C$18/BO22)^(1/LN(Constants!$B$2/Constants!$B$4))-(Constants!$C$18/BO24)^(1/LN(Constants!$B$2/Constants!$B$4))),CD22,CD24)</f>
        <v>1.5363272665742389E-3</v>
      </c>
      <c r="CE23">
        <f>$BM23*CC23^(LN(Constants!$B$2/Constants!$B$3))</f>
        <v>205.25574811880583</v>
      </c>
      <c r="CF23" s="33">
        <f>CE23*SQRT((BN23/BM23)^2+(($BM23*($CC23+$CD23)^(LN(Constants!$B$2/Constants!$B$3))-CE23)/CE23)^2)</f>
        <v>1.9631791762990895E-2</v>
      </c>
      <c r="CG23">
        <f>BO23*CC23^(LN(Constants!$B$2/Constants!$B$4))</f>
        <v>137.6364616202882</v>
      </c>
      <c r="CH23" s="33">
        <f>CG23*SQRT((BP23/BO23)^2+((BO23*($CC23+$CD23)^(LN(Constants!$B$2/Constants!$B$4))-CG23)/CG23)^2)</f>
        <v>1.4078437161112355E-2</v>
      </c>
      <c r="CI23">
        <f>BQ23*$CC23^(LN(Constants!$B$3/Constants!$B$6))</f>
        <v>0.98025859892946665</v>
      </c>
      <c r="CJ23" s="33">
        <f>CI23*SQRT((BR23/BQ23)^2+((BQ23*($CC23+$CD23)^(LN(Constants!$B$3/Constants!$B$6))-CI23)/CI23)^2)</f>
        <v>3.1817303158818903E-4</v>
      </c>
      <c r="CK23">
        <f>BS23*CC23^(LN(Constants!$B$2/Constants!$B$5))</f>
        <v>10834.875826881023</v>
      </c>
      <c r="CL23" s="33">
        <f>CK23*SQRT((BT23/BS23)^2+((BS23*($CC23+$CD23)^(LN(Constants!$B$2/Constants!$B$5))-CK23)/CK23)^2)</f>
        <v>4.4986500650832122</v>
      </c>
      <c r="CM23">
        <f>CK23*Constants!$C$17/AVERAGE(CK22,CK24)</f>
        <v>9312.5114287235883</v>
      </c>
      <c r="CN23">
        <f>CM23*SQRT(((CK22-CK24)/CK24/4)^2+(CL23/CK23)^2+AVERAGE(CL22/CK22,CL24/CK24)^2)</f>
        <v>8.0268910380814713</v>
      </c>
      <c r="CO23">
        <f>1/CM23*CE23*CI23</f>
        <v>2.1605741223851352E-2</v>
      </c>
      <c r="CQ23">
        <f>$K23/$J23</f>
        <v>7.1143482463852621E-5</v>
      </c>
      <c r="CR23">
        <f>$BN23/$BM23</f>
        <v>7.1336163746442616E-5</v>
      </c>
      <c r="CS23">
        <f>$CF23/$CE23</f>
        <v>9.5645515133771804E-5</v>
      </c>
      <c r="CT23">
        <f>$Q23/$P23</f>
        <v>3.8127096315879395E-4</v>
      </c>
      <c r="CU23">
        <f>$BT23/$BS23</f>
        <v>3.9499371223087834E-4</v>
      </c>
      <c r="CV23">
        <f>$CL23/$CK23</f>
        <v>4.152008880362235E-4</v>
      </c>
      <c r="CW23">
        <f>$CN23/$CM23</f>
        <v>8.619469731143912E-4</v>
      </c>
      <c r="CY23" s="82">
        <f>$CQ23/$CS23</f>
        <v>0.74382455219515387</v>
      </c>
      <c r="CZ23" s="82">
        <f>$CR23/$CS23-$CY23</f>
        <v>2.0145354679778071E-3</v>
      </c>
      <c r="DA23" s="82">
        <f>$CS23/$CS23-$CZ23-$CY23</f>
        <v>0.25416091233686833</v>
      </c>
      <c r="DB23" s="82">
        <f>$CT23/$CW23</f>
        <v>0.44233691288593285</v>
      </c>
      <c r="DC23" s="82">
        <f>$CU23/$CW23-$DB23</f>
        <v>1.5920641872551933E-2</v>
      </c>
      <c r="DD23" s="82">
        <f>$CV23/$CW23-$DC23-$DB23</f>
        <v>2.3443641471739829E-2</v>
      </c>
      <c r="DE23" s="82">
        <f>$CW23/$CW23-$DD23-$DC23-$DB23</f>
        <v>0.51829880376977533</v>
      </c>
    </row>
    <row r="24" spans="1:109">
      <c r="A24" s="73" t="str">
        <f t="shared" si="0"/>
        <v>U 13.5 ppb</v>
      </c>
      <c r="B24" s="73"/>
      <c r="C24" s="73"/>
      <c r="J24" s="1">
        <v>-287674.7</v>
      </c>
      <c r="K24" s="1">
        <v>423000</v>
      </c>
      <c r="L24" s="1">
        <v>140.65129999999999</v>
      </c>
      <c r="M24" s="1">
        <v>1.3599999999999999E-2</v>
      </c>
      <c r="N24" s="1">
        <v>-1.5839019999999999</v>
      </c>
      <c r="O24" s="1">
        <v>1.6</v>
      </c>
      <c r="P24" s="1">
        <v>22571.24</v>
      </c>
      <c r="Q24" s="1">
        <v>14.8</v>
      </c>
      <c r="R24" s="1">
        <v>12.65685</v>
      </c>
      <c r="S24" s="1">
        <v>8.5199999999999998E-3</v>
      </c>
      <c r="T24" s="1">
        <v>2.8426710000000002E-6</v>
      </c>
      <c r="U24" s="1">
        <v>6.8600000000000004E-6</v>
      </c>
      <c r="V24" s="1">
        <v>35003.72</v>
      </c>
      <c r="W24" s="1">
        <v>36.200000000000003</v>
      </c>
      <c r="X24" t="s">
        <v>337</v>
      </c>
      <c r="Y24" t="s">
        <v>327</v>
      </c>
      <c r="Z24">
        <v>584</v>
      </c>
      <c r="AB24" s="62" cm="1">
        <f t="array" ref="AB24:AP24">U!A38:O38</f>
        <v>12.384869999999999</v>
      </c>
      <c r="AC24" s="62">
        <v>6.8599999999999994E-2</v>
      </c>
      <c r="AD24" s="62">
        <v>2.0693329999999999E-5</v>
      </c>
      <c r="AE24" s="62">
        <v>1.19E-5</v>
      </c>
      <c r="AF24" s="62">
        <v>644.28240000000005</v>
      </c>
      <c r="AG24" s="62">
        <v>10.4</v>
      </c>
      <c r="AH24" s="62">
        <v>317.83929999999998</v>
      </c>
      <c r="AI24" s="62">
        <v>5.69</v>
      </c>
      <c r="AJ24" s="62">
        <v>88.810739999999996</v>
      </c>
      <c r="AK24" s="62">
        <v>4.6399999999999997</v>
      </c>
      <c r="AL24" s="62">
        <v>52.406320000000001</v>
      </c>
      <c r="AM24" s="62">
        <v>3.36</v>
      </c>
      <c r="AN24" s="63" t="str">
        <v>U 13.5 ppb tail</v>
      </c>
      <c r="AO24" s="63" t="str">
        <v xml:space="preserve"> March 14</v>
      </c>
      <c r="AP24" s="63">
        <v>585</v>
      </c>
      <c r="AQ24" s="1"/>
      <c r="AR24" s="1">
        <f>Constants!B$25</f>
        <v>2.2917410000000001E-6</v>
      </c>
      <c r="AS24" s="1">
        <f t="shared" si="1"/>
        <v>12.65685</v>
      </c>
      <c r="AT24" s="1">
        <f t="shared" si="2"/>
        <v>2.8426710000000002E-6</v>
      </c>
      <c r="AU24" s="1">
        <f t="shared" si="17"/>
        <v>192.52219638278257</v>
      </c>
      <c r="AV24" s="1">
        <f t="shared" si="3"/>
        <v>8.9987437016223817E-2</v>
      </c>
      <c r="AW24" s="1">
        <f t="shared" si="18"/>
        <v>94.975764295745989</v>
      </c>
      <c r="AX24" s="1">
        <f t="shared" si="4"/>
        <v>35003.72</v>
      </c>
      <c r="AY24">
        <f t="shared" si="25"/>
        <v>65.402166906897946</v>
      </c>
      <c r="AZ24" s="1">
        <f t="shared" si="5"/>
        <v>-1.7947265676790611E-6</v>
      </c>
      <c r="BA24" s="1">
        <f t="shared" si="19"/>
        <v>40.363309770421537</v>
      </c>
      <c r="BB24" s="1">
        <f t="shared" si="6"/>
        <v>3.2928690496729658</v>
      </c>
      <c r="BC24" s="1">
        <f t="shared" si="20"/>
        <v>49.113450950327035</v>
      </c>
      <c r="BD24">
        <f t="shared" si="7"/>
        <v>1.7426683974433845</v>
      </c>
      <c r="BE24" s="1"/>
      <c r="BF24" s="32">
        <f t="shared" si="8"/>
        <v>8.2789809348080776E-8</v>
      </c>
      <c r="BG24" s="1">
        <f t="shared" si="9"/>
        <v>1.8684347522748424E-3</v>
      </c>
      <c r="BH24" s="1">
        <f t="shared" si="10"/>
        <v>1.8684347522748425E-4</v>
      </c>
      <c r="BI24" s="1">
        <f t="shared" si="11"/>
        <v>1.6909909860512687E-5</v>
      </c>
      <c r="BJ24" s="1">
        <f t="shared" si="12"/>
        <v>1.6909909860512689E-6</v>
      </c>
      <c r="BK24" s="1"/>
      <c r="BL24" s="1"/>
      <c r="BM24" s="1"/>
      <c r="BN24" s="1"/>
      <c r="BO24" s="1">
        <f t="shared" si="27"/>
        <v>140.65367844102397</v>
      </c>
      <c r="BP24" s="33">
        <f t="shared" si="28"/>
        <v>1.3602309627515458E-2</v>
      </c>
      <c r="BQ24" s="1"/>
      <c r="BR24" s="1"/>
      <c r="BS24" s="1">
        <f t="shared" si="29"/>
        <v>22613.491834012955</v>
      </c>
      <c r="BT24" s="1">
        <f t="shared" si="30"/>
        <v>15.420113395166339</v>
      </c>
      <c r="BU24" s="1"/>
      <c r="BV24" s="1"/>
      <c r="BW24" s="1"/>
      <c r="BX24" s="1"/>
      <c r="BY24" s="1"/>
      <c r="BZ24" s="1"/>
      <c r="CA24" s="1"/>
      <c r="CB24" s="1"/>
      <c r="CC24">
        <f>(Constants!$C$18/BO24)^(1/LN(Constants!$B$2/Constants!$B$4))</f>
        <v>0.20271933418598476</v>
      </c>
      <c r="CD24">
        <f>ABS((Constants!$C$18/BO24)^(1/LN(Constants!$B$2/Constants!$B$4))-(Constants!$C$18/(BO24+BP24))^(1/LN(Constants!$B$2/Constants!$B$4)))</f>
        <v>1.5363272665742389E-3</v>
      </c>
      <c r="CK24">
        <f>BS24*$CC24^(LN(Constants!$B$2/Constants!$B$5))</f>
        <v>22008.639721643824</v>
      </c>
      <c r="CL24" s="33">
        <f>CK24*SQRT((BT24/BS24)^2+((BS24*($CC24+$CD24)^(LN(Constants!$B$2/Constants!$B$5))-CK24)/CK24)^2)</f>
        <v>15.270865036382219</v>
      </c>
    </row>
    <row r="25" spans="1:109">
      <c r="A25" s="73">
        <f>X25</f>
        <v>0</v>
      </c>
      <c r="B25" t="str">
        <f>IF(NOT(ISBLANK($J25)),IF($T25&lt;Constants!$B$32,"low spike","OK"),"")</f>
        <v/>
      </c>
      <c r="C25" t="str">
        <f>IF(NOT(ISBLANK($J25)), IF((ABS($L24-$L26)/$L24)&gt;Constants!$B$33,"variable mass bias","OK"), "")</f>
        <v/>
      </c>
      <c r="D25" t="str">
        <f>IF(NOT(ISBLANK($J25)), IF((ABS($P24-$P26)/$P24)&gt;Constants!$B$34,"variable IC yield","OK"),"")</f>
        <v/>
      </c>
      <c r="E25" s="34" t="e">
        <f>CE25</f>
        <v>#DIV/0!</v>
      </c>
      <c r="F25" s="34" t="e">
        <f>CF25</f>
        <v>#DIV/0!</v>
      </c>
      <c r="G25" s="34" t="e">
        <f>CM25</f>
        <v>#DIV/0!</v>
      </c>
      <c r="H25" s="48" t="e">
        <f>CN25</f>
        <v>#DIV/0!</v>
      </c>
      <c r="I25" s="33"/>
      <c r="J25" s="62"/>
      <c r="K25" s="62"/>
      <c r="L25" s="62"/>
      <c r="M25" s="62"/>
      <c r="N25" s="62"/>
      <c r="O25" s="62"/>
      <c r="P25" s="62"/>
      <c r="Q25" s="62"/>
      <c r="R25" s="62"/>
      <c r="S25" s="62"/>
      <c r="T25" s="62"/>
      <c r="U25" s="62"/>
      <c r="V25" s="62"/>
      <c r="W25" s="62"/>
      <c r="X25" s="63"/>
      <c r="Y25" s="63"/>
      <c r="Z25" s="63"/>
      <c r="AB25" s="1">
        <f>R25</f>
        <v>0</v>
      </c>
      <c r="AC25" s="1">
        <f>S25</f>
        <v>0</v>
      </c>
      <c r="AD25" s="1">
        <f>T25</f>
        <v>0</v>
      </c>
      <c r="AE25" s="1">
        <f>U25</f>
        <v>0</v>
      </c>
      <c r="AF25" s="1" t="e">
        <f>AVERAGE(AF24/$AB24,AF26/$AB26)*$AB25</f>
        <v>#DIV/0!</v>
      </c>
      <c r="AG25" s="1" t="e">
        <f>AVERAGE(AG24/AF24,AG26/AF26)*AF25</f>
        <v>#DIV/0!</v>
      </c>
      <c r="AH25" s="1" t="e">
        <f>AVERAGE(AH24/$AB24,AH26/$AB26)*$AB25</f>
        <v>#DIV/0!</v>
      </c>
      <c r="AI25" s="1" t="e">
        <f>AVERAGE(AI24/AH24,AI26/AH26)*AH25</f>
        <v>#DIV/0!</v>
      </c>
      <c r="AJ25" s="1" t="e">
        <f>AVERAGE(AJ24/$AB24,AJ26/$AB26)*$AB25</f>
        <v>#DIV/0!</v>
      </c>
      <c r="AK25" s="1" t="e">
        <f>AVERAGE(AK24/AJ24,AK26/AJ26)*AJ25</f>
        <v>#DIV/0!</v>
      </c>
      <c r="AL25" s="1" t="e">
        <f>AVERAGE(AL24/$AB24,AL26/$AB26)*$AB25</f>
        <v>#DIV/0!</v>
      </c>
      <c r="AM25" s="1" t="e">
        <f>AVERAGE(AM24/AL24,AM26/AL26)*AL25</f>
        <v>#DIV/0!</v>
      </c>
      <c r="AR25" s="1">
        <f>Constants!B$25</f>
        <v>2.2917410000000001E-6</v>
      </c>
      <c r="AS25" s="1">
        <f>R25</f>
        <v>0</v>
      </c>
      <c r="AT25" s="1">
        <f>MAX(0.000001,T25)</f>
        <v>9.9999999999999995E-7</v>
      </c>
      <c r="AU25" s="1" t="e">
        <f t="shared" si="17"/>
        <v>#DIV/0!</v>
      </c>
      <c r="AV25" s="1" t="e">
        <f>AS25/L25</f>
        <v>#DIV/0!</v>
      </c>
      <c r="AW25" s="1" t="e">
        <f t="shared" si="18"/>
        <v>#DIV/0!</v>
      </c>
      <c r="AX25" s="1">
        <f>V25</f>
        <v>0</v>
      </c>
      <c r="AY25" t="e">
        <f t="shared" si="25"/>
        <v>#DIV/0!</v>
      </c>
      <c r="AZ25" s="1" t="e">
        <f>AT25/N25</f>
        <v>#DIV/0!</v>
      </c>
      <c r="BA25" s="1" t="e">
        <f t="shared" si="19"/>
        <v>#DIV/0!</v>
      </c>
      <c r="BB25" s="1" t="e">
        <f>AL25-BC25</f>
        <v>#DIV/0!</v>
      </c>
      <c r="BC25" s="1" t="e">
        <f t="shared" si="26"/>
        <v>#DIV/0!</v>
      </c>
      <c r="BD25" t="e">
        <f>(LN(AF25)-LN(AH25))/(LN(238-236.5))</f>
        <v>#DIV/0!</v>
      </c>
      <c r="BF25" s="32" t="e">
        <f>AY25/AS25/62415093</f>
        <v>#DIV/0!</v>
      </c>
      <c r="BG25" s="1" t="e">
        <f>AY25/AX25</f>
        <v>#DIV/0!</v>
      </c>
      <c r="BH25" s="1" t="e">
        <f>BG25*0.1</f>
        <v>#DIV/0!</v>
      </c>
      <c r="BI25" s="1" t="e">
        <f>AW25/AV25/62415093</f>
        <v>#DIV/0!</v>
      </c>
      <c r="BJ25" s="1" t="e">
        <f>BI25*0.1</f>
        <v>#DIV/0!</v>
      </c>
      <c r="BK25" s="1" t="e">
        <f>AU25/AT25/62415093</f>
        <v>#DIV/0!</v>
      </c>
      <c r="BL25" s="1" t="e">
        <f>BK25*0.1</f>
        <v>#DIV/0!</v>
      </c>
      <c r="BM25" s="1" t="e">
        <f>J25/(1-(AU25/62415093)/AT25)</f>
        <v>#DIV/0!</v>
      </c>
      <c r="BN25" s="33" t="e">
        <f>SQRT((K25/(1-BK25))^2+(BL25*J25/(1-BK25)^2)^2)</f>
        <v>#DIV/0!</v>
      </c>
      <c r="BO25" s="1" t="e">
        <f>L25/(1-AW25/62415093/AV25)</f>
        <v>#DIV/0!</v>
      </c>
      <c r="BP25" s="33" t="e">
        <f>SQRT((M25/(1-BI25))^2+(BJ25*L25/(1-BI25)^2)^2)</f>
        <v>#DIV/0!</v>
      </c>
      <c r="BQ25" s="1" t="e">
        <f>N25*(1-BK25)</f>
        <v>#DIV/0!</v>
      </c>
      <c r="BR25" t="e">
        <f>SQRT(O25^2+BL25^2)</f>
        <v>#DIV/0!</v>
      </c>
      <c r="BS25" s="1" t="e">
        <f>P25/(1-BG25)</f>
        <v>#DIV/0!</v>
      </c>
      <c r="BT25" s="1" t="e">
        <f>SQRT((Q25/(1-BG25))^2+(BH25*P25/(1-BG25)^2)^2)</f>
        <v>#DIV/0!</v>
      </c>
      <c r="BU25" t="e">
        <f>(Constants!$C$19/$BQ25)^(1/LN(Constants!$B$3/Constants!$B$6))</f>
        <v>#DIV/0!</v>
      </c>
      <c r="BV25" t="e">
        <f>(Constants!$C$19/($BQ25-BR25))^(1/LN(Constants!$B$3/Constants!$B$6))-BU25</f>
        <v>#DIV/0!</v>
      </c>
      <c r="BW25" t="e">
        <f>$BM25*BU25^(LN(Constants!$B$2/Constants!$B$3))</f>
        <v>#DIV/0!</v>
      </c>
      <c r="BX25" s="33" t="e">
        <f>BW25*SQRT((BN25/BM25)^2+(((BM25*($BU25+$BV25)^LN(Constants!$B$2/Constants!$B$3))-BW25)/BW25)^2)</f>
        <v>#DIV/0!</v>
      </c>
      <c r="BY25" t="e">
        <f>BO25*BU25^(LN(Constants!$B$2/Constants!$B$4))</f>
        <v>#DIV/0!</v>
      </c>
      <c r="BZ25" s="33" t="e">
        <f>BY25*SQRT((BP25/BO25)^2+(((BO25*($BU25+$BV25)^LN(Constants!$B$2/Constants!$B$4))-BY25)/BY25)^2)</f>
        <v>#DIV/0!</v>
      </c>
      <c r="CA25" t="e">
        <f>BS25*BU25^(LN(Constants!$B$2/Constants!$B$5))</f>
        <v>#DIV/0!</v>
      </c>
      <c r="CB25" s="33" t="e">
        <f>CA25*SQRT((BT25/BS25)^2+(((BS25*($BU25+$BV25)^LN(Constants!$B$2/Constants!$B$5))-CA25)/CA25)^2)</f>
        <v>#DIV/0!</v>
      </c>
      <c r="CC25" t="e">
        <f>(Constants!$C$18/AVERAGE(BO24,BO26))^(1/LN(Constants!$B$2/Constants!$B$4))</f>
        <v>#NUM!</v>
      </c>
      <c r="CD25" t="e">
        <f>MAX(ABS((Constants!$C$18/BO24)^(1/LN(Constants!$B$2/Constants!$B$4))-(Constants!$C$18/BO26)^(1/LN(Constants!$B$2/Constants!$B$4))),CD24,CD26)</f>
        <v>#NUM!</v>
      </c>
      <c r="CE25" t="e">
        <f>$BM25*CC25^(LN(Constants!$B$2/Constants!$B$3))</f>
        <v>#DIV/0!</v>
      </c>
      <c r="CF25" s="33" t="e">
        <f>CE25*SQRT((BN25/BM25)^2+(($BM25*($CC25+$CD25)^(LN(Constants!$B$2/Constants!$B$3))-CE25)/CE25)^2)</f>
        <v>#DIV/0!</v>
      </c>
      <c r="CG25" t="e">
        <f>BO25*CC25^(LN(Constants!$B$2/Constants!$B$4))</f>
        <v>#DIV/0!</v>
      </c>
      <c r="CH25" s="33" t="e">
        <f>CG25*SQRT((BP25/BO25)^2+((BO25*($CC25+$CD25)^(LN(Constants!$B$2/Constants!$B$4))-CG25)/CG25)^2)</f>
        <v>#DIV/0!</v>
      </c>
      <c r="CI25" t="e">
        <f>BQ25*$CC25^(LN(Constants!$B$3/Constants!$B$6))</f>
        <v>#DIV/0!</v>
      </c>
      <c r="CJ25" s="33" t="e">
        <f>CI25*SQRT((BR25/BQ25)^2+((BQ25*($CC25+$CD25)^(LN(Constants!$B$3/Constants!$B$6))-CI25)/CI25)^2)</f>
        <v>#DIV/0!</v>
      </c>
      <c r="CK25" t="e">
        <f>BS25*CC25^(LN(Constants!$B$2/Constants!$B$5))</f>
        <v>#DIV/0!</v>
      </c>
      <c r="CL25" s="33" t="e">
        <f>CK25*SQRT((BT25/BS25)^2+((BS25*($CC25+$CD25)^(LN(Constants!$B$2/Constants!$B$5))-CK25)/CK25)^2)</f>
        <v>#DIV/0!</v>
      </c>
      <c r="CM25" t="e">
        <f>CK25*Constants!$C$17/AVERAGE(CK24,CK26)</f>
        <v>#DIV/0!</v>
      </c>
      <c r="CN25" t="e">
        <f>CM25*SQRT(((CK24-CK26)/CK26/4)^2+(CL25/CK25)^2+AVERAGE(CL24/CK24,CL26/CK26)^2)</f>
        <v>#DIV/0!</v>
      </c>
      <c r="CO25" t="e">
        <f>1/CM25*CE25*CI25</f>
        <v>#DIV/0!</v>
      </c>
      <c r="CQ25" t="e">
        <f>$K25/$J25</f>
        <v>#DIV/0!</v>
      </c>
      <c r="CR25" t="e">
        <f>$BN25/$BM25</f>
        <v>#DIV/0!</v>
      </c>
      <c r="CS25" t="e">
        <f>$CF25/$CE25</f>
        <v>#DIV/0!</v>
      </c>
      <c r="CT25" t="e">
        <f>$Q25/$P25</f>
        <v>#DIV/0!</v>
      </c>
      <c r="CU25" t="e">
        <f>$BT25/$BS25</f>
        <v>#DIV/0!</v>
      </c>
      <c r="CV25" t="e">
        <f>$CL25/$CK25</f>
        <v>#DIV/0!</v>
      </c>
      <c r="CW25" t="e">
        <f>$CN25/$CM25</f>
        <v>#DIV/0!</v>
      </c>
      <c r="CY25" s="82" t="e">
        <f>$CQ25/$CS25</f>
        <v>#DIV/0!</v>
      </c>
      <c r="CZ25" s="82" t="e">
        <f>$CR25/$CS25-$CY25</f>
        <v>#DIV/0!</v>
      </c>
      <c r="DA25" s="82" t="e">
        <f>$CS25/$CS25-$CZ25-$CY25</f>
        <v>#DIV/0!</v>
      </c>
      <c r="DB25" s="82" t="e">
        <f>$CT25/$CW25</f>
        <v>#DIV/0!</v>
      </c>
      <c r="DC25" s="82" t="e">
        <f>$CU25/$CW25-$DB25</f>
        <v>#DIV/0!</v>
      </c>
      <c r="DD25" s="82" t="e">
        <f>$CV25/$CW25-$DC25-$DB25</f>
        <v>#DIV/0!</v>
      </c>
      <c r="DE25" s="82" t="e">
        <f>$CW25/$CW25-$DD25-$DC25-$DB25</f>
        <v>#DIV/0!</v>
      </c>
    </row>
    <row r="26" spans="1:109">
      <c r="A26" s="73">
        <f t="shared" si="0"/>
        <v>0</v>
      </c>
      <c r="B26" s="73"/>
      <c r="C26" s="73"/>
      <c r="J26" s="62"/>
      <c r="K26" s="62"/>
      <c r="L26" s="62"/>
      <c r="M26" s="62"/>
      <c r="N26" s="62"/>
      <c r="O26" s="62"/>
      <c r="P26" s="62"/>
      <c r="Q26" s="62"/>
      <c r="R26" s="62"/>
      <c r="S26" s="62"/>
      <c r="T26" s="62"/>
      <c r="U26" s="62"/>
      <c r="V26" s="62"/>
      <c r="W26" s="62"/>
      <c r="X26" s="63"/>
      <c r="Y26" s="63"/>
      <c r="Z26" s="63"/>
      <c r="AB26" s="62"/>
      <c r="AC26" s="62"/>
      <c r="AD26" s="62"/>
      <c r="AE26" s="62"/>
      <c r="AF26" s="62"/>
      <c r="AG26" s="62"/>
      <c r="AH26" s="62"/>
      <c r="AI26" s="62"/>
      <c r="AJ26" s="62"/>
      <c r="AK26" s="62"/>
      <c r="AL26" s="62"/>
      <c r="AM26" s="62"/>
      <c r="AN26" s="63"/>
      <c r="AO26" s="63"/>
      <c r="AP26" s="63"/>
      <c r="AQ26" s="1"/>
      <c r="AR26" s="1">
        <f>Constants!B$25</f>
        <v>2.2917410000000001E-6</v>
      </c>
      <c r="AS26" s="1">
        <f t="shared" si="1"/>
        <v>0</v>
      </c>
      <c r="AT26" s="1">
        <f t="shared" si="2"/>
        <v>9.9999999999999995E-7</v>
      </c>
      <c r="AU26" s="1" t="e">
        <f t="shared" si="17"/>
        <v>#NUM!</v>
      </c>
      <c r="AV26" s="1" t="e">
        <f t="shared" si="3"/>
        <v>#DIV/0!</v>
      </c>
      <c r="AW26" s="1" t="e">
        <f t="shared" si="18"/>
        <v>#NUM!</v>
      </c>
      <c r="AX26" s="1">
        <f t="shared" si="4"/>
        <v>0</v>
      </c>
      <c r="AY26" t="e">
        <f t="shared" si="25"/>
        <v>#DIV/0!</v>
      </c>
      <c r="AZ26" s="1" t="e">
        <f t="shared" si="5"/>
        <v>#DIV/0!</v>
      </c>
      <c r="BA26" s="1" t="e">
        <f t="shared" si="19"/>
        <v>#NUM!</v>
      </c>
      <c r="BB26" s="1" t="e">
        <f t="shared" si="6"/>
        <v>#NUM!</v>
      </c>
      <c r="BC26" s="1" t="e">
        <f t="shared" si="20"/>
        <v>#NUM!</v>
      </c>
      <c r="BD26" t="e">
        <f t="shared" si="7"/>
        <v>#NUM!</v>
      </c>
      <c r="BE26" s="1"/>
      <c r="BF26" s="32" t="e">
        <f t="shared" si="8"/>
        <v>#DIV/0!</v>
      </c>
      <c r="BG26" s="1" t="e">
        <f t="shared" si="9"/>
        <v>#DIV/0!</v>
      </c>
      <c r="BH26" s="1" t="e">
        <f t="shared" si="10"/>
        <v>#DIV/0!</v>
      </c>
      <c r="BI26" s="1" t="e">
        <f t="shared" si="11"/>
        <v>#NUM!</v>
      </c>
      <c r="BJ26" s="1" t="e">
        <f t="shared" si="12"/>
        <v>#NUM!</v>
      </c>
      <c r="BK26" s="1"/>
      <c r="BL26" s="1"/>
      <c r="BM26" s="1"/>
      <c r="BN26" s="1"/>
      <c r="BO26" s="1" t="e">
        <f t="shared" si="27"/>
        <v>#NUM!</v>
      </c>
      <c r="BP26" s="33" t="e">
        <f t="shared" si="28"/>
        <v>#NUM!</v>
      </c>
      <c r="BQ26" s="1"/>
      <c r="BR26" s="1"/>
      <c r="BS26" s="1" t="e">
        <f t="shared" si="29"/>
        <v>#DIV/0!</v>
      </c>
      <c r="BT26" s="1" t="e">
        <f t="shared" si="30"/>
        <v>#DIV/0!</v>
      </c>
      <c r="BU26" s="1"/>
      <c r="BV26" s="1"/>
      <c r="BW26" s="1"/>
      <c r="BX26" s="1"/>
      <c r="BY26" s="1"/>
      <c r="BZ26" s="1"/>
      <c r="CA26" s="1"/>
      <c r="CB26" s="1"/>
      <c r="CC26" t="e">
        <f>(Constants!$C$18/BO26)^(1/LN(Constants!$B$2/Constants!$B$4))</f>
        <v>#NUM!</v>
      </c>
      <c r="CD26" t="e">
        <f>ABS((Constants!$C$18/BO26)^(1/LN(Constants!$B$2/Constants!$B$4))-(Constants!$C$18/(BO26+BP26))^(1/LN(Constants!$B$2/Constants!$B$4)))</f>
        <v>#NUM!</v>
      </c>
      <c r="CK26" t="e">
        <f>BS26*$CC26^(LN(Constants!$B$2/Constants!$B$5))</f>
        <v>#DIV/0!</v>
      </c>
      <c r="CL26" s="33" t="e">
        <f>CK26*SQRT((BT26/BS26)^2+((BS26*($CC26+$CD26)^(LN(Constants!$B$2/Constants!$B$5))-CK26)/CK26)^2)</f>
        <v>#DIV/0!</v>
      </c>
    </row>
    <row r="27" spans="1:109">
      <c r="A27" s="73">
        <f>X27</f>
        <v>0</v>
      </c>
      <c r="B27" t="str">
        <f>IF(NOT(ISBLANK($J27)),IF($T27&lt;Constants!$B$32,"low spike","OK"),"")</f>
        <v/>
      </c>
      <c r="C27" t="str">
        <f>IF(NOT(ISBLANK($J27)), IF((ABS($L26-$L28)/$L26)&gt;Constants!$B$33,"variable mass bias","OK"), "")</f>
        <v/>
      </c>
      <c r="D27" t="str">
        <f>IF(NOT(ISBLANK($J27)), IF((ABS($P26-$P28)/$P26)&gt;Constants!$B$34,"variable IC yield","OK"),"")</f>
        <v/>
      </c>
      <c r="E27" s="34" t="e">
        <f>CE27</f>
        <v>#DIV/0!</v>
      </c>
      <c r="F27" s="34" t="e">
        <f>CF27</f>
        <v>#DIV/0!</v>
      </c>
      <c r="G27" s="34" t="e">
        <f>CM27</f>
        <v>#DIV/0!</v>
      </c>
      <c r="H27" s="48" t="e">
        <f>CN27</f>
        <v>#DIV/0!</v>
      </c>
      <c r="I27" s="33"/>
      <c r="J27" s="62"/>
      <c r="K27" s="62"/>
      <c r="L27" s="62"/>
      <c r="M27" s="62"/>
      <c r="N27" s="62"/>
      <c r="O27" s="62"/>
      <c r="P27" s="62"/>
      <c r="Q27" s="62"/>
      <c r="R27" s="62"/>
      <c r="S27" s="62"/>
      <c r="T27" s="62"/>
      <c r="U27" s="62"/>
      <c r="V27" s="62"/>
      <c r="W27" s="62"/>
      <c r="X27" s="63"/>
      <c r="Y27" s="63"/>
      <c r="Z27" s="63"/>
      <c r="AB27" s="1">
        <f>R27</f>
        <v>0</v>
      </c>
      <c r="AC27" s="1">
        <f>S27</f>
        <v>0</v>
      </c>
      <c r="AD27" s="1">
        <f>T27</f>
        <v>0</v>
      </c>
      <c r="AE27" s="1">
        <f>U27</f>
        <v>0</v>
      </c>
      <c r="AF27" s="1" t="e">
        <f>AVERAGE(AF26/$AB26,AF28/$AB28)*$AB27</f>
        <v>#DIV/0!</v>
      </c>
      <c r="AG27" s="1" t="e">
        <f>AVERAGE(AG26/AF26,AG28/AF28)*AF27</f>
        <v>#DIV/0!</v>
      </c>
      <c r="AH27" s="1" t="e">
        <f>AVERAGE(AH26/$AB26,AH28/$AB28)*$AB27</f>
        <v>#DIV/0!</v>
      </c>
      <c r="AI27" s="1" t="e">
        <f>AVERAGE(AI26/AH26,AI28/AH28)*AH27</f>
        <v>#DIV/0!</v>
      </c>
      <c r="AJ27" s="1" t="e">
        <f>AVERAGE(AJ26/$AB26,AJ28/$AB28)*$AB27</f>
        <v>#DIV/0!</v>
      </c>
      <c r="AK27" s="1" t="e">
        <f>AVERAGE(AK26/AJ26,AK28/AJ28)*AJ27</f>
        <v>#DIV/0!</v>
      </c>
      <c r="AL27" s="1" t="e">
        <f>AVERAGE(AL26/$AB26,AL28/$AB28)*$AB27</f>
        <v>#DIV/0!</v>
      </c>
      <c r="AM27" s="1" t="e">
        <f>AVERAGE(AM26/AL26,AM28/AL28)*AL27</f>
        <v>#DIV/0!</v>
      </c>
      <c r="AR27" s="1">
        <f>Constants!B$25</f>
        <v>2.2917410000000001E-6</v>
      </c>
      <c r="AS27" s="1">
        <f>R27</f>
        <v>0</v>
      </c>
      <c r="AT27" s="1">
        <f>MAX(0.000001,T27)</f>
        <v>9.9999999999999995E-7</v>
      </c>
      <c r="AU27" s="1" t="e">
        <f t="shared" si="17"/>
        <v>#DIV/0!</v>
      </c>
      <c r="AV27" s="1" t="e">
        <f>AS27/L27</f>
        <v>#DIV/0!</v>
      </c>
      <c r="AW27" s="1" t="e">
        <f t="shared" si="18"/>
        <v>#DIV/0!</v>
      </c>
      <c r="AX27" s="1">
        <f>V27</f>
        <v>0</v>
      </c>
      <c r="AY27" t="e">
        <f t="shared" si="25"/>
        <v>#DIV/0!</v>
      </c>
      <c r="AZ27" s="1" t="e">
        <f>AT27/N27</f>
        <v>#DIV/0!</v>
      </c>
      <c r="BA27" s="1" t="e">
        <f t="shared" si="19"/>
        <v>#DIV/0!</v>
      </c>
      <c r="BB27" s="1" t="e">
        <f>AL27-BC27</f>
        <v>#DIV/0!</v>
      </c>
      <c r="BC27" s="1" t="e">
        <f t="shared" si="26"/>
        <v>#DIV/0!</v>
      </c>
      <c r="BD27" t="e">
        <f>(LN(AF27)-LN(AH27))/(LN(238-236.5))</f>
        <v>#DIV/0!</v>
      </c>
      <c r="BF27" s="32" t="e">
        <f>AY27/AS27/62415093</f>
        <v>#DIV/0!</v>
      </c>
      <c r="BG27" s="1" t="e">
        <f>AY27/AX27</f>
        <v>#DIV/0!</v>
      </c>
      <c r="BH27" s="1" t="e">
        <f>BG27*0.1</f>
        <v>#DIV/0!</v>
      </c>
      <c r="BI27" s="1" t="e">
        <f>AW27/AV27/62415093</f>
        <v>#DIV/0!</v>
      </c>
      <c r="BJ27" s="1" t="e">
        <f>BI27*0.1</f>
        <v>#DIV/0!</v>
      </c>
      <c r="BK27" s="1" t="e">
        <f>AU27/AT27/62415093</f>
        <v>#DIV/0!</v>
      </c>
      <c r="BL27" s="1" t="e">
        <f>BK27*0.1</f>
        <v>#DIV/0!</v>
      </c>
      <c r="BM27" s="1" t="e">
        <f>J27/(1-(AU27/62415093)/AT27)</f>
        <v>#DIV/0!</v>
      </c>
      <c r="BN27" s="33" t="e">
        <f>SQRT((K27/(1-BK27))^2+(BL27*J27/(1-BK27)^2)^2)</f>
        <v>#DIV/0!</v>
      </c>
      <c r="BO27" s="1" t="e">
        <f>L27/(1-AW27/62415093/AV27)</f>
        <v>#DIV/0!</v>
      </c>
      <c r="BP27" s="33" t="e">
        <f>SQRT((M27/(1-BI27))^2+(BJ27*L27/(1-BI27)^2)^2)</f>
        <v>#DIV/0!</v>
      </c>
      <c r="BQ27" s="1" t="e">
        <f>N27*(1-BK27)</f>
        <v>#DIV/0!</v>
      </c>
      <c r="BR27" t="e">
        <f>SQRT(O27^2+BL27^2)</f>
        <v>#DIV/0!</v>
      </c>
      <c r="BS27" s="1" t="e">
        <f>P27/(1-BG27)</f>
        <v>#DIV/0!</v>
      </c>
      <c r="BT27" s="1" t="e">
        <f>SQRT((Q27/(1-BG27))^2+(BH27*P27/(1-BG27)^2)^2)</f>
        <v>#DIV/0!</v>
      </c>
      <c r="BU27" t="e">
        <f>(Constants!$C$19/$BQ27)^(1/LN(Constants!$B$3/Constants!$B$6))</f>
        <v>#DIV/0!</v>
      </c>
      <c r="BV27" t="e">
        <f>(Constants!$C$19/($BQ27-BR27))^(1/LN(Constants!$B$3/Constants!$B$6))-BU27</f>
        <v>#DIV/0!</v>
      </c>
      <c r="BW27" t="e">
        <f>$BM27*BU27^(LN(Constants!$B$2/Constants!$B$3))</f>
        <v>#DIV/0!</v>
      </c>
      <c r="BX27" s="33" t="e">
        <f>BW27*SQRT((BN27/BM27)^2+(((BM27*($BU27+$BV27)^LN(Constants!$B$2/Constants!$B$3))-BW27)/BW27)^2)</f>
        <v>#DIV/0!</v>
      </c>
      <c r="BY27" t="e">
        <f>BO27*BU27^(LN(Constants!$B$2/Constants!$B$4))</f>
        <v>#DIV/0!</v>
      </c>
      <c r="BZ27" s="33" t="e">
        <f>BY27*SQRT((BP27/BO27)^2+(((BO27*($BU27+$BV27)^LN(Constants!$B$2/Constants!$B$4))-BY27)/BY27)^2)</f>
        <v>#DIV/0!</v>
      </c>
      <c r="CA27" t="e">
        <f>BS27*BU27^(LN(Constants!$B$2/Constants!$B$5))</f>
        <v>#DIV/0!</v>
      </c>
      <c r="CB27" s="33" t="e">
        <f>CA27*SQRT((BT27/BS27)^2+(((BS27*($BU27+$BV27)^LN(Constants!$B$2/Constants!$B$5))-CA27)/CA27)^2)</f>
        <v>#DIV/0!</v>
      </c>
      <c r="CC27" t="e">
        <f>(Constants!$C$18/AVERAGE(BO26,BO28))^(1/LN(Constants!$B$2/Constants!$B$4))</f>
        <v>#NUM!</v>
      </c>
      <c r="CD27" t="e">
        <f>MAX(ABS((Constants!$C$18/BO26)^(1/LN(Constants!$B$2/Constants!$B$4))-(Constants!$C$18/BO28)^(1/LN(Constants!$B$2/Constants!$B$4))),CD26,CD28)</f>
        <v>#NUM!</v>
      </c>
      <c r="CE27" t="e">
        <f>$BM27*CC27^(LN(Constants!$B$2/Constants!$B$3))</f>
        <v>#DIV/0!</v>
      </c>
      <c r="CF27" s="33" t="e">
        <f>CE27*SQRT((BN27/BM27)^2+(($BM27*($CC27+$CD27)^(LN(Constants!$B$2/Constants!$B$3))-CE27)/CE27)^2)</f>
        <v>#DIV/0!</v>
      </c>
      <c r="CG27" t="e">
        <f>BO27*CC27^(LN(Constants!$B$2/Constants!$B$4))</f>
        <v>#DIV/0!</v>
      </c>
      <c r="CH27" s="33" t="e">
        <f>CG27*SQRT((BP27/BO27)^2+((BO27*($CC27+$CD27)^(LN(Constants!$B$2/Constants!$B$4))-CG27)/CG27)^2)</f>
        <v>#DIV/0!</v>
      </c>
      <c r="CI27" t="e">
        <f>BQ27*$CC27^(LN(Constants!$B$3/Constants!$B$6))</f>
        <v>#DIV/0!</v>
      </c>
      <c r="CJ27" s="33" t="e">
        <f>CI27*SQRT((BR27/BQ27)^2+((BQ27*($CC27+$CD27)^(LN(Constants!$B$3/Constants!$B$6))-CI27)/CI27)^2)</f>
        <v>#DIV/0!</v>
      </c>
      <c r="CK27" t="e">
        <f>BS27*CC27^(LN(Constants!$B$2/Constants!$B$5))</f>
        <v>#DIV/0!</v>
      </c>
      <c r="CL27" s="33" t="e">
        <f>CK27*SQRT((BT27/BS27)^2+((BS27*($CC27+$CD27)^(LN(Constants!$B$2/Constants!$B$5))-CK27)/CK27)^2)</f>
        <v>#DIV/0!</v>
      </c>
      <c r="CM27" t="e">
        <f>CK27*Constants!$C$17/AVERAGE(CK26,CK28)</f>
        <v>#DIV/0!</v>
      </c>
      <c r="CN27" t="e">
        <f>CM27*SQRT(((CK26-CK28)/CK28/4)^2+(CL27/CK27)^2+AVERAGE(CL26/CK26,CL28/CK28)^2)</f>
        <v>#DIV/0!</v>
      </c>
      <c r="CO27" t="e">
        <f>1/CM27*CE27*CI27</f>
        <v>#DIV/0!</v>
      </c>
      <c r="CQ27" t="e">
        <f>$K27/$J27</f>
        <v>#DIV/0!</v>
      </c>
      <c r="CR27" t="e">
        <f>$BN27/$BM27</f>
        <v>#DIV/0!</v>
      </c>
      <c r="CS27" t="e">
        <f>$CF27/$CE27</f>
        <v>#DIV/0!</v>
      </c>
      <c r="CT27" t="e">
        <f>$Q27/$P27</f>
        <v>#DIV/0!</v>
      </c>
      <c r="CU27" t="e">
        <f>$BT27/$BS27</f>
        <v>#DIV/0!</v>
      </c>
      <c r="CV27" t="e">
        <f>$CL27/$CK27</f>
        <v>#DIV/0!</v>
      </c>
      <c r="CW27" t="e">
        <f>$CN27/$CM27</f>
        <v>#DIV/0!</v>
      </c>
      <c r="CY27" s="82" t="e">
        <f>$CQ27/$CS27</f>
        <v>#DIV/0!</v>
      </c>
      <c r="CZ27" s="82" t="e">
        <f>$CR27/$CS27-$CY27</f>
        <v>#DIV/0!</v>
      </c>
      <c r="DA27" s="82" t="e">
        <f>$CS27/$CS27-$CZ27-$CY27</f>
        <v>#DIV/0!</v>
      </c>
      <c r="DB27" s="82" t="e">
        <f>$CT27/$CW27</f>
        <v>#DIV/0!</v>
      </c>
      <c r="DC27" s="82" t="e">
        <f>$CU27/$CW27-$DB27</f>
        <v>#DIV/0!</v>
      </c>
      <c r="DD27" s="82" t="e">
        <f>$CV27/$CW27-$DC27-$DB27</f>
        <v>#DIV/0!</v>
      </c>
      <c r="DE27" s="82" t="e">
        <f>$CW27/$CW27-$DD27-$DC27-$DB27</f>
        <v>#DIV/0!</v>
      </c>
    </row>
    <row r="28" spans="1:109">
      <c r="A28" s="73">
        <f t="shared" si="0"/>
        <v>0</v>
      </c>
      <c r="B28" s="73"/>
      <c r="C28" s="73"/>
      <c r="J28" s="62"/>
      <c r="K28" s="62"/>
      <c r="L28" s="62"/>
      <c r="M28" s="62"/>
      <c r="N28" s="62"/>
      <c r="O28" s="62"/>
      <c r="P28" s="62"/>
      <c r="Q28" s="62"/>
      <c r="R28" s="62"/>
      <c r="S28" s="62"/>
      <c r="T28" s="62"/>
      <c r="U28" s="62"/>
      <c r="V28" s="62"/>
      <c r="W28" s="62"/>
      <c r="X28" s="63"/>
      <c r="Y28" s="63"/>
      <c r="Z28" s="63"/>
      <c r="AB28" s="62"/>
      <c r="AC28" s="62"/>
      <c r="AD28" s="62"/>
      <c r="AE28" s="62"/>
      <c r="AF28" s="62"/>
      <c r="AG28" s="62"/>
      <c r="AH28" s="62"/>
      <c r="AI28" s="62"/>
      <c r="AJ28" s="62"/>
      <c r="AK28" s="62"/>
      <c r="AL28" s="62"/>
      <c r="AM28" s="62"/>
      <c r="AN28" s="63"/>
      <c r="AO28" s="63"/>
      <c r="AP28" s="63"/>
      <c r="AQ28" s="1"/>
      <c r="AR28" s="1">
        <f>Constants!B$25</f>
        <v>2.2917410000000001E-6</v>
      </c>
      <c r="AS28" s="1">
        <f t="shared" si="1"/>
        <v>0</v>
      </c>
      <c r="AT28" s="1">
        <f t="shared" si="2"/>
        <v>9.9999999999999995E-7</v>
      </c>
      <c r="AU28" s="1" t="e">
        <f t="shared" si="17"/>
        <v>#NUM!</v>
      </c>
      <c r="AV28" s="1" t="e">
        <f t="shared" si="3"/>
        <v>#DIV/0!</v>
      </c>
      <c r="AW28" s="1" t="e">
        <f t="shared" si="18"/>
        <v>#NUM!</v>
      </c>
      <c r="AX28" s="1">
        <f t="shared" si="4"/>
        <v>0</v>
      </c>
      <c r="AY28" t="e">
        <f t="shared" si="25"/>
        <v>#DIV/0!</v>
      </c>
      <c r="AZ28" s="1" t="e">
        <f t="shared" si="5"/>
        <v>#DIV/0!</v>
      </c>
      <c r="BA28" s="1" t="e">
        <f t="shared" si="19"/>
        <v>#NUM!</v>
      </c>
      <c r="BB28" s="1" t="e">
        <f t="shared" si="6"/>
        <v>#NUM!</v>
      </c>
      <c r="BC28" s="1" t="e">
        <f t="shared" si="20"/>
        <v>#NUM!</v>
      </c>
      <c r="BD28" t="e">
        <f t="shared" si="7"/>
        <v>#NUM!</v>
      </c>
      <c r="BE28" s="1"/>
      <c r="BF28" s="32" t="e">
        <f t="shared" si="8"/>
        <v>#DIV/0!</v>
      </c>
      <c r="BG28" s="1" t="e">
        <f t="shared" si="9"/>
        <v>#DIV/0!</v>
      </c>
      <c r="BH28" s="1" t="e">
        <f t="shared" si="10"/>
        <v>#DIV/0!</v>
      </c>
      <c r="BI28" s="1" t="e">
        <f t="shared" si="11"/>
        <v>#NUM!</v>
      </c>
      <c r="BJ28" s="1" t="e">
        <f t="shared" si="12"/>
        <v>#NUM!</v>
      </c>
      <c r="BK28" s="1"/>
      <c r="BL28" s="1"/>
      <c r="BM28" s="1"/>
      <c r="BN28" s="1"/>
      <c r="BO28" s="1" t="e">
        <f t="shared" si="27"/>
        <v>#NUM!</v>
      </c>
      <c r="BP28" s="33" t="e">
        <f t="shared" si="28"/>
        <v>#NUM!</v>
      </c>
      <c r="BQ28" s="1"/>
      <c r="BR28" s="1"/>
      <c r="BS28" s="1" t="e">
        <f t="shared" si="29"/>
        <v>#DIV/0!</v>
      </c>
      <c r="BT28" s="1" t="e">
        <f t="shared" si="30"/>
        <v>#DIV/0!</v>
      </c>
      <c r="BU28" s="1"/>
      <c r="BV28" s="1"/>
      <c r="BW28" s="1"/>
      <c r="BX28" s="1"/>
      <c r="BY28" s="1"/>
      <c r="BZ28" s="1"/>
      <c r="CA28" s="1"/>
      <c r="CB28" s="1"/>
      <c r="CC28" t="e">
        <f>(Constants!$C$18/BO28)^(1/LN(Constants!$B$2/Constants!$B$4))</f>
        <v>#NUM!</v>
      </c>
      <c r="CD28" t="e">
        <f>ABS((Constants!$C$18/BO28)^(1/LN(Constants!$B$2/Constants!$B$4))-(Constants!$C$18/(BO28+BP28))^(1/LN(Constants!$B$2/Constants!$B$4)))</f>
        <v>#NUM!</v>
      </c>
      <c r="CK28" t="e">
        <f>BS28*$CC28^(LN(Constants!$B$2/Constants!$B$5))</f>
        <v>#DIV/0!</v>
      </c>
      <c r="CL28" s="33" t="e">
        <f>CK28*SQRT((BT28/BS28)^2+((BS28*($CC28+$CD28)^(LN(Constants!$B$2/Constants!$B$5))-CK28)/CK28)^2)</f>
        <v>#DIV/0!</v>
      </c>
      <c r="CR28" s="1"/>
      <c r="CS28" s="1"/>
      <c r="CU28" s="1"/>
      <c r="CV28" s="1"/>
      <c r="CW28" s="1"/>
    </row>
    <row r="29" spans="1:109">
      <c r="A29" s="73">
        <f>X29</f>
        <v>0</v>
      </c>
      <c r="B29" t="str">
        <f>IF(NOT(ISBLANK($J29)),IF($T29&lt;Constants!$B$32,"low spike","OK"),"")</f>
        <v/>
      </c>
      <c r="C29" t="str">
        <f>IF(NOT(ISBLANK($J29)), IF((ABS($L28-$L30)/$L28)&gt;Constants!$B$33,"variable mass bias","OK"), "")</f>
        <v/>
      </c>
      <c r="D29" t="str">
        <f>IF(NOT(ISBLANK($J29)), IF((ABS($P28-$P30)/$P28)&gt;Constants!$B$34,"variable IC yield","OK"),"")</f>
        <v/>
      </c>
      <c r="E29" s="34" t="e">
        <f>CE29</f>
        <v>#DIV/0!</v>
      </c>
      <c r="F29" s="34" t="e">
        <f>CF29</f>
        <v>#DIV/0!</v>
      </c>
      <c r="G29" s="34" t="e">
        <f>CM29</f>
        <v>#DIV/0!</v>
      </c>
      <c r="H29" s="48" t="e">
        <f>CN29</f>
        <v>#DIV/0!</v>
      </c>
      <c r="I29" s="33"/>
      <c r="J29" s="62"/>
      <c r="K29" s="62"/>
      <c r="L29" s="62"/>
      <c r="M29" s="62"/>
      <c r="N29" s="62"/>
      <c r="O29" s="62"/>
      <c r="P29" s="62"/>
      <c r="Q29" s="62"/>
      <c r="R29" s="62"/>
      <c r="S29" s="62"/>
      <c r="T29" s="62"/>
      <c r="U29" s="62"/>
      <c r="V29" s="62"/>
      <c r="W29" s="62"/>
      <c r="X29" s="63"/>
      <c r="Y29" s="63"/>
      <c r="Z29" s="63"/>
      <c r="AB29" s="1">
        <f>R29</f>
        <v>0</v>
      </c>
      <c r="AC29" s="1">
        <f>S29</f>
        <v>0</v>
      </c>
      <c r="AD29" s="1">
        <f>T29</f>
        <v>0</v>
      </c>
      <c r="AE29" s="1">
        <f>U29</f>
        <v>0</v>
      </c>
      <c r="AF29" s="1" t="e">
        <f>AVERAGE(AF28/$AB28,AF30/$AB30)*$AB29</f>
        <v>#DIV/0!</v>
      </c>
      <c r="AG29" s="1" t="e">
        <f>AVERAGE(AG28/AF28,AG30/AF30)*AF29</f>
        <v>#DIV/0!</v>
      </c>
      <c r="AH29" s="1" t="e">
        <f>AVERAGE(AH28/$AB28,AH30/$AB30)*$AB29</f>
        <v>#DIV/0!</v>
      </c>
      <c r="AI29" s="1" t="e">
        <f>AVERAGE(AI28/AH28,AI30/AH30)*AH29</f>
        <v>#DIV/0!</v>
      </c>
      <c r="AJ29" s="1" t="e">
        <f>AVERAGE(AJ28/$AB28,AJ30/$AB30)*$AB29</f>
        <v>#DIV/0!</v>
      </c>
      <c r="AK29" s="1" t="e">
        <f>AVERAGE(AK28/AJ28,AK30/AJ30)*AJ29</f>
        <v>#DIV/0!</v>
      </c>
      <c r="AL29" s="1" t="e">
        <f>AVERAGE(AL28/$AB28,AL30/$AB30)*$AB29</f>
        <v>#DIV/0!</v>
      </c>
      <c r="AM29" s="1" t="e">
        <f>AVERAGE(AM28/AL28,AM30/AL30)*AL29</f>
        <v>#DIV/0!</v>
      </c>
      <c r="AR29" s="1">
        <f>Constants!B$25</f>
        <v>2.2917410000000001E-6</v>
      </c>
      <c r="AS29" s="1">
        <f>R29</f>
        <v>0</v>
      </c>
      <c r="AT29" s="1">
        <f>MAX(0.000001,T29)</f>
        <v>9.9999999999999995E-7</v>
      </c>
      <c r="AU29" s="1" t="e">
        <f t="shared" si="17"/>
        <v>#DIV/0!</v>
      </c>
      <c r="AV29" s="1" t="e">
        <f>AS29/L29</f>
        <v>#DIV/0!</v>
      </c>
      <c r="AW29" s="1" t="e">
        <f t="shared" si="18"/>
        <v>#DIV/0!</v>
      </c>
      <c r="AX29" s="1">
        <f>V29</f>
        <v>0</v>
      </c>
      <c r="AY29" t="e">
        <f t="shared" si="25"/>
        <v>#DIV/0!</v>
      </c>
      <c r="AZ29" s="1" t="e">
        <f>AT29/N29</f>
        <v>#DIV/0!</v>
      </c>
      <c r="BA29" s="1" t="e">
        <f t="shared" si="19"/>
        <v>#DIV/0!</v>
      </c>
      <c r="BB29" s="1" t="e">
        <f>AL29-BC29</f>
        <v>#DIV/0!</v>
      </c>
      <c r="BC29" s="1" t="e">
        <f t="shared" si="26"/>
        <v>#DIV/0!</v>
      </c>
      <c r="BD29" t="e">
        <f>(LN(AF29)-LN(AH29))/(LN(238-236.5))</f>
        <v>#DIV/0!</v>
      </c>
      <c r="BF29" s="32" t="e">
        <f>AY29/AS29/62415093</f>
        <v>#DIV/0!</v>
      </c>
      <c r="BG29" s="1" t="e">
        <f>AY29/AX29</f>
        <v>#DIV/0!</v>
      </c>
      <c r="BH29" s="1" t="e">
        <f>BG29*0.1</f>
        <v>#DIV/0!</v>
      </c>
      <c r="BI29" s="1" t="e">
        <f>AW29/AV29/62415093</f>
        <v>#DIV/0!</v>
      </c>
      <c r="BJ29" s="1" t="e">
        <f>BI29*0.1</f>
        <v>#DIV/0!</v>
      </c>
      <c r="BK29" s="1" t="e">
        <f>AU29/AT29/62415093</f>
        <v>#DIV/0!</v>
      </c>
      <c r="BL29" s="1" t="e">
        <f>BK29*0.1</f>
        <v>#DIV/0!</v>
      </c>
      <c r="BM29" s="1" t="e">
        <f>J29/(1-(AU29/62415093)/AT29)</f>
        <v>#DIV/0!</v>
      </c>
      <c r="BN29" s="33" t="e">
        <f>SQRT((K29/(1-BK29))^2+(BL29*J29/(1-BK29)^2)^2)</f>
        <v>#DIV/0!</v>
      </c>
      <c r="BO29" s="1" t="e">
        <f>L29/(1-AW29/62415093/AV29)</f>
        <v>#DIV/0!</v>
      </c>
      <c r="BP29" s="33" t="e">
        <f>SQRT((M29/(1-BI29))^2+(BJ29*L29/(1-BI29)^2)^2)</f>
        <v>#DIV/0!</v>
      </c>
      <c r="BQ29" s="1" t="e">
        <f>N29*(1-BK29)</f>
        <v>#DIV/0!</v>
      </c>
      <c r="BR29" t="e">
        <f>SQRT(O29^2+BL29^2)</f>
        <v>#DIV/0!</v>
      </c>
      <c r="BS29" s="1" t="e">
        <f>P29/(1-BG29)</f>
        <v>#DIV/0!</v>
      </c>
      <c r="BT29" s="1" t="e">
        <f>SQRT((Q29/(1-BG29))^2+(BH29*P29/(1-BG29)^2)^2)</f>
        <v>#DIV/0!</v>
      </c>
      <c r="BU29" t="e">
        <f>(Constants!$C$19/$BQ29)^(1/LN(Constants!$B$3/Constants!$B$6))</f>
        <v>#DIV/0!</v>
      </c>
      <c r="BV29" t="e">
        <f>(Constants!$C$19/($BQ29-BR29))^(1/LN(Constants!$B$3/Constants!$B$6))-BU29</f>
        <v>#DIV/0!</v>
      </c>
      <c r="BW29" t="e">
        <f>$BM29*BU29^(LN(Constants!$B$2/Constants!$B$3))</f>
        <v>#DIV/0!</v>
      </c>
      <c r="BX29" s="33" t="e">
        <f>BW29*SQRT((BN29/BM29)^2+(((BM29*($BU29+$BV29)^LN(Constants!$B$2/Constants!$B$3))-BW29)/BW29)^2)</f>
        <v>#DIV/0!</v>
      </c>
      <c r="BY29" t="e">
        <f>BO29*BU29^(LN(Constants!$B$2/Constants!$B$4))</f>
        <v>#DIV/0!</v>
      </c>
      <c r="BZ29" s="33" t="e">
        <f>BY29*SQRT((BP29/BO29)^2+(((BO29*($BU29+$BV29)^LN(Constants!$B$2/Constants!$B$4))-BY29)/BY29)^2)</f>
        <v>#DIV/0!</v>
      </c>
      <c r="CA29" t="e">
        <f>BS29*BU29^(LN(Constants!$B$2/Constants!$B$5))</f>
        <v>#DIV/0!</v>
      </c>
      <c r="CB29" s="33" t="e">
        <f>CA29*SQRT((BT29/BS29)^2+(((BS29*($BU29+$BV29)^LN(Constants!$B$2/Constants!$B$5))-CA29)/CA29)^2)</f>
        <v>#DIV/0!</v>
      </c>
      <c r="CC29" t="e">
        <f>(Constants!$C$18/AVERAGE(BO28,BO30))^(1/LN(Constants!$B$2/Constants!$B$4))</f>
        <v>#NUM!</v>
      </c>
      <c r="CD29" t="e">
        <f>MAX(ABS((Constants!$C$18/BO28)^(1/LN(Constants!$B$2/Constants!$B$4))-(Constants!$C$18/BO30)^(1/LN(Constants!$B$2/Constants!$B$4))),CD28,CD30)</f>
        <v>#NUM!</v>
      </c>
      <c r="CE29" t="e">
        <f>$BM29*CC29^(LN(Constants!$B$2/Constants!$B$3))</f>
        <v>#DIV/0!</v>
      </c>
      <c r="CF29" s="33" t="e">
        <f>CE29*SQRT((BN29/BM29)^2+(($BM29*($CC29+$CD29)^(LN(Constants!$B$2/Constants!$B$3))-CE29)/CE29)^2)</f>
        <v>#DIV/0!</v>
      </c>
      <c r="CG29" t="e">
        <f>BO29*CC29^(LN(Constants!$B$2/Constants!$B$4))</f>
        <v>#DIV/0!</v>
      </c>
      <c r="CH29" s="33" t="e">
        <f>CG29*SQRT((BP29/BO29)^2+((BO29*($CC29+$CD29)^(LN(Constants!$B$2/Constants!$B$4))-CG29)/CG29)^2)</f>
        <v>#DIV/0!</v>
      </c>
      <c r="CI29" t="e">
        <f>BQ29*$CC29^(LN(Constants!$B$3/Constants!$B$6))</f>
        <v>#DIV/0!</v>
      </c>
      <c r="CJ29" s="33" t="e">
        <f>CI29*SQRT((BR29/BQ29)^2+((BQ29*($CC29+$CD29)^(LN(Constants!$B$3/Constants!$B$6))-CI29)/CI29)^2)</f>
        <v>#DIV/0!</v>
      </c>
      <c r="CK29" t="e">
        <f>BS29*CC29^(LN(Constants!$B$2/Constants!$B$5))</f>
        <v>#DIV/0!</v>
      </c>
      <c r="CL29" s="33" t="e">
        <f>CK29*SQRT((BT29/BS29)^2+((BS29*($CC29+$CD29)^(LN(Constants!$B$2/Constants!$B$5))-CK29)/CK29)^2)</f>
        <v>#DIV/0!</v>
      </c>
      <c r="CM29" t="e">
        <f>CK29*Constants!$C$17/AVERAGE(CK28,CK30)</f>
        <v>#DIV/0!</v>
      </c>
      <c r="CN29" t="e">
        <f>CM29*SQRT(((CK28-CK30)/CK30/4)^2+(CL29/CK29)^2+AVERAGE(CL28/CK28,CL30/CK30)^2)</f>
        <v>#DIV/0!</v>
      </c>
      <c r="CO29" t="e">
        <f>1/CM29*CE29*CI29</f>
        <v>#DIV/0!</v>
      </c>
      <c r="CQ29" t="e">
        <f>$K29/$J29</f>
        <v>#DIV/0!</v>
      </c>
      <c r="CR29" t="e">
        <f>$BN29/$BM29</f>
        <v>#DIV/0!</v>
      </c>
      <c r="CS29" t="e">
        <f>$CF29/$CE29</f>
        <v>#DIV/0!</v>
      </c>
      <c r="CT29" t="e">
        <f>$Q29/$P29</f>
        <v>#DIV/0!</v>
      </c>
      <c r="CU29" t="e">
        <f>$BT29/$BS29</f>
        <v>#DIV/0!</v>
      </c>
      <c r="CV29" t="e">
        <f>$CL29/$CK29</f>
        <v>#DIV/0!</v>
      </c>
      <c r="CW29" t="e">
        <f>$CN29/$CM29</f>
        <v>#DIV/0!</v>
      </c>
      <c r="CY29" s="82" t="e">
        <f>$CQ29/$CS29</f>
        <v>#DIV/0!</v>
      </c>
      <c r="CZ29" s="82" t="e">
        <f>$CR29/$CS29-$CY29</f>
        <v>#DIV/0!</v>
      </c>
      <c r="DA29" s="82" t="e">
        <f>$CS29/$CS29-$CZ29-$CY29</f>
        <v>#DIV/0!</v>
      </c>
      <c r="DB29" s="82" t="e">
        <f>$CT29/$CW29</f>
        <v>#DIV/0!</v>
      </c>
      <c r="DC29" s="82" t="e">
        <f>$CU29/$CW29-$DB29</f>
        <v>#DIV/0!</v>
      </c>
      <c r="DD29" s="82" t="e">
        <f>$CV29/$CW29-$DC29-$DB29</f>
        <v>#DIV/0!</v>
      </c>
      <c r="DE29" s="82" t="e">
        <f>$CW29/$CW29-$DD29-$DC29-$DB29</f>
        <v>#DIV/0!</v>
      </c>
    </row>
    <row r="30" spans="1:109">
      <c r="A30" s="73">
        <f t="shared" si="0"/>
        <v>0</v>
      </c>
      <c r="B30" s="73"/>
      <c r="C30" s="73"/>
      <c r="J30" s="62"/>
      <c r="K30" s="62"/>
      <c r="L30" s="62"/>
      <c r="M30" s="62"/>
      <c r="N30" s="62"/>
      <c r="O30" s="62"/>
      <c r="P30" s="62"/>
      <c r="Q30" s="62"/>
      <c r="R30" s="62"/>
      <c r="S30" s="62"/>
      <c r="T30" s="62"/>
      <c r="U30" s="62"/>
      <c r="V30" s="62"/>
      <c r="W30" s="62"/>
      <c r="X30" s="63"/>
      <c r="Y30" s="63"/>
      <c r="Z30" s="63"/>
      <c r="AB30" s="62"/>
      <c r="AC30" s="62"/>
      <c r="AD30" s="62"/>
      <c r="AE30" s="62"/>
      <c r="AF30" s="62"/>
      <c r="AG30" s="62"/>
      <c r="AH30" s="62"/>
      <c r="AI30" s="62"/>
      <c r="AJ30" s="62"/>
      <c r="AK30" s="62"/>
      <c r="AL30" s="62"/>
      <c r="AM30" s="62"/>
      <c r="AN30" s="63"/>
      <c r="AO30" s="63"/>
      <c r="AP30" s="63"/>
      <c r="AQ30" s="1"/>
      <c r="AR30" s="1">
        <f>Constants!B$25</f>
        <v>2.2917410000000001E-6</v>
      </c>
      <c r="AS30" s="1">
        <f t="shared" si="1"/>
        <v>0</v>
      </c>
      <c r="AT30" s="1">
        <f t="shared" si="2"/>
        <v>9.9999999999999995E-7</v>
      </c>
      <c r="AU30" s="1" t="e">
        <f t="shared" si="17"/>
        <v>#NUM!</v>
      </c>
      <c r="AV30" s="1" t="e">
        <f t="shared" si="3"/>
        <v>#DIV/0!</v>
      </c>
      <c r="AW30" s="1" t="e">
        <f t="shared" si="18"/>
        <v>#NUM!</v>
      </c>
      <c r="AX30" s="1">
        <f t="shared" si="4"/>
        <v>0</v>
      </c>
      <c r="AY30" t="e">
        <f t="shared" si="25"/>
        <v>#DIV/0!</v>
      </c>
      <c r="AZ30" s="1" t="e">
        <f t="shared" si="5"/>
        <v>#DIV/0!</v>
      </c>
      <c r="BA30" s="1" t="e">
        <f t="shared" si="19"/>
        <v>#NUM!</v>
      </c>
      <c r="BB30" s="1" t="e">
        <f t="shared" si="6"/>
        <v>#NUM!</v>
      </c>
      <c r="BC30" s="1" t="e">
        <f t="shared" si="20"/>
        <v>#NUM!</v>
      </c>
      <c r="BD30" t="e">
        <f t="shared" si="7"/>
        <v>#NUM!</v>
      </c>
      <c r="BE30" s="1"/>
      <c r="BF30" s="32" t="e">
        <f t="shared" si="8"/>
        <v>#DIV/0!</v>
      </c>
      <c r="BG30" s="1" t="e">
        <f t="shared" si="9"/>
        <v>#DIV/0!</v>
      </c>
      <c r="BH30" s="1" t="e">
        <f t="shared" si="10"/>
        <v>#DIV/0!</v>
      </c>
      <c r="BI30" s="1" t="e">
        <f t="shared" si="11"/>
        <v>#NUM!</v>
      </c>
      <c r="BJ30" s="1" t="e">
        <f t="shared" si="12"/>
        <v>#NUM!</v>
      </c>
      <c r="BK30" s="1"/>
      <c r="BL30" s="1"/>
      <c r="BM30" s="1"/>
      <c r="BN30" s="1"/>
      <c r="BO30" s="1" t="e">
        <f t="shared" si="27"/>
        <v>#NUM!</v>
      </c>
      <c r="BP30" s="33" t="e">
        <f t="shared" si="28"/>
        <v>#NUM!</v>
      </c>
      <c r="BQ30" s="1"/>
      <c r="BR30" s="1"/>
      <c r="BS30" s="1" t="e">
        <f t="shared" si="29"/>
        <v>#DIV/0!</v>
      </c>
      <c r="BT30" s="1" t="e">
        <f t="shared" si="30"/>
        <v>#DIV/0!</v>
      </c>
      <c r="BU30" s="1"/>
      <c r="BV30" s="1"/>
      <c r="BW30" s="1"/>
      <c r="BX30" s="1"/>
      <c r="BY30" s="1"/>
      <c r="BZ30" s="1"/>
      <c r="CA30" s="1"/>
      <c r="CB30" s="1"/>
      <c r="CC30" t="e">
        <f>(Constants!$C$18/BO30)^(1/LN(Constants!$B$2/Constants!$B$4))</f>
        <v>#NUM!</v>
      </c>
      <c r="CD30" t="e">
        <f>ABS((Constants!$C$18/BO30)^(1/LN(Constants!$B$2/Constants!$B$4))-(Constants!$C$18/(BO30+BP30))^(1/LN(Constants!$B$2/Constants!$B$4)))</f>
        <v>#NUM!</v>
      </c>
      <c r="CK30" t="e">
        <f>BS30*$CC30^(LN(Constants!$B$2/Constants!$B$5))</f>
        <v>#DIV/0!</v>
      </c>
      <c r="CL30" s="33" t="e">
        <f>CK30*SQRT((BT30/BS30)^2+((BS30*($CC30+$CD30)^(LN(Constants!$B$2/Constants!$B$5))-CK30)/CK30)^2)</f>
        <v>#DIV/0!</v>
      </c>
    </row>
    <row r="31" spans="1:109">
      <c r="A31" s="73">
        <f>X31</f>
        <v>0</v>
      </c>
      <c r="B31" t="str">
        <f>IF(NOT(ISBLANK($J31)),IF($T31&lt;Constants!$B$32,"low spike","OK"),"")</f>
        <v/>
      </c>
      <c r="C31" t="str">
        <f>IF(NOT(ISBLANK($J31)), IF((ABS($L30-$L32)/$L30)&gt;Constants!$B$33,"variable mass bias","OK"), "")</f>
        <v/>
      </c>
      <c r="D31" t="str">
        <f>IF(NOT(ISBLANK($J31)), IF((ABS($P30-$P32)/$P30)&gt;Constants!$B$34,"variable IC yield","OK"),"")</f>
        <v/>
      </c>
      <c r="E31" s="34" t="e">
        <f>CE31</f>
        <v>#DIV/0!</v>
      </c>
      <c r="F31" s="34" t="e">
        <f>CF31</f>
        <v>#DIV/0!</v>
      </c>
      <c r="G31" s="34" t="e">
        <f>CM31</f>
        <v>#DIV/0!</v>
      </c>
      <c r="H31" s="48" t="e">
        <f>CN31</f>
        <v>#DIV/0!</v>
      </c>
      <c r="I31" s="33"/>
      <c r="J31" s="62"/>
      <c r="K31" s="62"/>
      <c r="L31" s="62"/>
      <c r="M31" s="62"/>
      <c r="N31" s="62"/>
      <c r="O31" s="62"/>
      <c r="P31" s="62"/>
      <c r="Q31" s="62"/>
      <c r="R31" s="62"/>
      <c r="S31" s="62"/>
      <c r="T31" s="62"/>
      <c r="U31" s="62"/>
      <c r="V31" s="62"/>
      <c r="W31" s="62"/>
      <c r="X31" s="63"/>
      <c r="Y31" s="63"/>
      <c r="Z31" s="63"/>
      <c r="AB31" s="1">
        <f>R31</f>
        <v>0</v>
      </c>
      <c r="AC31" s="1">
        <f>S31</f>
        <v>0</v>
      </c>
      <c r="AD31" s="1">
        <f>T31</f>
        <v>0</v>
      </c>
      <c r="AE31" s="1">
        <f>U31</f>
        <v>0</v>
      </c>
      <c r="AF31" s="1" t="e">
        <f>AVERAGE(AF30/$AB30,AF32/$AB32)*$AB31</f>
        <v>#DIV/0!</v>
      </c>
      <c r="AG31" s="1" t="e">
        <f>AVERAGE(AG30/AF30,AG32/AF32)*AF31</f>
        <v>#DIV/0!</v>
      </c>
      <c r="AH31" s="1" t="e">
        <f>AVERAGE(AH30/$AB30,AH32/$AB32)*$AB31</f>
        <v>#DIV/0!</v>
      </c>
      <c r="AI31" s="1" t="e">
        <f>AVERAGE(AI30/AH30,AI32/AH32)*AH31</f>
        <v>#DIV/0!</v>
      </c>
      <c r="AJ31" s="1" t="e">
        <f>AVERAGE(AJ30/$AB30,AJ32/$AB32)*$AB31</f>
        <v>#DIV/0!</v>
      </c>
      <c r="AK31" s="1" t="e">
        <f>AVERAGE(AK30/AJ30,AK32/AJ32)*AJ31</f>
        <v>#DIV/0!</v>
      </c>
      <c r="AL31" s="1" t="e">
        <f>AVERAGE(AL30/$AB30,AL32/$AB32)*$AB31</f>
        <v>#DIV/0!</v>
      </c>
      <c r="AM31" s="1" t="e">
        <f>AVERAGE(AM30/AL30,AM32/AL32)*AL31</f>
        <v>#DIV/0!</v>
      </c>
      <c r="AR31" s="1">
        <f>Constants!B$25</f>
        <v>2.2917410000000001E-6</v>
      </c>
      <c r="AS31" s="1">
        <f>R31</f>
        <v>0</v>
      </c>
      <c r="AT31" s="1">
        <f>MAX(0.000001,T31)</f>
        <v>9.9999999999999995E-7</v>
      </c>
      <c r="AU31" s="1" t="e">
        <f t="shared" si="17"/>
        <v>#DIV/0!</v>
      </c>
      <c r="AV31" s="1" t="e">
        <f>AS31/L31</f>
        <v>#DIV/0!</v>
      </c>
      <c r="AW31" s="1" t="e">
        <f t="shared" si="18"/>
        <v>#DIV/0!</v>
      </c>
      <c r="AX31" s="1">
        <f>V31</f>
        <v>0</v>
      </c>
      <c r="AY31" t="e">
        <f t="shared" si="25"/>
        <v>#DIV/0!</v>
      </c>
      <c r="AZ31" s="1" t="e">
        <f>AT31/N31</f>
        <v>#DIV/0!</v>
      </c>
      <c r="BA31" s="1" t="e">
        <f t="shared" si="19"/>
        <v>#DIV/0!</v>
      </c>
      <c r="BB31" s="1" t="e">
        <f>AL31-BC31</f>
        <v>#DIV/0!</v>
      </c>
      <c r="BC31" s="1" t="e">
        <f t="shared" si="26"/>
        <v>#DIV/0!</v>
      </c>
      <c r="BD31" t="e">
        <f>(LN(AF31)-LN(AH31))/(LN(238-236.5))</f>
        <v>#DIV/0!</v>
      </c>
      <c r="BF31" s="32" t="e">
        <f>AY31/AS31/62415093</f>
        <v>#DIV/0!</v>
      </c>
      <c r="BG31" s="1" t="e">
        <f>AY31/AX31</f>
        <v>#DIV/0!</v>
      </c>
      <c r="BH31" s="1" t="e">
        <f>BG31*0.1</f>
        <v>#DIV/0!</v>
      </c>
      <c r="BI31" s="1" t="e">
        <f>AW31/AV31/62415093</f>
        <v>#DIV/0!</v>
      </c>
      <c r="BJ31" s="1" t="e">
        <f>BI31*0.1</f>
        <v>#DIV/0!</v>
      </c>
      <c r="BK31" s="1" t="e">
        <f>AU31/AT31/62415093</f>
        <v>#DIV/0!</v>
      </c>
      <c r="BL31" s="1" t="e">
        <f>BK31*0.1</f>
        <v>#DIV/0!</v>
      </c>
      <c r="BM31" s="1" t="e">
        <f>J31/(1-(AU31/62415093)/AT31)</f>
        <v>#DIV/0!</v>
      </c>
      <c r="BN31" s="33" t="e">
        <f>SQRT((K31/(1-BK31))^2+(BL31*J31/(1-BK31)^2)^2)</f>
        <v>#DIV/0!</v>
      </c>
      <c r="BO31" s="1" t="e">
        <f>L31/(1-AW31/62415093/AV31)</f>
        <v>#DIV/0!</v>
      </c>
      <c r="BP31" s="33" t="e">
        <f>SQRT((M31/(1-BI31))^2+(BJ31*L31/(1-BI31)^2)^2)</f>
        <v>#DIV/0!</v>
      </c>
      <c r="BQ31" s="1" t="e">
        <f>N31*(1-BK31)</f>
        <v>#DIV/0!</v>
      </c>
      <c r="BR31" t="e">
        <f>SQRT(O31^2+BL31^2)</f>
        <v>#DIV/0!</v>
      </c>
      <c r="BS31" s="1" t="e">
        <f>P31/(1-BG31)</f>
        <v>#DIV/0!</v>
      </c>
      <c r="BT31" s="1" t="e">
        <f>SQRT((Q31/(1-BG31))^2+(BH31*P31/(1-BG31)^2)^2)</f>
        <v>#DIV/0!</v>
      </c>
      <c r="BU31" t="e">
        <f>(Constants!$C$19/$BQ31)^(1/LN(Constants!$B$3/Constants!$B$6))</f>
        <v>#DIV/0!</v>
      </c>
      <c r="BV31" t="e">
        <f>(Constants!$C$19/($BQ31-BR31))^(1/LN(Constants!$B$3/Constants!$B$6))-BU31</f>
        <v>#DIV/0!</v>
      </c>
      <c r="BW31" t="e">
        <f>$BM31*BU31^(LN(Constants!$B$2/Constants!$B$3))</f>
        <v>#DIV/0!</v>
      </c>
      <c r="BX31" s="33" t="e">
        <f>BW31*SQRT((BN31/BM31)^2+(((BM31*($BU31+$BV31)^LN(Constants!$B$2/Constants!$B$3))-BW31)/BW31)^2)</f>
        <v>#DIV/0!</v>
      </c>
      <c r="BY31" t="e">
        <f>BO31*BU31^(LN(Constants!$B$2/Constants!$B$4))</f>
        <v>#DIV/0!</v>
      </c>
      <c r="BZ31" s="33" t="e">
        <f>BY31*SQRT((BP31/BO31)^2+(((BO31*($BU31+$BV31)^LN(Constants!$B$2/Constants!$B$4))-BY31)/BY31)^2)</f>
        <v>#DIV/0!</v>
      </c>
      <c r="CA31" t="e">
        <f>BS31*BU31^(LN(Constants!$B$2/Constants!$B$5))</f>
        <v>#DIV/0!</v>
      </c>
      <c r="CB31" s="33" t="e">
        <f>CA31*SQRT((BT31/BS31)^2+(((BS31*($BU31+$BV31)^LN(Constants!$B$2/Constants!$B$5))-CA31)/CA31)^2)</f>
        <v>#DIV/0!</v>
      </c>
      <c r="CC31" t="e">
        <f>(Constants!$C$18/AVERAGE(BO30,BO32))^(1/LN(Constants!$B$2/Constants!$B$4))</f>
        <v>#NUM!</v>
      </c>
      <c r="CD31" t="e">
        <f>MAX(ABS((Constants!$C$18/BO30)^(1/LN(Constants!$B$2/Constants!$B$4))-(Constants!$C$18/BO32)^(1/LN(Constants!$B$2/Constants!$B$4))),CD30,CD32)</f>
        <v>#NUM!</v>
      </c>
      <c r="CE31" t="e">
        <f>$BM31*CC31^(LN(Constants!$B$2/Constants!$B$3))</f>
        <v>#DIV/0!</v>
      </c>
      <c r="CF31" s="33" t="e">
        <f>CE31*SQRT((BN31/BM31)^2+(($BM31*($CC31+$CD31)^(LN(Constants!$B$2/Constants!$B$3))-CE31)/CE31)^2)</f>
        <v>#DIV/0!</v>
      </c>
      <c r="CG31" t="e">
        <f>BO31*CC31^(LN(Constants!$B$2/Constants!$B$4))</f>
        <v>#DIV/0!</v>
      </c>
      <c r="CH31" s="33" t="e">
        <f>CG31*SQRT((BP31/BO31)^2+((BO31*($CC31+$CD31)^(LN(Constants!$B$2/Constants!$B$4))-CG31)/CG31)^2)</f>
        <v>#DIV/0!</v>
      </c>
      <c r="CI31" t="e">
        <f>BQ31*$CC31^(LN(Constants!$B$3/Constants!$B$6))</f>
        <v>#DIV/0!</v>
      </c>
      <c r="CJ31" s="33" t="e">
        <f>CI31*SQRT((BR31/BQ31)^2+((BQ31*($CC31+$CD31)^(LN(Constants!$B$3/Constants!$B$6))-CI31)/CI31)^2)</f>
        <v>#DIV/0!</v>
      </c>
      <c r="CK31" t="e">
        <f>BS31*CC31^(LN(Constants!$B$2/Constants!$B$5))</f>
        <v>#DIV/0!</v>
      </c>
      <c r="CL31" s="33" t="e">
        <f>CK31*SQRT((BT31/BS31)^2+((BS31*($CC31+$CD31)^(LN(Constants!$B$2/Constants!$B$5))-CK31)/CK31)^2)</f>
        <v>#DIV/0!</v>
      </c>
      <c r="CM31" t="e">
        <f>CK31*Constants!$C$17/AVERAGE(CK30,CK32)</f>
        <v>#DIV/0!</v>
      </c>
      <c r="CN31" t="e">
        <f>CM31*SQRT(((CK30-CK32)/CK32/4)^2+(CL31/CK31)^2+AVERAGE(CL30/CK30,CL32/CK32)^2)</f>
        <v>#DIV/0!</v>
      </c>
      <c r="CO31" t="e">
        <f>1/CM31*CE31*CI31</f>
        <v>#DIV/0!</v>
      </c>
      <c r="CQ31" t="e">
        <f>$K31/$J31</f>
        <v>#DIV/0!</v>
      </c>
      <c r="CR31" t="e">
        <f>$BN31/$BM31</f>
        <v>#DIV/0!</v>
      </c>
      <c r="CS31" t="e">
        <f>$CF31/$CE31</f>
        <v>#DIV/0!</v>
      </c>
      <c r="CT31" t="e">
        <f>$Q31/$P31</f>
        <v>#DIV/0!</v>
      </c>
      <c r="CU31" t="e">
        <f>$BT31/$BS31</f>
        <v>#DIV/0!</v>
      </c>
      <c r="CV31" t="e">
        <f>$CL31/$CK31</f>
        <v>#DIV/0!</v>
      </c>
      <c r="CW31" t="e">
        <f>$CN31/$CM31</f>
        <v>#DIV/0!</v>
      </c>
      <c r="CY31" s="82" t="e">
        <f>$CQ31/$CS31</f>
        <v>#DIV/0!</v>
      </c>
      <c r="CZ31" s="82" t="e">
        <f>$CR31/$CS31-$CY31</f>
        <v>#DIV/0!</v>
      </c>
      <c r="DA31" s="82" t="e">
        <f>$CS31/$CS31-$CZ31-$CY31</f>
        <v>#DIV/0!</v>
      </c>
      <c r="DB31" s="82" t="e">
        <f>$CT31/$CW31</f>
        <v>#DIV/0!</v>
      </c>
      <c r="DC31" s="82" t="e">
        <f>$CU31/$CW31-$DB31</f>
        <v>#DIV/0!</v>
      </c>
      <c r="DD31" s="82" t="e">
        <f>$CV31/$CW31-$DC31-$DB31</f>
        <v>#DIV/0!</v>
      </c>
      <c r="DE31" s="82" t="e">
        <f>$CW31/$CW31-$DD31-$DC31-$DB31</f>
        <v>#DIV/0!</v>
      </c>
    </row>
    <row r="32" spans="1:109">
      <c r="A32" s="73">
        <f t="shared" si="0"/>
        <v>0</v>
      </c>
      <c r="B32" s="73"/>
      <c r="C32" s="73"/>
      <c r="J32" s="62"/>
      <c r="K32" s="62"/>
      <c r="L32" s="62"/>
      <c r="M32" s="62"/>
      <c r="N32" s="62"/>
      <c r="O32" s="62"/>
      <c r="P32" s="62"/>
      <c r="Q32" s="62"/>
      <c r="R32" s="62"/>
      <c r="S32" s="62"/>
      <c r="T32" s="62"/>
      <c r="U32" s="62"/>
      <c r="V32" s="62"/>
      <c r="W32" s="62"/>
      <c r="X32" s="63"/>
      <c r="Y32" s="63"/>
      <c r="Z32" s="63"/>
      <c r="AB32" s="62"/>
      <c r="AC32" s="62"/>
      <c r="AD32" s="62"/>
      <c r="AE32" s="62"/>
      <c r="AF32" s="62"/>
      <c r="AG32" s="62"/>
      <c r="AH32" s="62"/>
      <c r="AI32" s="62"/>
      <c r="AJ32" s="62"/>
      <c r="AK32" s="62"/>
      <c r="AL32" s="62"/>
      <c r="AM32" s="62"/>
      <c r="AN32" s="63"/>
      <c r="AO32" s="63"/>
      <c r="AP32" s="63"/>
      <c r="AQ32" s="1"/>
      <c r="AR32" s="1">
        <f>Constants!B$25</f>
        <v>2.2917410000000001E-6</v>
      </c>
      <c r="AS32" s="1">
        <f t="shared" si="1"/>
        <v>0</v>
      </c>
      <c r="AT32" s="1">
        <f t="shared" si="2"/>
        <v>9.9999999999999995E-7</v>
      </c>
      <c r="AU32" s="1" t="e">
        <f t="shared" si="17"/>
        <v>#NUM!</v>
      </c>
      <c r="AV32" s="1" t="e">
        <f t="shared" si="3"/>
        <v>#DIV/0!</v>
      </c>
      <c r="AW32" s="1" t="e">
        <f t="shared" si="18"/>
        <v>#NUM!</v>
      </c>
      <c r="AX32" s="1">
        <f t="shared" si="4"/>
        <v>0</v>
      </c>
      <c r="AY32" t="e">
        <f t="shared" si="25"/>
        <v>#DIV/0!</v>
      </c>
      <c r="AZ32" s="1" t="e">
        <f t="shared" si="5"/>
        <v>#DIV/0!</v>
      </c>
      <c r="BA32" s="1" t="e">
        <f t="shared" si="19"/>
        <v>#NUM!</v>
      </c>
      <c r="BB32" s="1" t="e">
        <f t="shared" si="6"/>
        <v>#NUM!</v>
      </c>
      <c r="BC32" s="1" t="e">
        <f t="shared" si="20"/>
        <v>#NUM!</v>
      </c>
      <c r="BD32" t="e">
        <f t="shared" si="7"/>
        <v>#NUM!</v>
      </c>
      <c r="BE32" s="1"/>
      <c r="BF32" s="32" t="e">
        <f t="shared" si="8"/>
        <v>#DIV/0!</v>
      </c>
      <c r="BG32" s="1" t="e">
        <f t="shared" si="9"/>
        <v>#DIV/0!</v>
      </c>
      <c r="BH32" s="1" t="e">
        <f t="shared" si="10"/>
        <v>#DIV/0!</v>
      </c>
      <c r="BI32" s="1" t="e">
        <f t="shared" si="11"/>
        <v>#NUM!</v>
      </c>
      <c r="BJ32" s="1" t="e">
        <f t="shared" si="12"/>
        <v>#NUM!</v>
      </c>
      <c r="BK32" s="1"/>
      <c r="BL32" s="1"/>
      <c r="BM32" s="1"/>
      <c r="BN32" s="1"/>
      <c r="BO32" s="1" t="e">
        <f t="shared" si="27"/>
        <v>#NUM!</v>
      </c>
      <c r="BP32" s="33" t="e">
        <f t="shared" si="28"/>
        <v>#NUM!</v>
      </c>
      <c r="BQ32" s="1"/>
      <c r="BR32" s="1"/>
      <c r="BS32" s="1" t="e">
        <f t="shared" si="29"/>
        <v>#DIV/0!</v>
      </c>
      <c r="BT32" s="1" t="e">
        <f t="shared" si="30"/>
        <v>#DIV/0!</v>
      </c>
      <c r="BU32" s="1"/>
      <c r="BV32" s="1"/>
      <c r="BW32" s="1"/>
      <c r="BX32" s="1"/>
      <c r="BY32" s="1"/>
      <c r="BZ32" s="1"/>
      <c r="CA32" s="1"/>
      <c r="CB32" s="1"/>
      <c r="CC32" t="e">
        <f>(Constants!$C$18/BO32)^(1/LN(Constants!$B$2/Constants!$B$4))</f>
        <v>#NUM!</v>
      </c>
      <c r="CD32" t="e">
        <f>ABS((Constants!$C$18/BO32)^(1/LN(Constants!$B$2/Constants!$B$4))-(Constants!$C$18/(BO32+BP32))^(1/LN(Constants!$B$2/Constants!$B$4)))</f>
        <v>#NUM!</v>
      </c>
      <c r="CK32" t="e">
        <f>BS32*$CC32^(LN(Constants!$B$2/Constants!$B$5))</f>
        <v>#DIV/0!</v>
      </c>
      <c r="CL32" s="33" t="e">
        <f>CK32*SQRT((BT32/BS32)^2+((BS32*($CC32+$CD32)^(LN(Constants!$B$2/Constants!$B$5))-CK32)/CK32)^2)</f>
        <v>#DIV/0!</v>
      </c>
    </row>
    <row r="33" spans="1:109">
      <c r="A33" s="73">
        <f>X33</f>
        <v>0</v>
      </c>
      <c r="B33" t="str">
        <f>IF(NOT(ISBLANK($J33)),IF($T33&lt;Constants!$B$32,"low spike","OK"),"")</f>
        <v/>
      </c>
      <c r="C33" t="str">
        <f>IF(NOT(ISBLANK($J33)), IF((ABS($L32-$L34)/$L32)&gt;Constants!$B$33,"variable mass bias","OK"), "")</f>
        <v/>
      </c>
      <c r="D33" t="str">
        <f>IF(NOT(ISBLANK($J33)), IF((ABS($P32-$P34)/$P32)&gt;Constants!$B$34,"variable IC yield","OK"),"")</f>
        <v/>
      </c>
      <c r="E33" s="34" t="e">
        <f>CE33</f>
        <v>#DIV/0!</v>
      </c>
      <c r="F33" s="34" t="e">
        <f>CF33</f>
        <v>#DIV/0!</v>
      </c>
      <c r="G33" s="34" t="e">
        <f>CM33</f>
        <v>#DIV/0!</v>
      </c>
      <c r="H33" s="48" t="e">
        <f>CN33</f>
        <v>#DIV/0!</v>
      </c>
      <c r="I33" s="33"/>
      <c r="J33" s="62"/>
      <c r="K33" s="62"/>
      <c r="L33" s="62"/>
      <c r="M33" s="62"/>
      <c r="N33" s="62"/>
      <c r="O33" s="62"/>
      <c r="P33" s="62"/>
      <c r="Q33" s="62"/>
      <c r="R33" s="62"/>
      <c r="S33" s="62"/>
      <c r="T33" s="62"/>
      <c r="U33" s="62"/>
      <c r="V33" s="62"/>
      <c r="W33" s="62"/>
      <c r="X33" s="63"/>
      <c r="Y33" s="63"/>
      <c r="Z33" s="63"/>
      <c r="AB33" s="1">
        <f>R33</f>
        <v>0</v>
      </c>
      <c r="AC33" s="1">
        <f>S33</f>
        <v>0</v>
      </c>
      <c r="AD33" s="1">
        <f>T33</f>
        <v>0</v>
      </c>
      <c r="AE33" s="1">
        <f>U33</f>
        <v>0</v>
      </c>
      <c r="AF33" s="1" t="e">
        <f>AVERAGE(AF32/$AB32,AF34/$AB34)*$AB33</f>
        <v>#DIV/0!</v>
      </c>
      <c r="AG33" s="1" t="e">
        <f>AVERAGE(AG32/AF32,AG34/AF34)*AF33</f>
        <v>#DIV/0!</v>
      </c>
      <c r="AH33" s="1" t="e">
        <f>AVERAGE(AH32/$AB32,AH34/$AB34)*$AB33</f>
        <v>#DIV/0!</v>
      </c>
      <c r="AI33" s="1" t="e">
        <f>AVERAGE(AI32/AH32,AI34/AH34)*AH33</f>
        <v>#DIV/0!</v>
      </c>
      <c r="AJ33" s="1" t="e">
        <f>AVERAGE(AJ32/$AB32,AJ34/$AB34)*$AB33</f>
        <v>#DIV/0!</v>
      </c>
      <c r="AK33" s="1" t="e">
        <f>AVERAGE(AK32/AJ32,AK34/AJ34)*AJ33</f>
        <v>#DIV/0!</v>
      </c>
      <c r="AL33" s="1" t="e">
        <f>AVERAGE(AL32/$AB32,AL34/$AB34)*$AB33</f>
        <v>#DIV/0!</v>
      </c>
      <c r="AM33" s="1" t="e">
        <f>AVERAGE(AM32/AL32,AM34/AL34)*AL33</f>
        <v>#DIV/0!</v>
      </c>
      <c r="AR33" s="1">
        <f>Constants!B$25</f>
        <v>2.2917410000000001E-6</v>
      </c>
      <c r="AS33" s="1">
        <f>R33</f>
        <v>0</v>
      </c>
      <c r="AT33" s="1">
        <f>MAX(0.000001,T33)</f>
        <v>9.9999999999999995E-7</v>
      </c>
      <c r="AU33" s="1" t="e">
        <f t="shared" si="17"/>
        <v>#DIV/0!</v>
      </c>
      <c r="AV33" s="1" t="e">
        <f>AS33/L33</f>
        <v>#DIV/0!</v>
      </c>
      <c r="AW33" s="1" t="e">
        <f t="shared" si="18"/>
        <v>#DIV/0!</v>
      </c>
      <c r="AX33" s="1">
        <f>V33</f>
        <v>0</v>
      </c>
      <c r="AY33" t="e">
        <f t="shared" si="25"/>
        <v>#DIV/0!</v>
      </c>
      <c r="AZ33" s="1" t="e">
        <f>AT33/N33</f>
        <v>#DIV/0!</v>
      </c>
      <c r="BA33" s="1" t="e">
        <f t="shared" si="19"/>
        <v>#DIV/0!</v>
      </c>
      <c r="BB33" s="1" t="e">
        <f>AL33-BC33</f>
        <v>#DIV/0!</v>
      </c>
      <c r="BC33" s="1" t="e">
        <f t="shared" si="26"/>
        <v>#DIV/0!</v>
      </c>
      <c r="BD33" t="e">
        <f>(LN(AF33)-LN(AH33))/(LN(238-236.5))</f>
        <v>#DIV/0!</v>
      </c>
      <c r="BF33" s="32" t="e">
        <f>AY33/AS33/62415093</f>
        <v>#DIV/0!</v>
      </c>
      <c r="BG33" s="1" t="e">
        <f>AY33/AX33</f>
        <v>#DIV/0!</v>
      </c>
      <c r="BH33" s="1" t="e">
        <f>BG33*0.1</f>
        <v>#DIV/0!</v>
      </c>
      <c r="BI33" s="1" t="e">
        <f>AW33/AV33/62415093</f>
        <v>#DIV/0!</v>
      </c>
      <c r="BJ33" s="1" t="e">
        <f>BI33*0.1</f>
        <v>#DIV/0!</v>
      </c>
      <c r="BK33" s="1" t="e">
        <f>AU33/AT33/62415093</f>
        <v>#DIV/0!</v>
      </c>
      <c r="BL33" s="1" t="e">
        <f>BK33*0.1</f>
        <v>#DIV/0!</v>
      </c>
      <c r="BM33" s="1" t="e">
        <f>J33/(1-(AU33/62415093)/AT33)</f>
        <v>#DIV/0!</v>
      </c>
      <c r="BN33" s="33" t="e">
        <f>SQRT((K33/(1-BK33))^2+(BL33*J33/(1-BK33)^2)^2)</f>
        <v>#DIV/0!</v>
      </c>
      <c r="BO33" s="1" t="e">
        <f>L33/(1-AW33/62415093/AV33)</f>
        <v>#DIV/0!</v>
      </c>
      <c r="BP33" s="33" t="e">
        <f>SQRT((M33/(1-BI33))^2+(BJ33*L33/(1-BI33)^2)^2)</f>
        <v>#DIV/0!</v>
      </c>
      <c r="BQ33" s="1" t="e">
        <f>N33*(1-BK33)</f>
        <v>#DIV/0!</v>
      </c>
      <c r="BR33" t="e">
        <f>SQRT(O33^2+BL33^2)</f>
        <v>#DIV/0!</v>
      </c>
      <c r="BS33" s="1" t="e">
        <f>P33/(1-BG33)</f>
        <v>#DIV/0!</v>
      </c>
      <c r="BT33" s="1" t="e">
        <f>SQRT((Q33/(1-BG33))^2+(BH33*P33/(1-BG33)^2)^2)</f>
        <v>#DIV/0!</v>
      </c>
      <c r="BU33" t="e">
        <f>(Constants!$C$19/$BQ33)^(1/LN(Constants!$B$3/Constants!$B$6))</f>
        <v>#DIV/0!</v>
      </c>
      <c r="BV33" t="e">
        <f>(Constants!$C$19/($BQ33-BR33))^(1/LN(Constants!$B$3/Constants!$B$6))-BU33</f>
        <v>#DIV/0!</v>
      </c>
      <c r="BW33" t="e">
        <f>$BM33*BU33^(LN(Constants!$B$2/Constants!$B$3))</f>
        <v>#DIV/0!</v>
      </c>
      <c r="BX33" s="33" t="e">
        <f>BW33*SQRT((BN33/BM33)^2+(((BM33*($BU33+$BV33)^LN(Constants!$B$2/Constants!$B$3))-BW33)/BW33)^2)</f>
        <v>#DIV/0!</v>
      </c>
      <c r="BY33" t="e">
        <f>BO33*BU33^(LN(Constants!$B$2/Constants!$B$4))</f>
        <v>#DIV/0!</v>
      </c>
      <c r="BZ33" s="33" t="e">
        <f>BY33*SQRT((BP33/BO33)^2+(((BO33*($BU33+$BV33)^LN(Constants!$B$2/Constants!$B$4))-BY33)/BY33)^2)</f>
        <v>#DIV/0!</v>
      </c>
      <c r="CA33" t="e">
        <f>BS33*BU33^(LN(Constants!$B$2/Constants!$B$5))</f>
        <v>#DIV/0!</v>
      </c>
      <c r="CB33" s="33" t="e">
        <f>CA33*SQRT((BT33/BS33)^2+(((BS33*($BU33+$BV33)^LN(Constants!$B$2/Constants!$B$5))-CA33)/CA33)^2)</f>
        <v>#DIV/0!</v>
      </c>
      <c r="CC33" t="e">
        <f>(Constants!$C$18/AVERAGE(BO32,BO34))^(1/LN(Constants!$B$2/Constants!$B$4))</f>
        <v>#NUM!</v>
      </c>
      <c r="CD33" t="e">
        <f>MAX(ABS((Constants!$C$18/BO32)^(1/LN(Constants!$B$2/Constants!$B$4))-(Constants!$C$18/BO34)^(1/LN(Constants!$B$2/Constants!$B$4))),CD32,CD34)</f>
        <v>#NUM!</v>
      </c>
      <c r="CE33" t="e">
        <f>$BM33*CC33^(LN(Constants!$B$2/Constants!$B$3))</f>
        <v>#DIV/0!</v>
      </c>
      <c r="CF33" s="33" t="e">
        <f>CE33*SQRT((BN33/BM33)^2+(($BM33*($CC33+$CD33)^(LN(Constants!$B$2/Constants!$B$3))-CE33)/CE33)^2)</f>
        <v>#DIV/0!</v>
      </c>
      <c r="CG33" t="e">
        <f>BO33*CC33^(LN(Constants!$B$2/Constants!$B$4))</f>
        <v>#DIV/0!</v>
      </c>
      <c r="CH33" s="33" t="e">
        <f>CG33*SQRT((BP33/BO33)^2+((BO33*($CC33+$CD33)^(LN(Constants!$B$2/Constants!$B$4))-CG33)/CG33)^2)</f>
        <v>#DIV/0!</v>
      </c>
      <c r="CI33" t="e">
        <f>BQ33*$CC33^(LN(Constants!$B$3/Constants!$B$6))</f>
        <v>#DIV/0!</v>
      </c>
      <c r="CJ33" s="33" t="e">
        <f>CI33*SQRT((BR33/BQ33)^2+((BQ33*($CC33+$CD33)^(LN(Constants!$B$3/Constants!$B$6))-CI33)/CI33)^2)</f>
        <v>#DIV/0!</v>
      </c>
      <c r="CK33" t="e">
        <f>BS33*CC33^(LN(Constants!$B$2/Constants!$B$5))</f>
        <v>#DIV/0!</v>
      </c>
      <c r="CL33" s="33" t="e">
        <f>CK33*SQRT((BT33/BS33)^2+((BS33*($CC33+$CD33)^(LN(Constants!$B$2/Constants!$B$5))-CK33)/CK33)^2)</f>
        <v>#DIV/0!</v>
      </c>
      <c r="CM33" t="e">
        <f>CK33*Constants!$C$17/AVERAGE(CK32,CK34)</f>
        <v>#DIV/0!</v>
      </c>
      <c r="CN33" t="e">
        <f>CM33*SQRT(((CK32-CK34)/CK34/4)^2+(CL33/CK33)^2+AVERAGE(CL32/CK32,CL34/CK34)^2)</f>
        <v>#DIV/0!</v>
      </c>
      <c r="CO33" t="e">
        <f>1/CM33*CE33*CI33</f>
        <v>#DIV/0!</v>
      </c>
      <c r="CQ33" t="e">
        <f>$K33/$J33</f>
        <v>#DIV/0!</v>
      </c>
      <c r="CR33" t="e">
        <f>$BN33/$BM33</f>
        <v>#DIV/0!</v>
      </c>
      <c r="CS33" t="e">
        <f>$CF33/$CE33</f>
        <v>#DIV/0!</v>
      </c>
      <c r="CT33" t="e">
        <f>$Q33/$P33</f>
        <v>#DIV/0!</v>
      </c>
      <c r="CU33" t="e">
        <f>$BT33/$BS33</f>
        <v>#DIV/0!</v>
      </c>
      <c r="CV33" t="e">
        <f>$CL33/$CK33</f>
        <v>#DIV/0!</v>
      </c>
      <c r="CW33" t="e">
        <f>$CN33/$CM33</f>
        <v>#DIV/0!</v>
      </c>
      <c r="CY33" s="82" t="e">
        <f>$CQ33/$CS33</f>
        <v>#DIV/0!</v>
      </c>
      <c r="CZ33" s="82" t="e">
        <f>$CR33/$CS33-$CY33</f>
        <v>#DIV/0!</v>
      </c>
      <c r="DA33" s="82" t="e">
        <f>$CS33/$CS33-$CZ33-$CY33</f>
        <v>#DIV/0!</v>
      </c>
      <c r="DB33" s="82" t="e">
        <f>$CT33/$CW33</f>
        <v>#DIV/0!</v>
      </c>
      <c r="DC33" s="82" t="e">
        <f>$CU33/$CW33-$DB33</f>
        <v>#DIV/0!</v>
      </c>
      <c r="DD33" s="82" t="e">
        <f>$CV33/$CW33-$DC33-$DB33</f>
        <v>#DIV/0!</v>
      </c>
      <c r="DE33" s="82" t="e">
        <f>$CW33/$CW33-$DD33-$DC33-$DB33</f>
        <v>#DIV/0!</v>
      </c>
    </row>
    <row r="34" spans="1:109">
      <c r="A34" s="73">
        <f t="shared" si="0"/>
        <v>0</v>
      </c>
      <c r="B34" s="73"/>
      <c r="C34" s="73"/>
      <c r="J34" s="62"/>
      <c r="K34" s="62"/>
      <c r="L34" s="62"/>
      <c r="M34" s="62"/>
      <c r="N34" s="62"/>
      <c r="O34" s="62"/>
      <c r="P34" s="62"/>
      <c r="Q34" s="62"/>
      <c r="R34" s="62"/>
      <c r="S34" s="62"/>
      <c r="T34" s="62"/>
      <c r="U34" s="62"/>
      <c r="V34" s="62"/>
      <c r="W34" s="62"/>
      <c r="X34" s="63"/>
      <c r="Y34" s="63"/>
      <c r="Z34" s="63"/>
      <c r="AB34" s="62"/>
      <c r="AC34" s="62"/>
      <c r="AD34" s="62"/>
      <c r="AE34" s="62"/>
      <c r="AF34" s="62"/>
      <c r="AG34" s="62"/>
      <c r="AH34" s="62"/>
      <c r="AI34" s="62"/>
      <c r="AJ34" s="62"/>
      <c r="AK34" s="62"/>
      <c r="AL34" s="62"/>
      <c r="AM34" s="62"/>
      <c r="AN34" s="63"/>
      <c r="AO34" s="63"/>
      <c r="AP34" s="63"/>
      <c r="AQ34" s="1"/>
      <c r="AR34" s="1">
        <f>Constants!B$25</f>
        <v>2.2917410000000001E-6</v>
      </c>
      <c r="AS34" s="1">
        <f t="shared" si="1"/>
        <v>0</v>
      </c>
      <c r="AT34" s="1">
        <f t="shared" si="2"/>
        <v>9.9999999999999995E-7</v>
      </c>
      <c r="AU34" s="1" t="e">
        <f t="shared" si="17"/>
        <v>#NUM!</v>
      </c>
      <c r="AV34" s="1" t="e">
        <f t="shared" si="3"/>
        <v>#DIV/0!</v>
      </c>
      <c r="AW34" s="1" t="e">
        <f t="shared" si="18"/>
        <v>#NUM!</v>
      </c>
      <c r="AX34" s="1">
        <f t="shared" si="4"/>
        <v>0</v>
      </c>
      <c r="AY34" t="e">
        <f t="shared" si="25"/>
        <v>#DIV/0!</v>
      </c>
      <c r="AZ34" s="1" t="e">
        <f t="shared" si="5"/>
        <v>#DIV/0!</v>
      </c>
      <c r="BA34" s="1" t="e">
        <f t="shared" si="19"/>
        <v>#NUM!</v>
      </c>
      <c r="BB34" s="1" t="e">
        <f t="shared" si="6"/>
        <v>#NUM!</v>
      </c>
      <c r="BC34" s="1" t="e">
        <f t="shared" si="20"/>
        <v>#NUM!</v>
      </c>
      <c r="BD34" t="e">
        <f t="shared" si="7"/>
        <v>#NUM!</v>
      </c>
      <c r="BE34" s="1"/>
      <c r="BF34" s="32" t="e">
        <f t="shared" si="8"/>
        <v>#DIV/0!</v>
      </c>
      <c r="BG34" s="1" t="e">
        <f t="shared" si="9"/>
        <v>#DIV/0!</v>
      </c>
      <c r="BH34" s="1" t="e">
        <f t="shared" si="10"/>
        <v>#DIV/0!</v>
      </c>
      <c r="BI34" s="1" t="e">
        <f t="shared" si="11"/>
        <v>#NUM!</v>
      </c>
      <c r="BJ34" s="1" t="e">
        <f t="shared" si="12"/>
        <v>#NUM!</v>
      </c>
      <c r="BK34" s="1"/>
      <c r="BL34" s="1"/>
      <c r="BM34" s="1"/>
      <c r="BN34" s="1"/>
      <c r="BO34" s="1" t="e">
        <f t="shared" si="27"/>
        <v>#NUM!</v>
      </c>
      <c r="BP34" s="33" t="e">
        <f t="shared" si="28"/>
        <v>#NUM!</v>
      </c>
      <c r="BQ34" s="1"/>
      <c r="BR34" s="1"/>
      <c r="BS34" s="1" t="e">
        <f t="shared" si="29"/>
        <v>#DIV/0!</v>
      </c>
      <c r="BT34" s="1" t="e">
        <f t="shared" si="30"/>
        <v>#DIV/0!</v>
      </c>
      <c r="BU34" s="1"/>
      <c r="BV34" s="1"/>
      <c r="BW34" s="1"/>
      <c r="BX34" s="1"/>
      <c r="BY34" s="1"/>
      <c r="BZ34" s="1"/>
      <c r="CA34" s="1"/>
      <c r="CB34" s="1"/>
      <c r="CC34" t="e">
        <f>(Constants!$C$18/BO34)^(1/LN(Constants!$B$2/Constants!$B$4))</f>
        <v>#NUM!</v>
      </c>
      <c r="CD34" t="e">
        <f>ABS((Constants!$C$18/BO34)^(1/LN(Constants!$B$2/Constants!$B$4))-(Constants!$C$18/(BO34+BP34))^(1/LN(Constants!$B$2/Constants!$B$4)))</f>
        <v>#NUM!</v>
      </c>
      <c r="CK34" t="e">
        <f>BS34*$CC34^(LN(Constants!$B$2/Constants!$B$5))</f>
        <v>#DIV/0!</v>
      </c>
      <c r="CL34" s="33" t="e">
        <f>CK34*SQRT((BT34/BS34)^2+((BS34*($CC34+$CD34)^(LN(Constants!$B$2/Constants!$B$5))-CK34)/CK34)^2)</f>
        <v>#DIV/0!</v>
      </c>
    </row>
    <row r="35" spans="1:109">
      <c r="A35" s="73">
        <f>X35</f>
        <v>0</v>
      </c>
      <c r="B35" t="str">
        <f>IF(NOT(ISBLANK($J35)),IF($T35&lt;Constants!$B$32,"low spike","OK"),"")</f>
        <v/>
      </c>
      <c r="C35" t="str">
        <f>IF(NOT(ISBLANK($J35)), IF((ABS($L34-$L36)/$L34)&gt;Constants!$B$33,"variable mass bias","OK"), "")</f>
        <v/>
      </c>
      <c r="D35" t="str">
        <f>IF(NOT(ISBLANK($J35)), IF((ABS($P34-$P36)/$P34)&gt;Constants!$B$34,"variable IC yield","OK"),"")</f>
        <v/>
      </c>
      <c r="E35" s="34" t="e">
        <f>CE35</f>
        <v>#DIV/0!</v>
      </c>
      <c r="F35" s="34" t="e">
        <f>CF35</f>
        <v>#DIV/0!</v>
      </c>
      <c r="G35" s="34" t="e">
        <f>CM35</f>
        <v>#DIV/0!</v>
      </c>
      <c r="H35" s="48" t="e">
        <f>CN35</f>
        <v>#DIV/0!</v>
      </c>
      <c r="I35" s="33"/>
      <c r="J35" s="62"/>
      <c r="K35" s="62"/>
      <c r="L35" s="62"/>
      <c r="M35" s="62"/>
      <c r="N35" s="62"/>
      <c r="O35" s="62"/>
      <c r="P35" s="62"/>
      <c r="Q35" s="62"/>
      <c r="R35" s="62"/>
      <c r="S35" s="62"/>
      <c r="T35" s="62"/>
      <c r="U35" s="62"/>
      <c r="V35" s="62"/>
      <c r="W35" s="62"/>
      <c r="X35" s="63"/>
      <c r="Y35" s="63"/>
      <c r="Z35" s="63"/>
      <c r="AB35" s="1">
        <f>R35</f>
        <v>0</v>
      </c>
      <c r="AC35" s="1">
        <f>S35</f>
        <v>0</v>
      </c>
      <c r="AD35" s="1">
        <f>T35</f>
        <v>0</v>
      </c>
      <c r="AE35" s="1">
        <f>U35</f>
        <v>0</v>
      </c>
      <c r="AF35" s="1" t="e">
        <f>AVERAGE(AF34/$AB34,AF36/$AB36)*$AB35</f>
        <v>#DIV/0!</v>
      </c>
      <c r="AG35" s="1" t="e">
        <f>AVERAGE(AG34/AF34,AG36/AF36)*AF35</f>
        <v>#DIV/0!</v>
      </c>
      <c r="AH35" s="1" t="e">
        <f>AVERAGE(AH34/$AB34,AH36/$AB36)*$AB35</f>
        <v>#DIV/0!</v>
      </c>
      <c r="AI35" s="1" t="e">
        <f>AVERAGE(AI34/AH34,AI36/AH36)*AH35</f>
        <v>#DIV/0!</v>
      </c>
      <c r="AJ35" s="1" t="e">
        <f>AVERAGE(AJ34/$AB34,AJ36/$AB36)*$AB35</f>
        <v>#DIV/0!</v>
      </c>
      <c r="AK35" s="1" t="e">
        <f>AVERAGE(AK34/AJ34,AK36/AJ36)*AJ35</f>
        <v>#DIV/0!</v>
      </c>
      <c r="AL35" s="1" t="e">
        <f>AVERAGE(AL34/$AB34,AL36/$AB36)*$AB35</f>
        <v>#DIV/0!</v>
      </c>
      <c r="AM35" s="1" t="e">
        <f>AVERAGE(AM34/AL34,AM36/AL36)*AL35</f>
        <v>#DIV/0!</v>
      </c>
      <c r="AR35" s="1">
        <f>Constants!B$25</f>
        <v>2.2917410000000001E-6</v>
      </c>
      <c r="AS35" s="1">
        <f>R35</f>
        <v>0</v>
      </c>
      <c r="AT35" s="1">
        <f>MAX(0.000001,T35)</f>
        <v>9.9999999999999995E-7</v>
      </c>
      <c r="AU35" s="1" t="e">
        <f t="shared" si="17"/>
        <v>#DIV/0!</v>
      </c>
      <c r="AV35" s="1" t="e">
        <f>AS35/L35</f>
        <v>#DIV/0!</v>
      </c>
      <c r="AW35" s="1" t="e">
        <f t="shared" si="18"/>
        <v>#DIV/0!</v>
      </c>
      <c r="AX35" s="1">
        <f>V35</f>
        <v>0</v>
      </c>
      <c r="AY35" t="e">
        <f t="shared" si="25"/>
        <v>#DIV/0!</v>
      </c>
      <c r="AZ35" s="1" t="e">
        <f>AT35/N35</f>
        <v>#DIV/0!</v>
      </c>
      <c r="BA35" s="1" t="e">
        <f t="shared" si="19"/>
        <v>#DIV/0!</v>
      </c>
      <c r="BB35" s="1" t="e">
        <f>AL35-BC35</f>
        <v>#DIV/0!</v>
      </c>
      <c r="BC35" s="1" t="e">
        <f t="shared" si="26"/>
        <v>#DIV/0!</v>
      </c>
      <c r="BD35" t="e">
        <f>(LN(AF35)-LN(AH35))/(LN(238-236.5))</f>
        <v>#DIV/0!</v>
      </c>
      <c r="BF35" s="32" t="e">
        <f>AY35/AS35/62415093</f>
        <v>#DIV/0!</v>
      </c>
      <c r="BG35" s="1" t="e">
        <f>AY35/AX35</f>
        <v>#DIV/0!</v>
      </c>
      <c r="BH35" s="1" t="e">
        <f>BG35*0.1</f>
        <v>#DIV/0!</v>
      </c>
      <c r="BI35" s="1" t="e">
        <f>AW35/AV35/62415093</f>
        <v>#DIV/0!</v>
      </c>
      <c r="BJ35" s="1" t="e">
        <f>BI35*0.1</f>
        <v>#DIV/0!</v>
      </c>
      <c r="BK35" s="1" t="e">
        <f>AU35/AT35/62415093</f>
        <v>#DIV/0!</v>
      </c>
      <c r="BL35" s="1" t="e">
        <f>BK35*0.1</f>
        <v>#DIV/0!</v>
      </c>
      <c r="BM35" s="1" t="e">
        <f>J35/(1-(AU35/62415093)/AT35)</f>
        <v>#DIV/0!</v>
      </c>
      <c r="BN35" s="33" t="e">
        <f>SQRT((K35/(1-BK35))^2+(BL35*J35/(1-BK35)^2)^2)</f>
        <v>#DIV/0!</v>
      </c>
      <c r="BO35" s="1" t="e">
        <f>L35/(1-AW35/62415093/AV35)</f>
        <v>#DIV/0!</v>
      </c>
      <c r="BP35" s="33" t="e">
        <f>SQRT((M35/(1-BI35))^2+(BJ35*L35/(1-BI35)^2)^2)</f>
        <v>#DIV/0!</v>
      </c>
      <c r="BQ35" s="1" t="e">
        <f>N35*(1-BK35)</f>
        <v>#DIV/0!</v>
      </c>
      <c r="BR35" t="e">
        <f>SQRT(O35^2+BL35^2)</f>
        <v>#DIV/0!</v>
      </c>
      <c r="BS35" s="1" t="e">
        <f>P35/(1-BG35)</f>
        <v>#DIV/0!</v>
      </c>
      <c r="BT35" s="1" t="e">
        <f>SQRT((Q35/(1-BG35))^2+(BH35*P35/(1-BG35)^2)^2)</f>
        <v>#DIV/0!</v>
      </c>
      <c r="BU35" t="e">
        <f>(Constants!$C$19/$BQ35)^(1/LN(Constants!$B$3/Constants!$B$6))</f>
        <v>#DIV/0!</v>
      </c>
      <c r="BV35" t="e">
        <f>(Constants!$C$19/($BQ35-BR35))^(1/LN(Constants!$B$3/Constants!$B$6))-BU35</f>
        <v>#DIV/0!</v>
      </c>
      <c r="BW35" t="e">
        <f>$BM35*BU35^(LN(Constants!$B$2/Constants!$B$3))</f>
        <v>#DIV/0!</v>
      </c>
      <c r="BX35" s="33" t="e">
        <f>BW35*SQRT((BN35/BM35)^2+(((BM35*($BU35+$BV35)^LN(Constants!$B$2/Constants!$B$3))-BW35)/BW35)^2)</f>
        <v>#DIV/0!</v>
      </c>
      <c r="BY35" t="e">
        <f>BO35*BU35^(LN(Constants!$B$2/Constants!$B$4))</f>
        <v>#DIV/0!</v>
      </c>
      <c r="BZ35" s="33" t="e">
        <f>BY35*SQRT((BP35/BO35)^2+(((BO35*($BU35+$BV35)^LN(Constants!$B$2/Constants!$B$4))-BY35)/BY35)^2)</f>
        <v>#DIV/0!</v>
      </c>
      <c r="CA35" t="e">
        <f>BS35*BU35^(LN(Constants!$B$2/Constants!$B$5))</f>
        <v>#DIV/0!</v>
      </c>
      <c r="CB35" s="33" t="e">
        <f>CA35*SQRT((BT35/BS35)^2+(((BS35*($BU35+$BV35)^LN(Constants!$B$2/Constants!$B$5))-CA35)/CA35)^2)</f>
        <v>#DIV/0!</v>
      </c>
      <c r="CC35" t="e">
        <f>(Constants!$C$18/AVERAGE(BO34,BO36))^(1/LN(Constants!$B$2/Constants!$B$4))</f>
        <v>#NUM!</v>
      </c>
      <c r="CD35" t="e">
        <f>MAX(ABS((Constants!$C$18/BO34)^(1/LN(Constants!$B$2/Constants!$B$4))-(Constants!$C$18/BO36)^(1/LN(Constants!$B$2/Constants!$B$4))),CD34,CD36)</f>
        <v>#NUM!</v>
      </c>
      <c r="CE35" t="e">
        <f>$BM35*CC35^(LN(Constants!$B$2/Constants!$B$3))</f>
        <v>#DIV/0!</v>
      </c>
      <c r="CF35" s="33" t="e">
        <f>CE35*SQRT((BN35/BM35)^2+(($BM35*($CC35+$CD35)^(LN(Constants!$B$2/Constants!$B$3))-CE35)/CE35)^2)</f>
        <v>#DIV/0!</v>
      </c>
      <c r="CG35" t="e">
        <f>BO35*CC35^(LN(Constants!$B$2/Constants!$B$4))</f>
        <v>#DIV/0!</v>
      </c>
      <c r="CH35" s="33" t="e">
        <f>CG35*SQRT((BP35/BO35)^2+((BO35*($CC35+$CD35)^(LN(Constants!$B$2/Constants!$B$4))-CG35)/CG35)^2)</f>
        <v>#DIV/0!</v>
      </c>
      <c r="CI35" t="e">
        <f>BQ35*$CC35^(LN(Constants!$B$3/Constants!$B$6))</f>
        <v>#DIV/0!</v>
      </c>
      <c r="CJ35" s="33" t="e">
        <f>CI35*SQRT((BR35/BQ35)^2+((BQ35*($CC35+$CD35)^(LN(Constants!$B$3/Constants!$B$6))-CI35)/CI35)^2)</f>
        <v>#DIV/0!</v>
      </c>
      <c r="CK35" t="e">
        <f>BS35*CC35^(LN(Constants!$B$2/Constants!$B$5))</f>
        <v>#DIV/0!</v>
      </c>
      <c r="CL35" s="33" t="e">
        <f>CK35*SQRT((BT35/BS35)^2+((BS35*($CC35+$CD35)^(LN(Constants!$B$2/Constants!$B$5))-CK35)/CK35)^2)</f>
        <v>#DIV/0!</v>
      </c>
      <c r="CM35" t="e">
        <f>CK35*Constants!$C$17/AVERAGE(CK34,CK36)</f>
        <v>#DIV/0!</v>
      </c>
      <c r="CN35" t="e">
        <f>CM35*SQRT(((CK34-CK36)/CK36/4)^2+(CL35/CK35)^2+AVERAGE(CL34/CK34,CL36/CK36)^2)</f>
        <v>#DIV/0!</v>
      </c>
      <c r="CO35" t="e">
        <f>1/CM35*CE35*CI35</f>
        <v>#DIV/0!</v>
      </c>
      <c r="CQ35" t="e">
        <f>$K35/$J35</f>
        <v>#DIV/0!</v>
      </c>
      <c r="CR35" t="e">
        <f>$BN35/$BM35</f>
        <v>#DIV/0!</v>
      </c>
      <c r="CS35" t="e">
        <f>$CF35/$CE35</f>
        <v>#DIV/0!</v>
      </c>
      <c r="CT35" t="e">
        <f>$Q35/$P35</f>
        <v>#DIV/0!</v>
      </c>
      <c r="CU35" t="e">
        <f>$BT35/$BS35</f>
        <v>#DIV/0!</v>
      </c>
      <c r="CV35" t="e">
        <f>$CL35/$CK35</f>
        <v>#DIV/0!</v>
      </c>
      <c r="CW35" t="e">
        <f>$CN35/$CM35</f>
        <v>#DIV/0!</v>
      </c>
      <c r="CY35" s="82" t="e">
        <f>$CQ35/$CS35</f>
        <v>#DIV/0!</v>
      </c>
      <c r="CZ35" s="82" t="e">
        <f>$CR35/$CS35-$CY35</f>
        <v>#DIV/0!</v>
      </c>
      <c r="DA35" s="82" t="e">
        <f>$CS35/$CS35-$CZ35-$CY35</f>
        <v>#DIV/0!</v>
      </c>
      <c r="DB35" s="82" t="e">
        <f>$CT35/$CW35</f>
        <v>#DIV/0!</v>
      </c>
      <c r="DC35" s="82" t="e">
        <f>$CU35/$CW35-$DB35</f>
        <v>#DIV/0!</v>
      </c>
      <c r="DD35" s="82" t="e">
        <f>$CV35/$CW35-$DC35-$DB35</f>
        <v>#DIV/0!</v>
      </c>
      <c r="DE35" s="82" t="e">
        <f>$CW35/$CW35-$DD35-$DC35-$DB35</f>
        <v>#DIV/0!</v>
      </c>
    </row>
    <row r="36" spans="1:109">
      <c r="A36" s="73">
        <f t="shared" si="0"/>
        <v>0</v>
      </c>
      <c r="B36" s="73"/>
      <c r="C36" s="73"/>
      <c r="J36" s="62"/>
      <c r="K36" s="62"/>
      <c r="L36" s="62"/>
      <c r="M36" s="62"/>
      <c r="N36" s="62"/>
      <c r="O36" s="62"/>
      <c r="P36" s="62"/>
      <c r="Q36" s="62"/>
      <c r="R36" s="62"/>
      <c r="S36" s="62"/>
      <c r="T36" s="62"/>
      <c r="U36" s="62"/>
      <c r="V36" s="62"/>
      <c r="W36" s="62"/>
      <c r="X36" s="63"/>
      <c r="Y36" s="63"/>
      <c r="Z36" s="63"/>
      <c r="AB36" s="62"/>
      <c r="AC36" s="62"/>
      <c r="AD36" s="62"/>
      <c r="AE36" s="62"/>
      <c r="AF36" s="62"/>
      <c r="AG36" s="62"/>
      <c r="AH36" s="62"/>
      <c r="AI36" s="62"/>
      <c r="AJ36" s="62"/>
      <c r="AK36" s="62"/>
      <c r="AL36" s="62"/>
      <c r="AM36" s="62"/>
      <c r="AN36" s="63"/>
      <c r="AO36" s="63"/>
      <c r="AP36" s="63"/>
      <c r="AQ36" s="1"/>
      <c r="AR36" s="1">
        <f>Constants!B$25</f>
        <v>2.2917410000000001E-6</v>
      </c>
      <c r="AS36" s="1">
        <f t="shared" ref="AS36:AS67" si="31">R36</f>
        <v>0</v>
      </c>
      <c r="AT36" s="1">
        <f t="shared" ref="AT36:AT67" si="32">MAX(0.000001,T36)</f>
        <v>9.9999999999999995E-7</v>
      </c>
      <c r="AU36" s="1" t="e">
        <f t="shared" si="17"/>
        <v>#NUM!</v>
      </c>
      <c r="AV36" s="1" t="e">
        <f t="shared" ref="AV36:AV67" si="33">AS36/L36</f>
        <v>#DIV/0!</v>
      </c>
      <c r="AW36" s="1" t="e">
        <f t="shared" si="18"/>
        <v>#NUM!</v>
      </c>
      <c r="AX36" s="1">
        <f t="shared" ref="AX36:AX67" si="34">V36</f>
        <v>0</v>
      </c>
      <c r="AY36" t="e">
        <f t="shared" si="25"/>
        <v>#DIV/0!</v>
      </c>
      <c r="AZ36" s="1" t="e">
        <f t="shared" ref="AZ36:AZ67" si="35">AT36/N36</f>
        <v>#DIV/0!</v>
      </c>
      <c r="BA36" s="1" t="e">
        <f t="shared" si="19"/>
        <v>#NUM!</v>
      </c>
      <c r="BB36" s="1" t="e">
        <f t="shared" ref="BB36:BB67" si="36">AL36-BC36</f>
        <v>#NUM!</v>
      </c>
      <c r="BC36" s="1" t="e">
        <f t="shared" si="20"/>
        <v>#NUM!</v>
      </c>
      <c r="BD36" t="e">
        <f t="shared" ref="BD36:BD67" si="37">(LN(AF36)-LN(AH36))/(LN(238-236.5))</f>
        <v>#NUM!</v>
      </c>
      <c r="BE36" s="1"/>
      <c r="BF36" s="32" t="e">
        <f t="shared" si="8"/>
        <v>#DIV/0!</v>
      </c>
      <c r="BG36" s="1" t="e">
        <f t="shared" si="9"/>
        <v>#DIV/0!</v>
      </c>
      <c r="BH36" s="1" t="e">
        <f t="shared" si="10"/>
        <v>#DIV/0!</v>
      </c>
      <c r="BI36" s="1" t="e">
        <f t="shared" si="11"/>
        <v>#NUM!</v>
      </c>
      <c r="BJ36" s="1" t="e">
        <f t="shared" si="12"/>
        <v>#NUM!</v>
      </c>
      <c r="BK36" s="1"/>
      <c r="BL36" s="1"/>
      <c r="BM36" s="1"/>
      <c r="BN36" s="1"/>
      <c r="BO36" s="1" t="e">
        <f t="shared" ref="BO36:BO67" si="38">L36/(1-AW36/62415093/AV36)</f>
        <v>#NUM!</v>
      </c>
      <c r="BP36" s="33" t="e">
        <f t="shared" ref="BP36:BP67" si="39">SQRT((M36/(1-BI36))^2+(BJ36*L36/(1-BI36)^2)^2)</f>
        <v>#NUM!</v>
      </c>
      <c r="BQ36" s="1"/>
      <c r="BR36" s="1"/>
      <c r="BS36" s="1" t="e">
        <f t="shared" ref="BS36:BS67" si="40">P36/(1-BG36)</f>
        <v>#DIV/0!</v>
      </c>
      <c r="BT36" s="1" t="e">
        <f t="shared" ref="BT36:BT67" si="41">SQRT((Q36/(1-BG36))^2+(BH36*P36/(1-BG36)^2)^2)</f>
        <v>#DIV/0!</v>
      </c>
      <c r="BU36" s="1"/>
      <c r="BV36" s="1"/>
      <c r="BW36" s="1"/>
      <c r="BX36" s="1"/>
      <c r="BY36" s="1"/>
      <c r="BZ36" s="1"/>
      <c r="CA36" s="1"/>
      <c r="CB36" s="1"/>
      <c r="CC36" t="e">
        <f>(Constants!$C$18/BO36)^(1/LN(Constants!$B$2/Constants!$B$4))</f>
        <v>#NUM!</v>
      </c>
      <c r="CD36" t="e">
        <f>ABS((Constants!$C$18/BO36)^(1/LN(Constants!$B$2/Constants!$B$4))-(Constants!$C$18/(BO36+BP36))^(1/LN(Constants!$B$2/Constants!$B$4)))</f>
        <v>#NUM!</v>
      </c>
      <c r="CK36" t="e">
        <f>BS36*$CC36^(LN(Constants!$B$2/Constants!$B$5))</f>
        <v>#DIV/0!</v>
      </c>
      <c r="CL36" s="33" t="e">
        <f>CK36*SQRT((BT36/BS36)^2+((BS36*($CC36+$CD36)^(LN(Constants!$B$2/Constants!$B$5))-CK36)/CK36)^2)</f>
        <v>#DIV/0!</v>
      </c>
      <c r="CR36" s="1"/>
      <c r="CS36" s="1"/>
      <c r="CU36" s="1"/>
      <c r="CV36" s="1"/>
      <c r="CW36" s="1"/>
    </row>
    <row r="37" spans="1:109">
      <c r="A37" s="73">
        <f>X37</f>
        <v>0</v>
      </c>
      <c r="B37" t="str">
        <f>IF(NOT(ISBLANK($J37)),IF($T37&lt;Constants!$B$32,"low spike","OK"),"")</f>
        <v/>
      </c>
      <c r="C37" t="str">
        <f>IF(NOT(ISBLANK($J37)), IF((ABS($L36-$L38)/$L36)&gt;Constants!$B$33,"variable mass bias","OK"), "")</f>
        <v/>
      </c>
      <c r="D37" t="str">
        <f>IF(NOT(ISBLANK($J37)), IF((ABS($P36-$P38)/$P36)&gt;Constants!$B$34,"variable IC yield","OK"),"")</f>
        <v/>
      </c>
      <c r="E37" s="34" t="e">
        <f>CE37</f>
        <v>#DIV/0!</v>
      </c>
      <c r="F37" s="34" t="e">
        <f>CF37</f>
        <v>#DIV/0!</v>
      </c>
      <c r="G37" s="34" t="e">
        <f>CM37</f>
        <v>#DIV/0!</v>
      </c>
      <c r="H37" s="48" t="e">
        <f>CN37</f>
        <v>#DIV/0!</v>
      </c>
      <c r="I37" s="33"/>
      <c r="J37" s="62"/>
      <c r="K37" s="62"/>
      <c r="L37" s="62"/>
      <c r="M37" s="62"/>
      <c r="N37" s="62"/>
      <c r="O37" s="62"/>
      <c r="P37" s="62"/>
      <c r="Q37" s="62"/>
      <c r="R37" s="62"/>
      <c r="S37" s="62"/>
      <c r="T37" s="62"/>
      <c r="U37" s="62"/>
      <c r="V37" s="62"/>
      <c r="W37" s="62"/>
      <c r="X37" s="63"/>
      <c r="Y37" s="63"/>
      <c r="Z37" s="63"/>
      <c r="AB37" s="1">
        <f>R37</f>
        <v>0</v>
      </c>
      <c r="AC37" s="1">
        <f>S37</f>
        <v>0</v>
      </c>
      <c r="AD37" s="1">
        <f>T37</f>
        <v>0</v>
      </c>
      <c r="AE37" s="1">
        <f>U37</f>
        <v>0</v>
      </c>
      <c r="AF37" s="1" t="e">
        <f>AVERAGE(AF36/$AB36,AF38/$AB38)*$AB37</f>
        <v>#DIV/0!</v>
      </c>
      <c r="AG37" s="1" t="e">
        <f>AVERAGE(AG36/AF36,AG38/AF38)*AF37</f>
        <v>#DIV/0!</v>
      </c>
      <c r="AH37" s="1" t="e">
        <f>AVERAGE(AH36/$AB36,AH38/$AB38)*$AB37</f>
        <v>#DIV/0!</v>
      </c>
      <c r="AI37" s="1" t="e">
        <f>AVERAGE(AI36/AH36,AI38/AH38)*AH37</f>
        <v>#DIV/0!</v>
      </c>
      <c r="AJ37" s="1" t="e">
        <f>AVERAGE(AJ36/$AB36,AJ38/$AB38)*$AB37</f>
        <v>#DIV/0!</v>
      </c>
      <c r="AK37" s="1" t="e">
        <f>AVERAGE(AK36/AJ36,AK38/AJ38)*AJ37</f>
        <v>#DIV/0!</v>
      </c>
      <c r="AL37" s="1" t="e">
        <f>AVERAGE(AL36/$AB36,AL38/$AB38)*$AB37</f>
        <v>#DIV/0!</v>
      </c>
      <c r="AM37" s="1" t="e">
        <f>AVERAGE(AM36/AL36,AM38/AL38)*AL37</f>
        <v>#DIV/0!</v>
      </c>
      <c r="AR37" s="1">
        <f>Constants!B$25</f>
        <v>2.2917410000000001E-6</v>
      </c>
      <c r="AS37" s="1">
        <f t="shared" si="31"/>
        <v>0</v>
      </c>
      <c r="AT37" s="1">
        <f t="shared" si="32"/>
        <v>9.9999999999999995E-7</v>
      </c>
      <c r="AU37" s="1" t="e">
        <f t="shared" si="17"/>
        <v>#DIV/0!</v>
      </c>
      <c r="AV37" s="1" t="e">
        <f t="shared" si="33"/>
        <v>#DIV/0!</v>
      </c>
      <c r="AW37" s="1" t="e">
        <f t="shared" si="18"/>
        <v>#DIV/0!</v>
      </c>
      <c r="AX37" s="1">
        <f t="shared" si="34"/>
        <v>0</v>
      </c>
      <c r="AY37" t="e">
        <f t="shared" si="25"/>
        <v>#DIV/0!</v>
      </c>
      <c r="AZ37" s="1" t="e">
        <f t="shared" si="35"/>
        <v>#DIV/0!</v>
      </c>
      <c r="BA37" s="1" t="e">
        <f t="shared" si="19"/>
        <v>#DIV/0!</v>
      </c>
      <c r="BB37" s="1" t="e">
        <f t="shared" si="36"/>
        <v>#DIV/0!</v>
      </c>
      <c r="BC37" s="1" t="e">
        <f t="shared" si="26"/>
        <v>#DIV/0!</v>
      </c>
      <c r="BD37" t="e">
        <f t="shared" si="37"/>
        <v>#DIV/0!</v>
      </c>
      <c r="BF37" s="32" t="e">
        <f>AY37/AS37/62415093</f>
        <v>#DIV/0!</v>
      </c>
      <c r="BG37" s="1" t="e">
        <f>AY37/AX37</f>
        <v>#DIV/0!</v>
      </c>
      <c r="BH37" s="1" t="e">
        <f>BG37*0.1</f>
        <v>#DIV/0!</v>
      </c>
      <c r="BI37" s="1" t="e">
        <f>AW37/AV37/62415093</f>
        <v>#DIV/0!</v>
      </c>
      <c r="BJ37" s="1" t="e">
        <f>BI37*0.1</f>
        <v>#DIV/0!</v>
      </c>
      <c r="BK37" s="1" t="e">
        <f>AU37/AT37/62415093</f>
        <v>#DIV/0!</v>
      </c>
      <c r="BL37" s="1" t="e">
        <f>BK37*0.1</f>
        <v>#DIV/0!</v>
      </c>
      <c r="BM37" s="1" t="e">
        <f>J37/(1-(AU37/62415093)/AT37)</f>
        <v>#DIV/0!</v>
      </c>
      <c r="BN37" s="33" t="e">
        <f>SQRT((K37/(1-BK37))^2+(BL37*J37/(1-BK37)^2)^2)</f>
        <v>#DIV/0!</v>
      </c>
      <c r="BO37" s="1" t="e">
        <f t="shared" si="38"/>
        <v>#DIV/0!</v>
      </c>
      <c r="BP37" s="33" t="e">
        <f t="shared" si="39"/>
        <v>#DIV/0!</v>
      </c>
      <c r="BQ37" s="1" t="e">
        <f>N37*(1-BK37)</f>
        <v>#DIV/0!</v>
      </c>
      <c r="BR37" t="e">
        <f>SQRT(O37^2+BL37^2)</f>
        <v>#DIV/0!</v>
      </c>
      <c r="BS37" s="1" t="e">
        <f t="shared" si="40"/>
        <v>#DIV/0!</v>
      </c>
      <c r="BT37" s="1" t="e">
        <f t="shared" si="41"/>
        <v>#DIV/0!</v>
      </c>
      <c r="BU37" t="e">
        <f>(Constants!$C$19/$BQ37)^(1/LN(Constants!$B$3/Constants!$B$6))</f>
        <v>#DIV/0!</v>
      </c>
      <c r="BV37" t="e">
        <f>(Constants!$C$19/($BQ37-BR37))^(1/LN(Constants!$B$3/Constants!$B$6))-BU37</f>
        <v>#DIV/0!</v>
      </c>
      <c r="BW37" t="e">
        <f>$BM37*BU37^(LN(Constants!$B$2/Constants!$B$3))</f>
        <v>#DIV/0!</v>
      </c>
      <c r="BX37" s="33" t="e">
        <f>BW37*SQRT((BN37/BM37)^2+(((BM37*($BU37+$BV37)^LN(Constants!$B$2/Constants!$B$3))-BW37)/BW37)^2)</f>
        <v>#DIV/0!</v>
      </c>
      <c r="BY37" t="e">
        <f>BO37*BU37^(LN(Constants!$B$2/Constants!$B$4))</f>
        <v>#DIV/0!</v>
      </c>
      <c r="BZ37" s="33" t="e">
        <f>BY37*SQRT((BP37/BO37)^2+(((BO37*($BU37+$BV37)^LN(Constants!$B$2/Constants!$B$4))-BY37)/BY37)^2)</f>
        <v>#DIV/0!</v>
      </c>
      <c r="CA37" t="e">
        <f>BS37*BU37^(LN(Constants!$B$2/Constants!$B$5))</f>
        <v>#DIV/0!</v>
      </c>
      <c r="CB37" s="33" t="e">
        <f>CA37*SQRT((BT37/BS37)^2+(((BS37*($BU37+$BV37)^LN(Constants!$B$2/Constants!$B$5))-CA37)/CA37)^2)</f>
        <v>#DIV/0!</v>
      </c>
      <c r="CC37" t="e">
        <f>(Constants!$C$18/AVERAGE(BO36,BO38))^(1/LN(Constants!$B$2/Constants!$B$4))</f>
        <v>#NUM!</v>
      </c>
      <c r="CD37" t="e">
        <f>MAX(ABS((Constants!$C$18/BO36)^(1/LN(Constants!$B$2/Constants!$B$4))-(Constants!$C$18/BO38)^(1/LN(Constants!$B$2/Constants!$B$4))),CD36,CD38)</f>
        <v>#NUM!</v>
      </c>
      <c r="CE37" t="e">
        <f>$BM37*CC37^(LN(Constants!$B$2/Constants!$B$3))</f>
        <v>#DIV/0!</v>
      </c>
      <c r="CF37" s="33" t="e">
        <f>CE37*SQRT((BN37/BM37)^2+(($BM37*($CC37+$CD37)^(LN(Constants!$B$2/Constants!$B$3))-CE37)/CE37)^2)</f>
        <v>#DIV/0!</v>
      </c>
      <c r="CG37" t="e">
        <f>BO37*CC37^(LN(Constants!$B$2/Constants!$B$4))</f>
        <v>#DIV/0!</v>
      </c>
      <c r="CH37" s="33" t="e">
        <f>CG37*SQRT((BP37/BO37)^2+((BO37*($CC37+$CD37)^(LN(Constants!$B$2/Constants!$B$4))-CG37)/CG37)^2)</f>
        <v>#DIV/0!</v>
      </c>
      <c r="CI37" t="e">
        <f>BQ37*$CC37^(LN(Constants!$B$3/Constants!$B$6))</f>
        <v>#DIV/0!</v>
      </c>
      <c r="CJ37" s="33" t="e">
        <f>CI37*SQRT((BR37/BQ37)^2+((BQ37*($CC37+$CD37)^(LN(Constants!$B$3/Constants!$B$6))-CI37)/CI37)^2)</f>
        <v>#DIV/0!</v>
      </c>
      <c r="CK37" t="e">
        <f>BS37*CC37^(LN(Constants!$B$2/Constants!$B$5))</f>
        <v>#DIV/0!</v>
      </c>
      <c r="CL37" s="33" t="e">
        <f>CK37*SQRT((BT37/BS37)^2+((BS37*($CC37+$CD37)^(LN(Constants!$B$2/Constants!$B$5))-CK37)/CK37)^2)</f>
        <v>#DIV/0!</v>
      </c>
      <c r="CM37" t="e">
        <f>CK37*Constants!$C$17/AVERAGE(CK36,CK38)</f>
        <v>#DIV/0!</v>
      </c>
      <c r="CN37" t="e">
        <f>CM37*SQRT(((CK36-CK38)/CK38/4)^2+(CL37/CK37)^2+AVERAGE(CL36/CK36,CL38/CK38)^2)</f>
        <v>#DIV/0!</v>
      </c>
      <c r="CO37" t="e">
        <f>1/CM37*CE37*CI37</f>
        <v>#DIV/0!</v>
      </c>
      <c r="CQ37" t="e">
        <f>$K37/$J37</f>
        <v>#DIV/0!</v>
      </c>
      <c r="CR37" t="e">
        <f>$BN37/$BM37</f>
        <v>#DIV/0!</v>
      </c>
      <c r="CS37" t="e">
        <f>$CF37/$CE37</f>
        <v>#DIV/0!</v>
      </c>
      <c r="CT37" t="e">
        <f>$Q37/$P37</f>
        <v>#DIV/0!</v>
      </c>
      <c r="CU37" t="e">
        <f>$BT37/$BS37</f>
        <v>#DIV/0!</v>
      </c>
      <c r="CV37" t="e">
        <f>$CL37/$CK37</f>
        <v>#DIV/0!</v>
      </c>
      <c r="CW37" t="e">
        <f>$CN37/$CM37</f>
        <v>#DIV/0!</v>
      </c>
      <c r="CY37" s="82" t="e">
        <f>$CQ37/$CS37</f>
        <v>#DIV/0!</v>
      </c>
      <c r="CZ37" s="82" t="e">
        <f>$CR37/$CS37-$CY37</f>
        <v>#DIV/0!</v>
      </c>
      <c r="DA37" s="82" t="e">
        <f>$CS37/$CS37-$CZ37-$CY37</f>
        <v>#DIV/0!</v>
      </c>
      <c r="DB37" s="82" t="e">
        <f>$CT37/$CW37</f>
        <v>#DIV/0!</v>
      </c>
      <c r="DC37" s="82" t="e">
        <f>$CU37/$CW37-$DB37</f>
        <v>#DIV/0!</v>
      </c>
      <c r="DD37" s="82" t="e">
        <f>$CV37/$CW37-$DC37-$DB37</f>
        <v>#DIV/0!</v>
      </c>
      <c r="DE37" s="82" t="e">
        <f>$CW37/$CW37-$DD37-$DC37-$DB37</f>
        <v>#DIV/0!</v>
      </c>
    </row>
    <row r="38" spans="1:109">
      <c r="A38" s="73">
        <f t="shared" si="0"/>
        <v>0</v>
      </c>
      <c r="B38" s="73"/>
      <c r="C38" s="73"/>
      <c r="J38" s="62"/>
      <c r="K38" s="62"/>
      <c r="L38" s="62"/>
      <c r="M38" s="62"/>
      <c r="N38" s="62"/>
      <c r="O38" s="62"/>
      <c r="P38" s="62"/>
      <c r="Q38" s="62"/>
      <c r="R38" s="62"/>
      <c r="S38" s="62"/>
      <c r="T38" s="62"/>
      <c r="U38" s="62"/>
      <c r="V38" s="62"/>
      <c r="W38" s="62"/>
      <c r="X38" s="63"/>
      <c r="Y38" s="63"/>
      <c r="Z38" s="63"/>
      <c r="AB38" s="62"/>
      <c r="AC38" s="62"/>
      <c r="AD38" s="62"/>
      <c r="AE38" s="62"/>
      <c r="AF38" s="62"/>
      <c r="AG38" s="62"/>
      <c r="AH38" s="62"/>
      <c r="AI38" s="62"/>
      <c r="AJ38" s="62"/>
      <c r="AK38" s="62"/>
      <c r="AL38" s="62"/>
      <c r="AM38" s="62"/>
      <c r="AN38" s="63"/>
      <c r="AO38" s="63"/>
      <c r="AP38" s="63"/>
      <c r="AQ38" s="1"/>
      <c r="AR38" s="1">
        <f>Constants!B$25</f>
        <v>2.2917410000000001E-6</v>
      </c>
      <c r="AS38" s="1">
        <f t="shared" si="31"/>
        <v>0</v>
      </c>
      <c r="AT38" s="1">
        <f t="shared" si="32"/>
        <v>9.9999999999999995E-7</v>
      </c>
      <c r="AU38" s="1" t="e">
        <f t="shared" ref="AU38:AU69" si="42">EXP(-$BD38*LN(238-236)+LN(AF38))</f>
        <v>#NUM!</v>
      </c>
      <c r="AV38" s="1" t="e">
        <f t="shared" si="33"/>
        <v>#DIV/0!</v>
      </c>
      <c r="AW38" s="1" t="e">
        <f t="shared" ref="AW38:AW69" si="43">EXP(-BD38*LN(238-235)+LN(AF38))+EXP(-BD38*LN(236-235)+LN(AF38/AS38*AT38))</f>
        <v>#NUM!</v>
      </c>
      <c r="AX38" s="1">
        <f t="shared" si="34"/>
        <v>0</v>
      </c>
      <c r="AY38" t="e">
        <f t="shared" si="25"/>
        <v>#DIV/0!</v>
      </c>
      <c r="AZ38" s="1" t="e">
        <f t="shared" si="35"/>
        <v>#DIV/0!</v>
      </c>
      <c r="BA38" s="1" t="e">
        <f t="shared" ref="BA38:BA69" si="44">EXP(-BD38*LN(238-233)+LN(AF38))+EXP(-BD38*LN(236-233)+LN(AF38/AS38*AT38))+EXP(-BD38*LN(235-233)+LN(AF38/AS38*AV38))</f>
        <v>#NUM!</v>
      </c>
      <c r="BB38" s="1" t="e">
        <f t="shared" si="36"/>
        <v>#NUM!</v>
      </c>
      <c r="BC38" s="1" t="e">
        <f t="shared" ref="BC38:BC68" si="45">EXP(-$BD38*LN(238-233.5)+LN($AF38))+EXP(-$BD38*LN(236-233.5)+LN($AF38/$AS38*$AT38))+EXP(-$BD38*LN(235-233.5)+LN($AF38/$AS38*$AV38))</f>
        <v>#NUM!</v>
      </c>
      <c r="BD38" t="e">
        <f t="shared" si="37"/>
        <v>#NUM!</v>
      </c>
      <c r="BE38" s="1"/>
      <c r="BF38" s="32" t="e">
        <f t="shared" si="8"/>
        <v>#DIV/0!</v>
      </c>
      <c r="BG38" s="1" t="e">
        <f t="shared" si="9"/>
        <v>#DIV/0!</v>
      </c>
      <c r="BH38" s="1" t="e">
        <f t="shared" si="10"/>
        <v>#DIV/0!</v>
      </c>
      <c r="BI38" s="1" t="e">
        <f t="shared" si="11"/>
        <v>#NUM!</v>
      </c>
      <c r="BJ38" s="1" t="e">
        <f t="shared" si="12"/>
        <v>#NUM!</v>
      </c>
      <c r="BK38" s="1"/>
      <c r="BL38" s="1"/>
      <c r="BM38" s="1"/>
      <c r="BN38" s="1"/>
      <c r="BO38" s="1" t="e">
        <f t="shared" si="38"/>
        <v>#NUM!</v>
      </c>
      <c r="BP38" s="33" t="e">
        <f t="shared" si="39"/>
        <v>#NUM!</v>
      </c>
      <c r="BQ38" s="1"/>
      <c r="BR38" s="1"/>
      <c r="BS38" s="1" t="e">
        <f t="shared" si="40"/>
        <v>#DIV/0!</v>
      </c>
      <c r="BT38" s="1" t="e">
        <f t="shared" si="41"/>
        <v>#DIV/0!</v>
      </c>
      <c r="BU38" s="1"/>
      <c r="BV38" s="1"/>
      <c r="BW38" s="1"/>
      <c r="BX38" s="1"/>
      <c r="BY38" s="1"/>
      <c r="BZ38" s="1"/>
      <c r="CA38" s="1"/>
      <c r="CB38" s="1"/>
      <c r="CC38" t="e">
        <f>(Constants!$C$18/BO38)^(1/LN(Constants!$B$2/Constants!$B$4))</f>
        <v>#NUM!</v>
      </c>
      <c r="CD38" t="e">
        <f>ABS((Constants!$C$18/BO38)^(1/LN(Constants!$B$2/Constants!$B$4))-(Constants!$C$18/(BO38+BP38))^(1/LN(Constants!$B$2/Constants!$B$4)))</f>
        <v>#NUM!</v>
      </c>
      <c r="CK38" t="e">
        <f>BS38*$CC38^(LN(Constants!$B$2/Constants!$B$5))</f>
        <v>#DIV/0!</v>
      </c>
      <c r="CL38" s="33" t="e">
        <f>CK38*SQRT((BT38/BS38)^2+((BS38*($CC38+$CD38)^(LN(Constants!$B$2/Constants!$B$5))-CK38)/CK38)^2)</f>
        <v>#DIV/0!</v>
      </c>
    </row>
    <row r="39" spans="1:109">
      <c r="A39" s="73">
        <f>X39</f>
        <v>0</v>
      </c>
      <c r="B39" t="str">
        <f>IF(NOT(ISBLANK($J39)),IF($T39&lt;Constants!$B$32,"low spike","OK"),"")</f>
        <v/>
      </c>
      <c r="C39" t="str">
        <f>IF(NOT(ISBLANK($J39)), IF((ABS($L38-$L40)/$L38)&gt;Constants!$B$33,"variable mass bias","OK"), "")</f>
        <v/>
      </c>
      <c r="D39" t="str">
        <f>IF(NOT(ISBLANK($J39)), IF((ABS($P38-$P40)/$P38)&gt;Constants!$B$34,"variable IC yield","OK"),"")</f>
        <v/>
      </c>
      <c r="E39" s="34" t="e">
        <f>CE39</f>
        <v>#DIV/0!</v>
      </c>
      <c r="F39" s="34" t="e">
        <f>CF39</f>
        <v>#DIV/0!</v>
      </c>
      <c r="G39" s="34" t="e">
        <f>CM39</f>
        <v>#DIV/0!</v>
      </c>
      <c r="H39" s="48" t="e">
        <f>CN39</f>
        <v>#DIV/0!</v>
      </c>
      <c r="I39" s="33"/>
      <c r="J39" s="62"/>
      <c r="K39" s="62"/>
      <c r="L39" s="62"/>
      <c r="M39" s="62"/>
      <c r="N39" s="62"/>
      <c r="O39" s="62"/>
      <c r="P39" s="62"/>
      <c r="Q39" s="62"/>
      <c r="R39" s="62"/>
      <c r="S39" s="62"/>
      <c r="T39" s="62"/>
      <c r="U39" s="62"/>
      <c r="V39" s="62"/>
      <c r="W39" s="62"/>
      <c r="X39" s="63"/>
      <c r="Y39" s="63"/>
      <c r="Z39" s="63"/>
      <c r="AB39" s="1">
        <f>R39</f>
        <v>0</v>
      </c>
      <c r="AC39" s="1">
        <f>S39</f>
        <v>0</v>
      </c>
      <c r="AD39" s="1">
        <f>T39</f>
        <v>0</v>
      </c>
      <c r="AE39" s="1">
        <f>U39</f>
        <v>0</v>
      </c>
      <c r="AF39" s="1" t="e">
        <f>AVERAGE(AF38/$AB38,AF40/$AB40)*$AB39</f>
        <v>#DIV/0!</v>
      </c>
      <c r="AG39" s="1" t="e">
        <f>AVERAGE(AG38/AF38,AG40/AF40)*AF39</f>
        <v>#DIV/0!</v>
      </c>
      <c r="AH39" s="1" t="e">
        <f>AVERAGE(AH38/$AB38,AH40/$AB40)*$AB39</f>
        <v>#DIV/0!</v>
      </c>
      <c r="AI39" s="1" t="e">
        <f>AVERAGE(AI38/AH38,AI40/AH40)*AH39</f>
        <v>#DIV/0!</v>
      </c>
      <c r="AJ39" s="1" t="e">
        <f>AVERAGE(AJ38/$AB38,AJ40/$AB40)*$AB39</f>
        <v>#DIV/0!</v>
      </c>
      <c r="AK39" s="1" t="e">
        <f>AVERAGE(AK38/AJ38,AK40/AJ40)*AJ39</f>
        <v>#DIV/0!</v>
      </c>
      <c r="AL39" s="1" t="e">
        <f>AVERAGE(AL38/$AB38,AL40/$AB40)*$AB39</f>
        <v>#DIV/0!</v>
      </c>
      <c r="AM39" s="1" t="e">
        <f>AVERAGE(AM38/AL38,AM40/AL40)*AL39</f>
        <v>#DIV/0!</v>
      </c>
      <c r="AR39" s="1">
        <f>Constants!B$25</f>
        <v>2.2917410000000001E-6</v>
      </c>
      <c r="AS39" s="1">
        <f t="shared" si="31"/>
        <v>0</v>
      </c>
      <c r="AT39" s="1">
        <f t="shared" si="32"/>
        <v>9.9999999999999995E-7</v>
      </c>
      <c r="AU39" s="1" t="e">
        <f t="shared" si="42"/>
        <v>#DIV/0!</v>
      </c>
      <c r="AV39" s="1" t="e">
        <f t="shared" si="33"/>
        <v>#DIV/0!</v>
      </c>
      <c r="AW39" s="1" t="e">
        <f t="shared" si="43"/>
        <v>#DIV/0!</v>
      </c>
      <c r="AX39" s="1">
        <f t="shared" si="34"/>
        <v>0</v>
      </c>
      <c r="AY39" t="e">
        <f t="shared" si="25"/>
        <v>#DIV/0!</v>
      </c>
      <c r="AZ39" s="1" t="e">
        <f t="shared" si="35"/>
        <v>#DIV/0!</v>
      </c>
      <c r="BA39" s="1" t="e">
        <f t="shared" si="44"/>
        <v>#DIV/0!</v>
      </c>
      <c r="BB39" s="1" t="e">
        <f t="shared" si="36"/>
        <v>#DIV/0!</v>
      </c>
      <c r="BC39" s="1" t="e">
        <f t="shared" si="26"/>
        <v>#DIV/0!</v>
      </c>
      <c r="BD39" t="e">
        <f t="shared" si="37"/>
        <v>#DIV/0!</v>
      </c>
      <c r="BF39" s="32" t="e">
        <f>AY39/AS39/62415093</f>
        <v>#DIV/0!</v>
      </c>
      <c r="BG39" s="1" t="e">
        <f>AY39/AX39</f>
        <v>#DIV/0!</v>
      </c>
      <c r="BH39" s="1" t="e">
        <f>BG39*0.1</f>
        <v>#DIV/0!</v>
      </c>
      <c r="BI39" s="1" t="e">
        <f>AW39/AV39/62415093</f>
        <v>#DIV/0!</v>
      </c>
      <c r="BJ39" s="1" t="e">
        <f>BI39*0.1</f>
        <v>#DIV/0!</v>
      </c>
      <c r="BK39" s="1" t="e">
        <f>AU39/AT39/62415093</f>
        <v>#DIV/0!</v>
      </c>
      <c r="BL39" s="1" t="e">
        <f>BK39*0.1</f>
        <v>#DIV/0!</v>
      </c>
      <c r="BM39" s="1" t="e">
        <f>J39/(1-(AU39/62415093)/AT39)</f>
        <v>#DIV/0!</v>
      </c>
      <c r="BN39" s="33" t="e">
        <f>SQRT((K39/(1-BK39))^2+(BL39*J39/(1-BK39)^2)^2)</f>
        <v>#DIV/0!</v>
      </c>
      <c r="BO39" s="1" t="e">
        <f t="shared" si="38"/>
        <v>#DIV/0!</v>
      </c>
      <c r="BP39" s="33" t="e">
        <f t="shared" si="39"/>
        <v>#DIV/0!</v>
      </c>
      <c r="BQ39" s="1" t="e">
        <f>N39*(1-BK39)</f>
        <v>#DIV/0!</v>
      </c>
      <c r="BR39" t="e">
        <f>SQRT(O39^2+BL39^2)</f>
        <v>#DIV/0!</v>
      </c>
      <c r="BS39" s="1" t="e">
        <f t="shared" si="40"/>
        <v>#DIV/0!</v>
      </c>
      <c r="BT39" s="1" t="e">
        <f t="shared" si="41"/>
        <v>#DIV/0!</v>
      </c>
      <c r="BU39" t="e">
        <f>(Constants!$C$19/$BQ39)^(1/LN(Constants!$B$3/Constants!$B$6))</f>
        <v>#DIV/0!</v>
      </c>
      <c r="BV39" t="e">
        <f>(Constants!$C$19/($BQ39-BR39))^(1/LN(Constants!$B$3/Constants!$B$6))-BU39</f>
        <v>#DIV/0!</v>
      </c>
      <c r="BW39" t="e">
        <f>$BM39*BU39^(LN(Constants!$B$2/Constants!$B$3))</f>
        <v>#DIV/0!</v>
      </c>
      <c r="BX39" s="33" t="e">
        <f>BW39*SQRT((BN39/BM39)^2+(((BM39*($BU39+$BV39)^LN(Constants!$B$2/Constants!$B$3))-BW39)/BW39)^2)</f>
        <v>#DIV/0!</v>
      </c>
      <c r="BY39" t="e">
        <f>BO39*BU39^(LN(Constants!$B$2/Constants!$B$4))</f>
        <v>#DIV/0!</v>
      </c>
      <c r="BZ39" s="33" t="e">
        <f>BY39*SQRT((BP39/BO39)^2+(((BO39*($BU39+$BV39)^LN(Constants!$B$2/Constants!$B$4))-BY39)/BY39)^2)</f>
        <v>#DIV/0!</v>
      </c>
      <c r="CA39" t="e">
        <f>BS39*BU39^(LN(Constants!$B$2/Constants!$B$5))</f>
        <v>#DIV/0!</v>
      </c>
      <c r="CB39" s="33" t="e">
        <f>CA39*SQRT((BT39/BS39)^2+(((BS39*($BU39+$BV39)^LN(Constants!$B$2/Constants!$B$5))-CA39)/CA39)^2)</f>
        <v>#DIV/0!</v>
      </c>
      <c r="CC39" t="e">
        <f>(Constants!$C$18/AVERAGE(BO38,BO40))^(1/LN(Constants!$B$2/Constants!$B$4))</f>
        <v>#NUM!</v>
      </c>
      <c r="CD39" t="e">
        <f>MAX(ABS((Constants!$C$18/BO38)^(1/LN(Constants!$B$2/Constants!$B$4))-(Constants!$C$18/BO40)^(1/LN(Constants!$B$2/Constants!$B$4))),CD38,CD40)</f>
        <v>#NUM!</v>
      </c>
      <c r="CE39" t="e">
        <f>$BM39*CC39^(LN(Constants!$B$2/Constants!$B$3))</f>
        <v>#DIV/0!</v>
      </c>
      <c r="CF39" s="33" t="e">
        <f>CE39*SQRT((BN39/BM39)^2+(($BM39*($CC39+$CD39)^(LN(Constants!$B$2/Constants!$B$3))-CE39)/CE39)^2)</f>
        <v>#DIV/0!</v>
      </c>
      <c r="CG39" t="e">
        <f>BO39*CC39^(LN(Constants!$B$2/Constants!$B$4))</f>
        <v>#DIV/0!</v>
      </c>
      <c r="CH39" s="33" t="e">
        <f>CG39*SQRT((BP39/BO39)^2+((BO39*($CC39+$CD39)^(LN(Constants!$B$2/Constants!$B$4))-CG39)/CG39)^2)</f>
        <v>#DIV/0!</v>
      </c>
      <c r="CI39" t="e">
        <f>BQ39*$CC39^(LN(Constants!$B$3/Constants!$B$6))</f>
        <v>#DIV/0!</v>
      </c>
      <c r="CJ39" s="33" t="e">
        <f>CI39*SQRT((BR39/BQ39)^2+((BQ39*($CC39+$CD39)^(LN(Constants!$B$3/Constants!$B$6))-CI39)/CI39)^2)</f>
        <v>#DIV/0!</v>
      </c>
      <c r="CK39" t="e">
        <f>BS39*CC39^(LN(Constants!$B$2/Constants!$B$5))</f>
        <v>#DIV/0!</v>
      </c>
      <c r="CL39" s="33" t="e">
        <f>CK39*SQRT((BT39/BS39)^2+((BS39*($CC39+$CD39)^(LN(Constants!$B$2/Constants!$B$5))-CK39)/CK39)^2)</f>
        <v>#DIV/0!</v>
      </c>
      <c r="CM39" t="e">
        <f>CK39*Constants!$C$17/AVERAGE(CK38,CK40)</f>
        <v>#DIV/0!</v>
      </c>
      <c r="CN39" t="e">
        <f>CM39*SQRT(((CK38-CK40)/CK40/4)^2+(CL39/CK39)^2+AVERAGE(CL38/CK38,CL40/CK40)^2)</f>
        <v>#DIV/0!</v>
      </c>
      <c r="CO39" t="e">
        <f>1/CM39*CE39*CI39</f>
        <v>#DIV/0!</v>
      </c>
      <c r="CQ39" t="e">
        <f>$K39/$J39</f>
        <v>#DIV/0!</v>
      </c>
      <c r="CR39" t="e">
        <f>$BN39/$BM39</f>
        <v>#DIV/0!</v>
      </c>
      <c r="CS39" t="e">
        <f>$CF39/$CE39</f>
        <v>#DIV/0!</v>
      </c>
      <c r="CT39" t="e">
        <f>$Q39/$P39</f>
        <v>#DIV/0!</v>
      </c>
      <c r="CU39" t="e">
        <f>$BT39/$BS39</f>
        <v>#DIV/0!</v>
      </c>
      <c r="CV39" t="e">
        <f>$CL39/$CK39</f>
        <v>#DIV/0!</v>
      </c>
      <c r="CW39" t="e">
        <f>$CN39/$CM39</f>
        <v>#DIV/0!</v>
      </c>
      <c r="CY39" s="82" t="e">
        <f>$CQ39/$CS39</f>
        <v>#DIV/0!</v>
      </c>
      <c r="CZ39" s="82" t="e">
        <f>$CR39/$CS39-$CY39</f>
        <v>#DIV/0!</v>
      </c>
      <c r="DA39" s="82" t="e">
        <f>$CS39/$CS39-$CZ39-$CY39</f>
        <v>#DIV/0!</v>
      </c>
      <c r="DB39" s="82" t="e">
        <f>$CT39/$CW39</f>
        <v>#DIV/0!</v>
      </c>
      <c r="DC39" s="82" t="e">
        <f>$CU39/$CW39-$DB39</f>
        <v>#DIV/0!</v>
      </c>
      <c r="DD39" s="82" t="e">
        <f>$CV39/$CW39-$DC39-$DB39</f>
        <v>#DIV/0!</v>
      </c>
      <c r="DE39" s="82" t="e">
        <f>$CW39/$CW39-$DD39-$DC39-$DB39</f>
        <v>#DIV/0!</v>
      </c>
    </row>
    <row r="40" spans="1:109">
      <c r="A40" s="73">
        <f>X40</f>
        <v>0</v>
      </c>
      <c r="B40" s="73"/>
      <c r="C40" s="73"/>
      <c r="J40" s="62"/>
      <c r="K40" s="62"/>
      <c r="L40" s="62"/>
      <c r="M40" s="62"/>
      <c r="N40" s="62"/>
      <c r="O40" s="62"/>
      <c r="P40" s="62"/>
      <c r="Q40" s="62"/>
      <c r="R40" s="62"/>
      <c r="S40" s="62"/>
      <c r="T40" s="62"/>
      <c r="U40" s="62"/>
      <c r="V40" s="62"/>
      <c r="W40" s="62"/>
      <c r="X40" s="63"/>
      <c r="Y40" s="63"/>
      <c r="Z40" s="63"/>
      <c r="AB40" s="62"/>
      <c r="AC40" s="62"/>
      <c r="AD40" s="62"/>
      <c r="AE40" s="62"/>
      <c r="AF40" s="62"/>
      <c r="AG40" s="62"/>
      <c r="AH40" s="62"/>
      <c r="AI40" s="62"/>
      <c r="AJ40" s="62"/>
      <c r="AK40" s="62"/>
      <c r="AL40" s="62"/>
      <c r="AM40" s="62"/>
      <c r="AN40" s="63"/>
      <c r="AO40" s="63"/>
      <c r="AP40" s="63"/>
      <c r="AQ40" s="1"/>
      <c r="AR40" s="1">
        <f>Constants!B$25</f>
        <v>2.2917410000000001E-6</v>
      </c>
      <c r="AS40" s="1">
        <f t="shared" si="31"/>
        <v>0</v>
      </c>
      <c r="AT40" s="1">
        <f t="shared" si="32"/>
        <v>9.9999999999999995E-7</v>
      </c>
      <c r="AU40" s="1" t="e">
        <f t="shared" si="42"/>
        <v>#NUM!</v>
      </c>
      <c r="AV40" s="1" t="e">
        <f t="shared" si="33"/>
        <v>#DIV/0!</v>
      </c>
      <c r="AW40" s="1" t="e">
        <f t="shared" si="43"/>
        <v>#NUM!</v>
      </c>
      <c r="AX40" s="1">
        <f t="shared" si="34"/>
        <v>0</v>
      </c>
      <c r="AY40" t="e">
        <f t="shared" si="25"/>
        <v>#DIV/0!</v>
      </c>
      <c r="AZ40" s="1" t="e">
        <f t="shared" si="35"/>
        <v>#DIV/0!</v>
      </c>
      <c r="BA40" s="1" t="e">
        <f t="shared" si="44"/>
        <v>#NUM!</v>
      </c>
      <c r="BB40" s="1" t="e">
        <f t="shared" si="36"/>
        <v>#NUM!</v>
      </c>
      <c r="BC40" s="1" t="e">
        <f t="shared" si="45"/>
        <v>#NUM!</v>
      </c>
      <c r="BD40" t="e">
        <f t="shared" si="37"/>
        <v>#NUM!</v>
      </c>
      <c r="BE40" s="1"/>
      <c r="BF40" s="32" t="e">
        <f t="shared" si="8"/>
        <v>#DIV/0!</v>
      </c>
      <c r="BG40" s="1" t="e">
        <f t="shared" si="9"/>
        <v>#DIV/0!</v>
      </c>
      <c r="BH40" s="1" t="e">
        <f>BG40*0.1</f>
        <v>#DIV/0!</v>
      </c>
      <c r="BI40" s="1" t="e">
        <f t="shared" si="11"/>
        <v>#NUM!</v>
      </c>
      <c r="BJ40" s="1" t="e">
        <f>BI40*0.1</f>
        <v>#NUM!</v>
      </c>
      <c r="BK40" s="1"/>
      <c r="BL40" s="1"/>
      <c r="BM40" s="1"/>
      <c r="BN40" s="1"/>
      <c r="BO40" s="1" t="e">
        <f t="shared" si="38"/>
        <v>#NUM!</v>
      </c>
      <c r="BP40" s="33" t="e">
        <f t="shared" si="39"/>
        <v>#NUM!</v>
      </c>
      <c r="BQ40" s="1"/>
      <c r="BR40" s="1"/>
      <c r="BS40" s="1" t="e">
        <f t="shared" si="40"/>
        <v>#DIV/0!</v>
      </c>
      <c r="BT40" s="1" t="e">
        <f t="shared" si="41"/>
        <v>#DIV/0!</v>
      </c>
      <c r="BU40" s="1"/>
      <c r="BV40" s="1"/>
      <c r="BW40" s="1"/>
      <c r="BX40" s="1"/>
      <c r="BY40" s="1"/>
      <c r="BZ40" s="1"/>
      <c r="CA40" s="1"/>
      <c r="CB40" s="1"/>
      <c r="CC40" t="e">
        <f>(Constants!$C$18/BO40)^(1/LN(Constants!$B$2/Constants!$B$4))</f>
        <v>#NUM!</v>
      </c>
      <c r="CD40" t="e">
        <f>ABS((Constants!$C$18/BO40)^(1/LN(Constants!$B$2/Constants!$B$4))-(Constants!$C$18/(BO40+BP40))^(1/LN(Constants!$B$2/Constants!$B$4)))</f>
        <v>#NUM!</v>
      </c>
      <c r="CK40" t="e">
        <f>BS40*$CC40^(LN(Constants!$B$2/Constants!$B$5))</f>
        <v>#DIV/0!</v>
      </c>
      <c r="CL40" s="33" t="e">
        <f>CK40*SQRT((BT40/BS40)^2+((BS40*($CC40+$CD40)^(LN(Constants!$B$2/Constants!$B$5))-CK40)/CK40)^2)</f>
        <v>#DIV/0!</v>
      </c>
    </row>
    <row r="41" spans="1:109">
      <c r="A41" s="73">
        <f>X41</f>
        <v>0</v>
      </c>
      <c r="B41" t="str">
        <f>IF(NOT(ISBLANK($J41)),IF($T41&lt;Constants!$B$32,"low spike","OK"),"")</f>
        <v/>
      </c>
      <c r="C41" t="str">
        <f>IF(NOT(ISBLANK($J41)), IF((ABS($L40-$L42)/$L40)&gt;Constants!$B$33,"variable mass bias","OK"), "")</f>
        <v/>
      </c>
      <c r="D41" t="str">
        <f>IF(NOT(ISBLANK($J41)), IF((ABS($P40-$P42)/$P40)&gt;Constants!$B$34,"variable IC yield","OK"),"")</f>
        <v/>
      </c>
      <c r="E41" s="34" t="e">
        <f>CE41</f>
        <v>#DIV/0!</v>
      </c>
      <c r="F41" s="34" t="e">
        <f>CF41</f>
        <v>#DIV/0!</v>
      </c>
      <c r="G41" s="34" t="e">
        <f>CM41</f>
        <v>#DIV/0!</v>
      </c>
      <c r="H41" s="48" t="e">
        <f>CN41</f>
        <v>#DIV/0!</v>
      </c>
      <c r="I41" s="33"/>
      <c r="J41" s="62"/>
      <c r="K41" s="62"/>
      <c r="L41" s="62"/>
      <c r="M41" s="62"/>
      <c r="N41" s="62"/>
      <c r="O41" s="62"/>
      <c r="P41" s="62"/>
      <c r="Q41" s="62"/>
      <c r="R41" s="62"/>
      <c r="S41" s="62"/>
      <c r="T41" s="62"/>
      <c r="U41" s="62"/>
      <c r="V41" s="62"/>
      <c r="W41" s="62"/>
      <c r="X41" s="63"/>
      <c r="Y41" s="63"/>
      <c r="Z41" s="63"/>
      <c r="AB41" s="1">
        <f>R41</f>
        <v>0</v>
      </c>
      <c r="AC41" s="1">
        <f>S41</f>
        <v>0</v>
      </c>
      <c r="AD41" s="1">
        <f>T41</f>
        <v>0</v>
      </c>
      <c r="AE41" s="1">
        <f>U41</f>
        <v>0</v>
      </c>
      <c r="AF41" s="1" t="e">
        <f>AVERAGE(AF40/$AB40,AF42/$AB42)*$AB41</f>
        <v>#DIV/0!</v>
      </c>
      <c r="AG41" s="1" t="e">
        <f>AVERAGE(AG40/AF40,AG42/AF42)*AF41</f>
        <v>#DIV/0!</v>
      </c>
      <c r="AH41" s="1" t="e">
        <f>AVERAGE(AH40/$AB40,AH42/$AB42)*$AB41</f>
        <v>#DIV/0!</v>
      </c>
      <c r="AI41" s="1" t="e">
        <f>AVERAGE(AI40/AH40,AI42/AH42)*AH41</f>
        <v>#DIV/0!</v>
      </c>
      <c r="AJ41" s="1" t="e">
        <f>AVERAGE(AJ40/$AB40,AJ42/$AB42)*$AB41</f>
        <v>#DIV/0!</v>
      </c>
      <c r="AK41" s="1" t="e">
        <f>AVERAGE(AK40/AJ40,AK42/AJ42)*AJ41</f>
        <v>#DIV/0!</v>
      </c>
      <c r="AL41" s="1" t="e">
        <f>AVERAGE(AL40/$AB40,AL42/$AB42)*$AB41</f>
        <v>#DIV/0!</v>
      </c>
      <c r="AM41" s="1" t="e">
        <f>AVERAGE(AM40/AL40,AM42/AL42)*AL41</f>
        <v>#DIV/0!</v>
      </c>
      <c r="AR41" s="1">
        <f>Constants!B$25</f>
        <v>2.2917410000000001E-6</v>
      </c>
      <c r="AS41" s="1">
        <f t="shared" si="31"/>
        <v>0</v>
      </c>
      <c r="AT41" s="1">
        <f t="shared" si="32"/>
        <v>9.9999999999999995E-7</v>
      </c>
      <c r="AU41" s="1" t="e">
        <f t="shared" si="42"/>
        <v>#DIV/0!</v>
      </c>
      <c r="AV41" s="1" t="e">
        <f t="shared" si="33"/>
        <v>#DIV/0!</v>
      </c>
      <c r="AW41" s="1" t="e">
        <f t="shared" si="43"/>
        <v>#DIV/0!</v>
      </c>
      <c r="AX41" s="1">
        <f t="shared" si="34"/>
        <v>0</v>
      </c>
      <c r="AY41" t="e">
        <f t="shared" si="25"/>
        <v>#DIV/0!</v>
      </c>
      <c r="AZ41" s="1" t="e">
        <f t="shared" si="35"/>
        <v>#DIV/0!</v>
      </c>
      <c r="BA41" s="1" t="e">
        <f t="shared" si="44"/>
        <v>#DIV/0!</v>
      </c>
      <c r="BB41" s="1" t="e">
        <f t="shared" si="36"/>
        <v>#DIV/0!</v>
      </c>
      <c r="BC41" s="1" t="e">
        <f t="shared" si="26"/>
        <v>#DIV/0!</v>
      </c>
      <c r="BD41" t="e">
        <f t="shared" si="37"/>
        <v>#DIV/0!</v>
      </c>
      <c r="BF41" s="32" t="e">
        <f>AY41/AS41/62415093</f>
        <v>#DIV/0!</v>
      </c>
      <c r="BG41" s="1" t="e">
        <f>AY41/AX41</f>
        <v>#DIV/0!</v>
      </c>
      <c r="BH41" s="1" t="e">
        <f>BG41*0.1</f>
        <v>#DIV/0!</v>
      </c>
      <c r="BI41" s="1" t="e">
        <f>AW41/AV41/62415093</f>
        <v>#DIV/0!</v>
      </c>
      <c r="BJ41" s="1" t="e">
        <f>BI41*0.1</f>
        <v>#DIV/0!</v>
      </c>
      <c r="BK41" s="1" t="e">
        <f>AU41/AT41/62415093</f>
        <v>#DIV/0!</v>
      </c>
      <c r="BL41" s="1" t="e">
        <f>BK41*0.1</f>
        <v>#DIV/0!</v>
      </c>
      <c r="BM41" s="1" t="e">
        <f>J41/(1-(AU41/62415093)/AT41)</f>
        <v>#DIV/0!</v>
      </c>
      <c r="BN41" s="33" t="e">
        <f>SQRT((K41/(1-BK41))^2+(BL41*J41/(1-BK41)^2)^2)</f>
        <v>#DIV/0!</v>
      </c>
      <c r="BO41" s="1" t="e">
        <f t="shared" si="38"/>
        <v>#DIV/0!</v>
      </c>
      <c r="BP41" s="33" t="e">
        <f t="shared" si="39"/>
        <v>#DIV/0!</v>
      </c>
      <c r="BQ41" s="1" t="e">
        <f>N41*(1-BK41)</f>
        <v>#DIV/0!</v>
      </c>
      <c r="BR41" t="e">
        <f>SQRT(O41^2+BL41^2)</f>
        <v>#DIV/0!</v>
      </c>
      <c r="BS41" s="1" t="e">
        <f t="shared" si="40"/>
        <v>#DIV/0!</v>
      </c>
      <c r="BT41" s="1" t="e">
        <f t="shared" si="41"/>
        <v>#DIV/0!</v>
      </c>
      <c r="BU41" t="e">
        <f>(Constants!$C$19/$BQ41)^(1/LN(Constants!$B$3/Constants!$B$6))</f>
        <v>#DIV/0!</v>
      </c>
      <c r="BV41" t="e">
        <f>(Constants!$C$19/($BQ41-BR41))^(1/LN(Constants!$B$3/Constants!$B$6))-BU41</f>
        <v>#DIV/0!</v>
      </c>
      <c r="BW41" t="e">
        <f>$BM41*BU41^(LN(Constants!$B$2/Constants!$B$3))</f>
        <v>#DIV/0!</v>
      </c>
      <c r="BX41" s="33" t="e">
        <f>BW41*SQRT((BN41/BM41)^2+(((BM41*($BU41+$BV41)^LN(Constants!$B$2/Constants!$B$3))-BW41)/BW41)^2)</f>
        <v>#DIV/0!</v>
      </c>
      <c r="BY41" t="e">
        <f>BO41*BU41^(LN(Constants!$B$2/Constants!$B$4))</f>
        <v>#DIV/0!</v>
      </c>
      <c r="BZ41" s="33" t="e">
        <f>BY41*SQRT((BP41/BO41)^2+(((BO41*($BU41+$BV41)^LN(Constants!$B$2/Constants!$B$4))-BY41)/BY41)^2)</f>
        <v>#DIV/0!</v>
      </c>
      <c r="CA41" t="e">
        <f>BS41*BU41^(LN(Constants!$B$2/Constants!$B$5))</f>
        <v>#DIV/0!</v>
      </c>
      <c r="CB41" s="33" t="e">
        <f>CA41*SQRT((BT41/BS41)^2+(((BS41*($BU41+$BV41)^LN(Constants!$B$2/Constants!$B$5))-CA41)/CA41)^2)</f>
        <v>#DIV/0!</v>
      </c>
      <c r="CC41" t="e">
        <f>(Constants!$C$18/AVERAGE(BO40,BO42))^(1/LN(Constants!$B$2/Constants!$B$4))</f>
        <v>#NUM!</v>
      </c>
      <c r="CD41" t="e">
        <f>MAX(ABS((Constants!$C$18/BO40)^(1/LN(Constants!$B$2/Constants!$B$4))-(Constants!$C$18/BO42)^(1/LN(Constants!$B$2/Constants!$B$4))),CD40,CD42)</f>
        <v>#NUM!</v>
      </c>
      <c r="CE41" t="e">
        <f>$BM41*CC41^(LN(Constants!$B$2/Constants!$B$3))</f>
        <v>#DIV/0!</v>
      </c>
      <c r="CF41" s="33" t="e">
        <f>CE41*SQRT((BN41/BM41)^2+(($BM41*($CC41+$CD41)^(LN(Constants!$B$2/Constants!$B$3))-CE41)/CE41)^2)</f>
        <v>#DIV/0!</v>
      </c>
      <c r="CG41" t="e">
        <f>BO41*CC41^(LN(Constants!$B$2/Constants!$B$4))</f>
        <v>#DIV/0!</v>
      </c>
      <c r="CH41" s="33" t="e">
        <f>CG41*SQRT((BP41/BO41)^2+((BO41*($CC41+$CD41)^(LN(Constants!$B$2/Constants!$B$4))-CG41)/CG41)^2)</f>
        <v>#DIV/0!</v>
      </c>
      <c r="CI41" t="e">
        <f>BQ41*$CC41^(LN(Constants!$B$3/Constants!$B$6))</f>
        <v>#DIV/0!</v>
      </c>
      <c r="CJ41" s="33" t="e">
        <f>CI41*SQRT((BR41/BQ41)^2+((BQ41*($CC41+$CD41)^(LN(Constants!$B$3/Constants!$B$6))-CI41)/CI41)^2)</f>
        <v>#DIV/0!</v>
      </c>
      <c r="CK41" t="e">
        <f>BS41*CC41^(LN(Constants!$B$2/Constants!$B$5))</f>
        <v>#DIV/0!</v>
      </c>
      <c r="CL41" s="33" t="e">
        <f>CK41*SQRT((BT41/BS41)^2+((BS41*($CC41+$CD41)^(LN(Constants!$B$2/Constants!$B$5))-CK41)/CK41)^2)</f>
        <v>#DIV/0!</v>
      </c>
      <c r="CM41" t="e">
        <f>CK41*Constants!$C$17/AVERAGE(CK40,CK42)</f>
        <v>#DIV/0!</v>
      </c>
      <c r="CN41" t="e">
        <f>CM41*SQRT(((CK40-CK42)/CK42/4)^2+(CL41/CK41)^2+AVERAGE(CL40/CK40,CL42/CK42)^2)</f>
        <v>#DIV/0!</v>
      </c>
      <c r="CO41" t="e">
        <f>1/CM41*CE41*CI41</f>
        <v>#DIV/0!</v>
      </c>
      <c r="CQ41" t="e">
        <f>$K41/$J41</f>
        <v>#DIV/0!</v>
      </c>
      <c r="CR41" t="e">
        <f>$BN41/$BM41</f>
        <v>#DIV/0!</v>
      </c>
      <c r="CS41" t="e">
        <f>$CF41/$CE41</f>
        <v>#DIV/0!</v>
      </c>
      <c r="CT41" t="e">
        <f>$Q41/$P41</f>
        <v>#DIV/0!</v>
      </c>
      <c r="CU41" t="e">
        <f>$BT41/$BS41</f>
        <v>#DIV/0!</v>
      </c>
      <c r="CV41" t="e">
        <f>$CL41/$CK41</f>
        <v>#DIV/0!</v>
      </c>
      <c r="CW41" t="e">
        <f>$CN41/$CM41</f>
        <v>#DIV/0!</v>
      </c>
      <c r="CY41" s="82" t="e">
        <f>$CQ41/$CS41</f>
        <v>#DIV/0!</v>
      </c>
      <c r="CZ41" s="82" t="e">
        <f>$CR41/$CS41-$CY41</f>
        <v>#DIV/0!</v>
      </c>
      <c r="DA41" s="82" t="e">
        <f>$CS41/$CS41-$CZ41-$CY41</f>
        <v>#DIV/0!</v>
      </c>
      <c r="DB41" s="82" t="e">
        <f>$CT41/$CW41</f>
        <v>#DIV/0!</v>
      </c>
      <c r="DC41" s="82" t="e">
        <f>$CU41/$CW41-$DB41</f>
        <v>#DIV/0!</v>
      </c>
      <c r="DD41" s="82" t="e">
        <f>$CV41/$CW41-$DC41-$DB41</f>
        <v>#DIV/0!</v>
      </c>
      <c r="DE41" s="82" t="e">
        <f>$CW41/$CW41-$DD41-$DC41-$DB41</f>
        <v>#DIV/0!</v>
      </c>
    </row>
    <row r="42" spans="1:109">
      <c r="A42" s="73">
        <f>X42</f>
        <v>0</v>
      </c>
      <c r="B42" s="73"/>
      <c r="C42" s="73"/>
      <c r="J42" s="62"/>
      <c r="K42" s="62"/>
      <c r="L42" s="62"/>
      <c r="M42" s="62"/>
      <c r="N42" s="62"/>
      <c r="O42" s="62"/>
      <c r="P42" s="62"/>
      <c r="Q42" s="62"/>
      <c r="R42" s="62"/>
      <c r="S42" s="62"/>
      <c r="T42" s="62"/>
      <c r="U42" s="62"/>
      <c r="V42" s="62"/>
      <c r="W42" s="62"/>
      <c r="X42" s="63"/>
      <c r="Y42" s="63"/>
      <c r="Z42" s="63"/>
      <c r="AB42" s="62"/>
      <c r="AC42" s="62"/>
      <c r="AD42" s="62"/>
      <c r="AE42" s="62"/>
      <c r="AF42" s="62"/>
      <c r="AG42" s="62"/>
      <c r="AH42" s="62"/>
      <c r="AI42" s="62"/>
      <c r="AJ42" s="62"/>
      <c r="AK42" s="62"/>
      <c r="AL42" s="62"/>
      <c r="AM42" s="62"/>
      <c r="AN42" s="63"/>
      <c r="AO42" s="63"/>
      <c r="AP42" s="63"/>
      <c r="AQ42" s="1"/>
      <c r="AR42" s="1">
        <f>Constants!B$25</f>
        <v>2.2917410000000001E-6</v>
      </c>
      <c r="AS42" s="1">
        <f t="shared" si="31"/>
        <v>0</v>
      </c>
      <c r="AT42" s="1">
        <f t="shared" si="32"/>
        <v>9.9999999999999995E-7</v>
      </c>
      <c r="AU42" s="1" t="e">
        <f t="shared" si="42"/>
        <v>#NUM!</v>
      </c>
      <c r="AV42" s="1" t="e">
        <f t="shared" si="33"/>
        <v>#DIV/0!</v>
      </c>
      <c r="AW42" s="1" t="e">
        <f t="shared" si="43"/>
        <v>#NUM!</v>
      </c>
      <c r="AX42" s="1">
        <f t="shared" si="34"/>
        <v>0</v>
      </c>
      <c r="AY42" t="e">
        <f t="shared" si="25"/>
        <v>#DIV/0!</v>
      </c>
      <c r="AZ42" s="1" t="e">
        <f t="shared" si="35"/>
        <v>#DIV/0!</v>
      </c>
      <c r="BA42" s="1" t="e">
        <f t="shared" si="44"/>
        <v>#NUM!</v>
      </c>
      <c r="BB42" s="1" t="e">
        <f t="shared" si="36"/>
        <v>#NUM!</v>
      </c>
      <c r="BC42" s="1" t="e">
        <f t="shared" si="45"/>
        <v>#NUM!</v>
      </c>
      <c r="BD42" t="e">
        <f t="shared" si="37"/>
        <v>#NUM!</v>
      </c>
      <c r="BE42" s="1"/>
      <c r="BF42" s="32" t="e">
        <f t="shared" si="8"/>
        <v>#DIV/0!</v>
      </c>
      <c r="BG42" s="1" t="e">
        <f t="shared" si="9"/>
        <v>#DIV/0!</v>
      </c>
      <c r="BH42" s="1" t="e">
        <f>BG42*0.1</f>
        <v>#DIV/0!</v>
      </c>
      <c r="BI42" s="1" t="e">
        <f t="shared" si="11"/>
        <v>#NUM!</v>
      </c>
      <c r="BJ42" s="1" t="e">
        <f>BI42*0.1</f>
        <v>#NUM!</v>
      </c>
      <c r="BK42" s="1"/>
      <c r="BL42" s="1"/>
      <c r="BM42" s="1"/>
      <c r="BN42" s="1"/>
      <c r="BO42" s="1" t="e">
        <f t="shared" si="38"/>
        <v>#NUM!</v>
      </c>
      <c r="BP42" s="33" t="e">
        <f t="shared" si="39"/>
        <v>#NUM!</v>
      </c>
      <c r="BQ42" s="1"/>
      <c r="BR42" s="1"/>
      <c r="BS42" s="1" t="e">
        <f t="shared" si="40"/>
        <v>#DIV/0!</v>
      </c>
      <c r="BT42" s="1" t="e">
        <f t="shared" si="41"/>
        <v>#DIV/0!</v>
      </c>
      <c r="BU42" s="1"/>
      <c r="BV42" s="1"/>
      <c r="BW42" s="1"/>
      <c r="BX42" s="1"/>
      <c r="BY42" s="1"/>
      <c r="BZ42" s="1"/>
      <c r="CA42" s="1"/>
      <c r="CB42" s="1"/>
      <c r="CC42" t="e">
        <f>(Constants!$C$18/BO42)^(1/LN(Constants!$B$2/Constants!$B$4))</f>
        <v>#NUM!</v>
      </c>
      <c r="CD42" t="e">
        <f>ABS((Constants!$C$18/BO42)^(1/LN(Constants!$B$2/Constants!$B$4))-(Constants!$C$18/(BO42+BP42))^(1/LN(Constants!$B$2/Constants!$B$4)))</f>
        <v>#NUM!</v>
      </c>
      <c r="CK42" t="e">
        <f>BS42*$CC42^(LN(Constants!$B$2/Constants!$B$5))</f>
        <v>#DIV/0!</v>
      </c>
      <c r="CL42" s="33" t="e">
        <f>CK42*SQRT((BT42/BS42)^2+((BS42*($CC42+$CD42)^(LN(Constants!$B$2/Constants!$B$5))-CK42)/CK42)^2)</f>
        <v>#DIV/0!</v>
      </c>
    </row>
    <row r="43" spans="1:109">
      <c r="A43" s="73">
        <f>X43</f>
        <v>0</v>
      </c>
      <c r="B43" t="str">
        <f>IF(NOT(ISBLANK($J43)),IF($T43&lt;Constants!$B$32,"low spike","OK"),"")</f>
        <v/>
      </c>
      <c r="C43" t="str">
        <f>IF(NOT(ISBLANK($J43)), IF((ABS($L42-$L44)/$L42)&gt;Constants!$B$33,"variable mass bias","OK"), "")</f>
        <v/>
      </c>
      <c r="D43" t="str">
        <f>IF(NOT(ISBLANK($J43)), IF((ABS($P42-$P44)/$P42)&gt;Constants!$B$34,"variable IC yield","OK"),"")</f>
        <v/>
      </c>
      <c r="E43" s="34" t="e">
        <f>CE43</f>
        <v>#DIV/0!</v>
      </c>
      <c r="F43" s="34" t="e">
        <f>CF43</f>
        <v>#DIV/0!</v>
      </c>
      <c r="G43" s="34" t="e">
        <f>CM43</f>
        <v>#DIV/0!</v>
      </c>
      <c r="H43" s="48" t="e">
        <f>CN43</f>
        <v>#DIV/0!</v>
      </c>
      <c r="I43" s="33"/>
      <c r="J43" s="62"/>
      <c r="K43" s="62"/>
      <c r="L43" s="62"/>
      <c r="M43" s="62"/>
      <c r="N43" s="62"/>
      <c r="O43" s="62"/>
      <c r="P43" s="62"/>
      <c r="Q43" s="62"/>
      <c r="R43" s="62"/>
      <c r="S43" s="62"/>
      <c r="T43" s="62"/>
      <c r="U43" s="62"/>
      <c r="V43" s="62"/>
      <c r="W43" s="62"/>
      <c r="X43" s="63"/>
      <c r="Y43" s="63"/>
      <c r="Z43" s="63"/>
      <c r="AB43" s="1">
        <f>R43</f>
        <v>0</v>
      </c>
      <c r="AC43" s="1">
        <f>S43</f>
        <v>0</v>
      </c>
      <c r="AD43" s="1">
        <f>T43</f>
        <v>0</v>
      </c>
      <c r="AE43" s="1">
        <f>U43</f>
        <v>0</v>
      </c>
      <c r="AF43" s="1" t="e">
        <f>AVERAGE(AF42/$AB42,AF44/$AB44)*$AB43</f>
        <v>#DIV/0!</v>
      </c>
      <c r="AG43" s="1" t="e">
        <f>AVERAGE(AG42/AF42,AG44/AF44)*AF43</f>
        <v>#DIV/0!</v>
      </c>
      <c r="AH43" s="1" t="e">
        <f>AVERAGE(AH42/$AB42,AH44/$AB44)*$AB43</f>
        <v>#DIV/0!</v>
      </c>
      <c r="AI43" s="1" t="e">
        <f>AVERAGE(AI42/AH42,AI44/AH44)*AH43</f>
        <v>#DIV/0!</v>
      </c>
      <c r="AJ43" s="1" t="e">
        <f>AVERAGE(AJ42/$AB42,AJ44/$AB44)*$AB43</f>
        <v>#DIV/0!</v>
      </c>
      <c r="AK43" s="1" t="e">
        <f>AVERAGE(AK42/AJ42,AK44/AJ44)*AJ43</f>
        <v>#DIV/0!</v>
      </c>
      <c r="AL43" s="1" t="e">
        <f>AVERAGE(AL42/$AB42,AL44/$AB44)*$AB43</f>
        <v>#DIV/0!</v>
      </c>
      <c r="AM43" s="1" t="e">
        <f>AVERAGE(AM42/AL42,AM44/AL44)*AL43</f>
        <v>#DIV/0!</v>
      </c>
      <c r="AR43" s="1">
        <f>Constants!B$25</f>
        <v>2.2917410000000001E-6</v>
      </c>
      <c r="AS43" s="1">
        <f t="shared" si="31"/>
        <v>0</v>
      </c>
      <c r="AT43" s="1">
        <f t="shared" si="32"/>
        <v>9.9999999999999995E-7</v>
      </c>
      <c r="AU43" s="1" t="e">
        <f t="shared" si="42"/>
        <v>#DIV/0!</v>
      </c>
      <c r="AV43" s="1" t="e">
        <f t="shared" si="33"/>
        <v>#DIV/0!</v>
      </c>
      <c r="AW43" s="1" t="e">
        <f t="shared" si="43"/>
        <v>#DIV/0!</v>
      </c>
      <c r="AX43" s="1">
        <f t="shared" si="34"/>
        <v>0</v>
      </c>
      <c r="AY43" t="e">
        <f t="shared" si="25"/>
        <v>#DIV/0!</v>
      </c>
      <c r="AZ43" s="1" t="e">
        <f t="shared" si="35"/>
        <v>#DIV/0!</v>
      </c>
      <c r="BA43" s="1" t="e">
        <f t="shared" si="44"/>
        <v>#DIV/0!</v>
      </c>
      <c r="BB43" s="1" t="e">
        <f t="shared" si="36"/>
        <v>#DIV/0!</v>
      </c>
      <c r="BC43" s="1" t="e">
        <f t="shared" si="26"/>
        <v>#DIV/0!</v>
      </c>
      <c r="BD43" t="e">
        <f t="shared" si="37"/>
        <v>#DIV/0!</v>
      </c>
      <c r="BF43" s="32" t="e">
        <f>AY43/AS43/62415093</f>
        <v>#DIV/0!</v>
      </c>
      <c r="BG43" s="1" t="e">
        <f>AY43/AX43</f>
        <v>#DIV/0!</v>
      </c>
      <c r="BH43" s="1" t="e">
        <f>BG43*0.1</f>
        <v>#DIV/0!</v>
      </c>
      <c r="BI43" s="1" t="e">
        <f>AW43/AV43/62415093</f>
        <v>#DIV/0!</v>
      </c>
      <c r="BJ43" s="1" t="e">
        <f>BI43*0.1</f>
        <v>#DIV/0!</v>
      </c>
      <c r="BK43" s="1" t="e">
        <f>AU43/AT43/62415093</f>
        <v>#DIV/0!</v>
      </c>
      <c r="BL43" s="1" t="e">
        <f>BK43*0.1</f>
        <v>#DIV/0!</v>
      </c>
      <c r="BM43" s="1" t="e">
        <f>J43/(1-(AU43/62415093)/AT43)</f>
        <v>#DIV/0!</v>
      </c>
      <c r="BN43" s="33" t="e">
        <f>SQRT((K43/(1-BK43))^2+(BL43*J43/(1-BK43)^2)^2)</f>
        <v>#DIV/0!</v>
      </c>
      <c r="BO43" s="1" t="e">
        <f t="shared" si="38"/>
        <v>#DIV/0!</v>
      </c>
      <c r="BP43" s="33" t="e">
        <f t="shared" si="39"/>
        <v>#DIV/0!</v>
      </c>
      <c r="BQ43" s="1" t="e">
        <f>N43*(1-BK43)</f>
        <v>#DIV/0!</v>
      </c>
      <c r="BR43" t="e">
        <f>SQRT(O43^2+BL43^2)</f>
        <v>#DIV/0!</v>
      </c>
      <c r="BS43" s="1" t="e">
        <f t="shared" si="40"/>
        <v>#DIV/0!</v>
      </c>
      <c r="BT43" s="1" t="e">
        <f t="shared" si="41"/>
        <v>#DIV/0!</v>
      </c>
      <c r="BU43" t="e">
        <f>(Constants!$C$19/$BQ43)^(1/LN(Constants!$B$3/Constants!$B$6))</f>
        <v>#DIV/0!</v>
      </c>
      <c r="BV43" t="e">
        <f>(Constants!$C$19/($BQ43-BR43))^(1/LN(Constants!$B$3/Constants!$B$6))-BU43</f>
        <v>#DIV/0!</v>
      </c>
      <c r="BW43" t="e">
        <f>$BM43*BU43^(LN(Constants!$B$2/Constants!$B$3))</f>
        <v>#DIV/0!</v>
      </c>
      <c r="BX43" s="33" t="e">
        <f>BW43*SQRT((BN43/BM43)^2+(((BM43*($BU43+$BV43)^LN(Constants!$B$2/Constants!$B$3))-BW43)/BW43)^2)</f>
        <v>#DIV/0!</v>
      </c>
      <c r="BY43" t="e">
        <f>BO43*BU43^(LN(Constants!$B$2/Constants!$B$4))</f>
        <v>#DIV/0!</v>
      </c>
      <c r="BZ43" s="33" t="e">
        <f>BY43*SQRT((BP43/BO43)^2+(((BO43*($BU43+$BV43)^LN(Constants!$B$2/Constants!$B$4))-BY43)/BY43)^2)</f>
        <v>#DIV/0!</v>
      </c>
      <c r="CA43" t="e">
        <f>BS43*BU43^(LN(Constants!$B$2/Constants!$B$5))</f>
        <v>#DIV/0!</v>
      </c>
      <c r="CB43" s="33" t="e">
        <f>CA43*SQRT((BT43/BS43)^2+(((BS43*($BU43+$BV43)^LN(Constants!$B$2/Constants!$B$5))-CA43)/CA43)^2)</f>
        <v>#DIV/0!</v>
      </c>
      <c r="CC43" t="e">
        <f>(Constants!$C$18/AVERAGE(BO42,BO44))^(1/LN(Constants!$B$2/Constants!$B$4))</f>
        <v>#NUM!</v>
      </c>
      <c r="CD43" t="e">
        <f>MAX(ABS((Constants!$C$18/BO42)^(1/LN(Constants!$B$2/Constants!$B$4))-(Constants!$C$18/BO44)^(1/LN(Constants!$B$2/Constants!$B$4))),CD42,CD44)</f>
        <v>#NUM!</v>
      </c>
      <c r="CE43" t="e">
        <f>$BM43*CC43^(LN(Constants!$B$2/Constants!$B$3))</f>
        <v>#DIV/0!</v>
      </c>
      <c r="CF43" s="33" t="e">
        <f>CE43*SQRT((BN43/BM43)^2+(($BM43*($CC43+$CD43)^(LN(Constants!$B$2/Constants!$B$3))-CE43)/CE43)^2)</f>
        <v>#DIV/0!</v>
      </c>
      <c r="CG43" t="e">
        <f>BO43*CC43^(LN(Constants!$B$2/Constants!$B$4))</f>
        <v>#DIV/0!</v>
      </c>
      <c r="CH43" s="33" t="e">
        <f>CG43*SQRT((BP43/BO43)^2+((BO43*($CC43+$CD43)^(LN(Constants!$B$2/Constants!$B$4))-CG43)/CG43)^2)</f>
        <v>#DIV/0!</v>
      </c>
      <c r="CI43" t="e">
        <f>BQ43*$CC43^(LN(Constants!$B$3/Constants!$B$6))</f>
        <v>#DIV/0!</v>
      </c>
      <c r="CJ43" s="33" t="e">
        <f>CI43*SQRT((BR43/BQ43)^2+((BQ43*($CC43+$CD43)^(LN(Constants!$B$3/Constants!$B$6))-CI43)/CI43)^2)</f>
        <v>#DIV/0!</v>
      </c>
      <c r="CK43" t="e">
        <f>BS43*CC43^(LN(Constants!$B$2/Constants!$B$5))</f>
        <v>#DIV/0!</v>
      </c>
      <c r="CL43" s="33" t="e">
        <f>CK43*SQRT((BT43/BS43)^2+((BS43*($CC43+$CD43)^(LN(Constants!$B$2/Constants!$B$5))-CK43)/CK43)^2)</f>
        <v>#DIV/0!</v>
      </c>
      <c r="CM43" t="e">
        <f>CK43*Constants!$C$17/AVERAGE(CK42,CK44)</f>
        <v>#DIV/0!</v>
      </c>
      <c r="CN43" t="e">
        <f>CM43*SQRT(((CK42-CK44)/CK44/4)^2+(CL43/CK43)^2+AVERAGE(CL42/CK42,CL44/CK44)^2)</f>
        <v>#DIV/0!</v>
      </c>
      <c r="CO43" t="e">
        <f>1/CM43*CE43*CI43</f>
        <v>#DIV/0!</v>
      </c>
      <c r="CQ43" t="e">
        <f>$K43/$J43</f>
        <v>#DIV/0!</v>
      </c>
      <c r="CR43" t="e">
        <f>$BN43/$BM43</f>
        <v>#DIV/0!</v>
      </c>
      <c r="CS43" t="e">
        <f>$CF43/$CE43</f>
        <v>#DIV/0!</v>
      </c>
      <c r="CT43" t="e">
        <f>$Q43/$P43</f>
        <v>#DIV/0!</v>
      </c>
      <c r="CU43" t="e">
        <f>$BT43/$BS43</f>
        <v>#DIV/0!</v>
      </c>
      <c r="CV43" t="e">
        <f>$CL43/$CK43</f>
        <v>#DIV/0!</v>
      </c>
      <c r="CW43" t="e">
        <f>$CN43/$CM43</f>
        <v>#DIV/0!</v>
      </c>
      <c r="CY43" s="82" t="e">
        <f>$CQ43/$CS43</f>
        <v>#DIV/0!</v>
      </c>
      <c r="CZ43" s="82" t="e">
        <f>$CR43/$CS43-$CY43</f>
        <v>#DIV/0!</v>
      </c>
      <c r="DA43" s="82" t="e">
        <f>$CS43/$CS43-$CZ43-$CY43</f>
        <v>#DIV/0!</v>
      </c>
      <c r="DB43" s="82" t="e">
        <f>$CT43/$CW43</f>
        <v>#DIV/0!</v>
      </c>
      <c r="DC43" s="82" t="e">
        <f>$CU43/$CW43-$DB43</f>
        <v>#DIV/0!</v>
      </c>
      <c r="DD43" s="82" t="e">
        <f>$CV43/$CW43-$DC43-$DB43</f>
        <v>#DIV/0!</v>
      </c>
      <c r="DE43" s="82" t="e">
        <f>$CW43/$CW43-$DD43-$DC43-$DB43</f>
        <v>#DIV/0!</v>
      </c>
    </row>
    <row r="44" spans="1:109">
      <c r="A44" s="73">
        <f t="shared" ref="A44:A69" si="46">X44</f>
        <v>0</v>
      </c>
      <c r="B44" s="73"/>
      <c r="C44" s="73"/>
      <c r="J44" s="62"/>
      <c r="K44" s="62"/>
      <c r="L44" s="62"/>
      <c r="M44" s="62"/>
      <c r="N44" s="62"/>
      <c r="O44" s="62"/>
      <c r="P44" s="62"/>
      <c r="Q44" s="62"/>
      <c r="R44" s="62"/>
      <c r="S44" s="62"/>
      <c r="T44" s="62"/>
      <c r="U44" s="62"/>
      <c r="V44" s="62"/>
      <c r="W44" s="62"/>
      <c r="X44" s="63"/>
      <c r="Y44" s="63"/>
      <c r="Z44" s="63"/>
      <c r="AB44" s="62"/>
      <c r="AC44" s="62"/>
      <c r="AD44" s="62"/>
      <c r="AE44" s="62"/>
      <c r="AF44" s="62"/>
      <c r="AG44" s="62"/>
      <c r="AH44" s="62"/>
      <c r="AI44" s="62"/>
      <c r="AJ44" s="62"/>
      <c r="AK44" s="62"/>
      <c r="AL44" s="62"/>
      <c r="AM44" s="62"/>
      <c r="AN44" s="63"/>
      <c r="AO44" s="63"/>
      <c r="AP44" s="63"/>
      <c r="AQ44" s="1"/>
      <c r="AR44" s="1">
        <f>Constants!B$25</f>
        <v>2.2917410000000001E-6</v>
      </c>
      <c r="AS44" s="1">
        <f t="shared" si="31"/>
        <v>0</v>
      </c>
      <c r="AT44" s="1">
        <f t="shared" si="32"/>
        <v>9.9999999999999995E-7</v>
      </c>
      <c r="AU44" s="1" t="e">
        <f t="shared" si="42"/>
        <v>#NUM!</v>
      </c>
      <c r="AV44" s="1" t="e">
        <f t="shared" si="33"/>
        <v>#DIV/0!</v>
      </c>
      <c r="AW44" s="1" t="e">
        <f t="shared" si="43"/>
        <v>#NUM!</v>
      </c>
      <c r="AX44" s="1">
        <f t="shared" si="34"/>
        <v>0</v>
      </c>
      <c r="AY44" t="e">
        <f t="shared" si="25"/>
        <v>#DIV/0!</v>
      </c>
      <c r="AZ44" s="1" t="e">
        <f t="shared" si="35"/>
        <v>#DIV/0!</v>
      </c>
      <c r="BA44" s="1" t="e">
        <f t="shared" si="44"/>
        <v>#NUM!</v>
      </c>
      <c r="BB44" s="1" t="e">
        <f t="shared" si="36"/>
        <v>#NUM!</v>
      </c>
      <c r="BC44" s="1" t="e">
        <f t="shared" si="45"/>
        <v>#NUM!</v>
      </c>
      <c r="BD44" t="e">
        <f t="shared" si="37"/>
        <v>#NUM!</v>
      </c>
      <c r="BE44" s="1"/>
      <c r="BF44" s="32" t="e">
        <f t="shared" ref="BF44:BF90" si="47">AY44/AS44/62415093</f>
        <v>#DIV/0!</v>
      </c>
      <c r="BG44" s="1" t="e">
        <f t="shared" ref="BG44:BG90" si="48">AY44/AX44</f>
        <v>#DIV/0!</v>
      </c>
      <c r="BH44" s="1" t="e">
        <f t="shared" ref="BH44:BH90" si="49">BG44*0.1</f>
        <v>#DIV/0!</v>
      </c>
      <c r="BI44" s="1" t="e">
        <f t="shared" ref="BI44:BI90" si="50">AW44/AV44/62415093</f>
        <v>#NUM!</v>
      </c>
      <c r="BJ44" s="1" t="e">
        <f t="shared" ref="BJ44:BJ90" si="51">BI44*0.1</f>
        <v>#NUM!</v>
      </c>
      <c r="BK44" s="1"/>
      <c r="BL44" s="1"/>
      <c r="BM44" s="1"/>
      <c r="BN44" s="1"/>
      <c r="BO44" s="1" t="e">
        <f t="shared" si="38"/>
        <v>#NUM!</v>
      </c>
      <c r="BP44" s="33" t="e">
        <f t="shared" si="39"/>
        <v>#NUM!</v>
      </c>
      <c r="BQ44" s="1"/>
      <c r="BR44" s="1"/>
      <c r="BS44" s="1" t="e">
        <f t="shared" si="40"/>
        <v>#DIV/0!</v>
      </c>
      <c r="BT44" s="1" t="e">
        <f t="shared" si="41"/>
        <v>#DIV/0!</v>
      </c>
      <c r="BU44" s="1"/>
      <c r="BV44" s="1"/>
      <c r="BW44" s="1"/>
      <c r="BX44" s="1"/>
      <c r="BY44" s="1"/>
      <c r="BZ44" s="1"/>
      <c r="CA44" s="1"/>
      <c r="CB44" s="1"/>
      <c r="CC44" t="e">
        <f>(Constants!$C$18/BO44)^(1/LN(Constants!$B$2/Constants!$B$4))</f>
        <v>#NUM!</v>
      </c>
      <c r="CD44" t="e">
        <f>ABS((Constants!$C$18/BO44)^(1/LN(Constants!$B$2/Constants!$B$4))-(Constants!$C$18/(BO44+BP44))^(1/LN(Constants!$B$2/Constants!$B$4)))</f>
        <v>#NUM!</v>
      </c>
      <c r="CK44" t="e">
        <f>BS44*$CC44^(LN(Constants!$B$2/Constants!$B$5))</f>
        <v>#DIV/0!</v>
      </c>
      <c r="CL44" s="33" t="e">
        <f>CK44*SQRT((BT44/BS44)^2+((BS44*($CC44+$CD44)^(LN(Constants!$B$2/Constants!$B$5))-CK44)/CK44)^2)</f>
        <v>#DIV/0!</v>
      </c>
      <c r="CR44" s="1"/>
      <c r="CS44" s="1"/>
      <c r="CU44" s="1"/>
      <c r="CV44" s="1"/>
      <c r="CW44" s="1"/>
    </row>
    <row r="45" spans="1:109">
      <c r="A45" s="73">
        <f t="shared" si="46"/>
        <v>0</v>
      </c>
      <c r="B45" t="str">
        <f>IF(NOT(ISBLANK($J45)),IF($T45&lt;Constants!$B$32,"low spike","OK"),"")</f>
        <v/>
      </c>
      <c r="C45" t="str">
        <f>IF(NOT(ISBLANK($J45)), IF((ABS($L44-$L46)/$L44)&gt;Constants!$B$33,"variable mass bias","OK"), "")</f>
        <v/>
      </c>
      <c r="D45" t="str">
        <f>IF(NOT(ISBLANK($J45)), IF((ABS($P44-$P46)/$P44)&gt;Constants!$B$34,"variable IC yield","OK"),"")</f>
        <v/>
      </c>
      <c r="E45" s="34" t="e">
        <f>CE45</f>
        <v>#DIV/0!</v>
      </c>
      <c r="F45" s="34" t="e">
        <f>CF45</f>
        <v>#DIV/0!</v>
      </c>
      <c r="G45" s="34" t="e">
        <f>CM45</f>
        <v>#DIV/0!</v>
      </c>
      <c r="H45" s="48" t="e">
        <f>CN45</f>
        <v>#DIV/0!</v>
      </c>
      <c r="I45" s="33"/>
      <c r="J45" s="62"/>
      <c r="K45" s="62"/>
      <c r="L45" s="62"/>
      <c r="M45" s="62"/>
      <c r="N45" s="62"/>
      <c r="O45" s="62"/>
      <c r="P45" s="62"/>
      <c r="Q45" s="62"/>
      <c r="R45" s="62"/>
      <c r="S45" s="62"/>
      <c r="T45" s="62"/>
      <c r="U45" s="62"/>
      <c r="V45" s="62"/>
      <c r="W45" s="62"/>
      <c r="X45" s="63"/>
      <c r="Y45" s="63"/>
      <c r="Z45" s="63"/>
      <c r="AB45" s="1">
        <f>R45</f>
        <v>0</v>
      </c>
      <c r="AC45" s="1">
        <f>S45</f>
        <v>0</v>
      </c>
      <c r="AD45" s="1">
        <f>T45</f>
        <v>0</v>
      </c>
      <c r="AE45" s="1">
        <f>U45</f>
        <v>0</v>
      </c>
      <c r="AF45" s="1" t="e">
        <f>AVERAGE(AF44/$AB44,AF46/$AB46)*$AB45</f>
        <v>#DIV/0!</v>
      </c>
      <c r="AG45" s="1" t="e">
        <f>AVERAGE(AG44/AF44,AG46/AF46)*AF45</f>
        <v>#DIV/0!</v>
      </c>
      <c r="AH45" s="1" t="e">
        <f>AVERAGE(AH44/$AB44,AH46/$AB46)*$AB45</f>
        <v>#DIV/0!</v>
      </c>
      <c r="AI45" s="1" t="e">
        <f>AVERAGE(AI44/AH44,AI46/AH46)*AH45</f>
        <v>#DIV/0!</v>
      </c>
      <c r="AJ45" s="1" t="e">
        <f>AVERAGE(AJ44/$AB44,AJ46/$AB46)*$AB45</f>
        <v>#DIV/0!</v>
      </c>
      <c r="AK45" s="1" t="e">
        <f>AVERAGE(AK44/AJ44,AK46/AJ46)*AJ45</f>
        <v>#DIV/0!</v>
      </c>
      <c r="AL45" s="1" t="e">
        <f>AVERAGE(AL44/$AB44,AL46/$AB46)*$AB45</f>
        <v>#DIV/0!</v>
      </c>
      <c r="AM45" s="1" t="e">
        <f>AVERAGE(AM44/AL44,AM46/AL46)*AL45</f>
        <v>#DIV/0!</v>
      </c>
      <c r="AR45" s="1">
        <f>Constants!B$25</f>
        <v>2.2917410000000001E-6</v>
      </c>
      <c r="AS45" s="1">
        <f t="shared" si="31"/>
        <v>0</v>
      </c>
      <c r="AT45" s="1">
        <f t="shared" si="32"/>
        <v>9.9999999999999995E-7</v>
      </c>
      <c r="AU45" s="1" t="e">
        <f t="shared" si="42"/>
        <v>#DIV/0!</v>
      </c>
      <c r="AV45" s="1" t="e">
        <f t="shared" si="33"/>
        <v>#DIV/0!</v>
      </c>
      <c r="AW45" s="1" t="e">
        <f t="shared" si="43"/>
        <v>#DIV/0!</v>
      </c>
      <c r="AX45" s="1">
        <f t="shared" si="34"/>
        <v>0</v>
      </c>
      <c r="AY45" t="e">
        <f t="shared" si="25"/>
        <v>#DIV/0!</v>
      </c>
      <c r="AZ45" s="1" t="e">
        <f t="shared" si="35"/>
        <v>#DIV/0!</v>
      </c>
      <c r="BA45" s="1" t="e">
        <f t="shared" si="44"/>
        <v>#DIV/0!</v>
      </c>
      <c r="BB45" s="1" t="e">
        <f t="shared" si="36"/>
        <v>#DIV/0!</v>
      </c>
      <c r="BC45" s="1" t="e">
        <f t="shared" si="26"/>
        <v>#DIV/0!</v>
      </c>
      <c r="BD45" t="e">
        <f t="shared" si="37"/>
        <v>#DIV/0!</v>
      </c>
      <c r="BF45" s="32" t="e">
        <f t="shared" si="47"/>
        <v>#DIV/0!</v>
      </c>
      <c r="BG45" s="1" t="e">
        <f t="shared" si="48"/>
        <v>#DIV/0!</v>
      </c>
      <c r="BH45" s="1" t="e">
        <f t="shared" si="49"/>
        <v>#DIV/0!</v>
      </c>
      <c r="BI45" s="1" t="e">
        <f t="shared" si="50"/>
        <v>#DIV/0!</v>
      </c>
      <c r="BJ45" s="1" t="e">
        <f t="shared" si="51"/>
        <v>#DIV/0!</v>
      </c>
      <c r="BK45" s="1" t="e">
        <f>AU45/AT45/62415093</f>
        <v>#DIV/0!</v>
      </c>
      <c r="BL45" s="1" t="e">
        <f>BK45*0.1</f>
        <v>#DIV/0!</v>
      </c>
      <c r="BM45" s="1" t="e">
        <f>J45/(1-(AU45/62415093)/AT45)</f>
        <v>#DIV/0!</v>
      </c>
      <c r="BN45" s="33" t="e">
        <f>SQRT((K45/(1-BK45))^2+(BL45*J45/(1-BK45)^2)^2)</f>
        <v>#DIV/0!</v>
      </c>
      <c r="BO45" s="1" t="e">
        <f t="shared" si="38"/>
        <v>#DIV/0!</v>
      </c>
      <c r="BP45" s="33" t="e">
        <f t="shared" si="39"/>
        <v>#DIV/0!</v>
      </c>
      <c r="BQ45" s="1" t="e">
        <f>N45*(1-BK45)</f>
        <v>#DIV/0!</v>
      </c>
      <c r="BR45" t="e">
        <f>SQRT(O45^2+BL45^2)</f>
        <v>#DIV/0!</v>
      </c>
      <c r="BS45" s="1" t="e">
        <f t="shared" si="40"/>
        <v>#DIV/0!</v>
      </c>
      <c r="BT45" s="1" t="e">
        <f t="shared" si="41"/>
        <v>#DIV/0!</v>
      </c>
      <c r="BU45" t="e">
        <f>(Constants!$C$19/$BQ45)^(1/LN(Constants!$B$3/Constants!$B$6))</f>
        <v>#DIV/0!</v>
      </c>
      <c r="BV45" t="e">
        <f>(Constants!$C$19/($BQ45-BR45))^(1/LN(Constants!$B$3/Constants!$B$6))-BU45</f>
        <v>#DIV/0!</v>
      </c>
      <c r="BW45" t="e">
        <f>$BM45*BU45^(LN(Constants!$B$2/Constants!$B$3))</f>
        <v>#DIV/0!</v>
      </c>
      <c r="BX45" s="33" t="e">
        <f>BW45*SQRT((BN45/BM45)^2+(((BM45*($BU45+$BV45)^LN(Constants!$B$2/Constants!$B$3))-BW45)/BW45)^2)</f>
        <v>#DIV/0!</v>
      </c>
      <c r="BY45" t="e">
        <f>BO45*BU45^(LN(Constants!$B$2/Constants!$B$4))</f>
        <v>#DIV/0!</v>
      </c>
      <c r="BZ45" s="33" t="e">
        <f>BY45*SQRT((BP45/BO45)^2+(((BO45*($BU45+$BV45)^LN(Constants!$B$2/Constants!$B$4))-BY45)/BY45)^2)</f>
        <v>#DIV/0!</v>
      </c>
      <c r="CA45" t="e">
        <f>BS45*BU45^(LN(Constants!$B$2/Constants!$B$5))</f>
        <v>#DIV/0!</v>
      </c>
      <c r="CB45" s="33" t="e">
        <f>CA45*SQRT((BT45/BS45)^2+(((BS45*($BU45+$BV45)^LN(Constants!$B$2/Constants!$B$5))-CA45)/CA45)^2)</f>
        <v>#DIV/0!</v>
      </c>
      <c r="CC45" t="e">
        <f>(Constants!$C$18/AVERAGE(BO44,BO46))^(1/LN(Constants!$B$2/Constants!$B$4))</f>
        <v>#NUM!</v>
      </c>
      <c r="CD45" t="e">
        <f>MAX(ABS((Constants!$C$18/BO44)^(1/LN(Constants!$B$2/Constants!$B$4))-(Constants!$C$18/BO46)^(1/LN(Constants!$B$2/Constants!$B$4))),CD44,CD46)</f>
        <v>#NUM!</v>
      </c>
      <c r="CE45" t="e">
        <f>$BM45*CC45^(LN(Constants!$B$2/Constants!$B$3))</f>
        <v>#DIV/0!</v>
      </c>
      <c r="CF45" s="33" t="e">
        <f>CE45*SQRT((BN45/BM45)^2+(($BM45*($CC45+$CD45)^(LN(Constants!$B$2/Constants!$B$3))-CE45)/CE45)^2)</f>
        <v>#DIV/0!</v>
      </c>
      <c r="CG45" t="e">
        <f>BO45*CC45^(LN(Constants!$B$2/Constants!$B$4))</f>
        <v>#DIV/0!</v>
      </c>
      <c r="CH45" s="33" t="e">
        <f>CG45*SQRT((BP45/BO45)^2+((BO45*($CC45+$CD45)^(LN(Constants!$B$2/Constants!$B$4))-CG45)/CG45)^2)</f>
        <v>#DIV/0!</v>
      </c>
      <c r="CI45" t="e">
        <f>BQ45*$CC45^(LN(Constants!$B$3/Constants!$B$6))</f>
        <v>#DIV/0!</v>
      </c>
      <c r="CJ45" s="33" t="e">
        <f>CI45*SQRT((BR45/BQ45)^2+((BQ45*($CC45+$CD45)^(LN(Constants!$B$3/Constants!$B$6))-CI45)/CI45)^2)</f>
        <v>#DIV/0!</v>
      </c>
      <c r="CK45" t="e">
        <f>BS45*CC45^(LN(Constants!$B$2/Constants!$B$5))</f>
        <v>#DIV/0!</v>
      </c>
      <c r="CL45" s="33" t="e">
        <f>CK45*SQRT((BT45/BS45)^2+((BS45*($CC45+$CD45)^(LN(Constants!$B$2/Constants!$B$5))-CK45)/CK45)^2)</f>
        <v>#DIV/0!</v>
      </c>
      <c r="CM45" t="e">
        <f>CK45*Constants!$C$17/AVERAGE(CK44,CK46)</f>
        <v>#DIV/0!</v>
      </c>
      <c r="CN45" t="e">
        <f>CM45*SQRT(((CK44-CK46)/CK46/4)^2+(CL45/CK45)^2+AVERAGE(CL44/CK44,CL46/CK46)^2)</f>
        <v>#DIV/0!</v>
      </c>
      <c r="CO45" t="e">
        <f>1/CM45*CE45*CI45</f>
        <v>#DIV/0!</v>
      </c>
      <c r="CQ45" t="e">
        <f>$K45/$J45</f>
        <v>#DIV/0!</v>
      </c>
      <c r="CR45" t="e">
        <f>$BN45/$BM45</f>
        <v>#DIV/0!</v>
      </c>
      <c r="CS45" t="e">
        <f>$CF45/$CE45</f>
        <v>#DIV/0!</v>
      </c>
      <c r="CT45" t="e">
        <f>$Q45/$P45</f>
        <v>#DIV/0!</v>
      </c>
      <c r="CU45" t="e">
        <f>$BT45/$BS45</f>
        <v>#DIV/0!</v>
      </c>
      <c r="CV45" t="e">
        <f>$CL45/$CK45</f>
        <v>#DIV/0!</v>
      </c>
      <c r="CW45" t="e">
        <f>$CN45/$CM45</f>
        <v>#DIV/0!</v>
      </c>
      <c r="CY45" s="82" t="e">
        <f>$CQ45/$CS45</f>
        <v>#DIV/0!</v>
      </c>
      <c r="CZ45" s="82" t="e">
        <f>$CR45/$CS45-$CY45</f>
        <v>#DIV/0!</v>
      </c>
      <c r="DA45" s="82" t="e">
        <f>$CS45/$CS45-$CZ45-$CY45</f>
        <v>#DIV/0!</v>
      </c>
      <c r="DB45" s="82" t="e">
        <f>$CT45/$CW45</f>
        <v>#DIV/0!</v>
      </c>
      <c r="DC45" s="82" t="e">
        <f>$CU45/$CW45-$DB45</f>
        <v>#DIV/0!</v>
      </c>
      <c r="DD45" s="82" t="e">
        <f>$CV45/$CW45-$DC45-$DB45</f>
        <v>#DIV/0!</v>
      </c>
      <c r="DE45" s="82" t="e">
        <f>$CW45/$CW45-$DD45-$DC45-$DB45</f>
        <v>#DIV/0!</v>
      </c>
    </row>
    <row r="46" spans="1:109">
      <c r="A46" s="73">
        <f t="shared" si="46"/>
        <v>0</v>
      </c>
      <c r="B46" s="73"/>
      <c r="C46" s="73"/>
      <c r="J46" s="62"/>
      <c r="K46" s="62"/>
      <c r="L46" s="62"/>
      <c r="M46" s="62"/>
      <c r="N46" s="62"/>
      <c r="O46" s="62"/>
      <c r="P46" s="62"/>
      <c r="Q46" s="62"/>
      <c r="R46" s="62"/>
      <c r="S46" s="62"/>
      <c r="T46" s="62"/>
      <c r="U46" s="62"/>
      <c r="V46" s="62"/>
      <c r="W46" s="62"/>
      <c r="X46" s="63"/>
      <c r="Y46" s="63"/>
      <c r="Z46" s="63"/>
      <c r="AB46" s="62"/>
      <c r="AC46" s="62"/>
      <c r="AD46" s="62"/>
      <c r="AE46" s="62"/>
      <c r="AF46" s="62"/>
      <c r="AG46" s="62"/>
      <c r="AH46" s="62"/>
      <c r="AI46" s="62"/>
      <c r="AJ46" s="62"/>
      <c r="AK46" s="62"/>
      <c r="AL46" s="62"/>
      <c r="AM46" s="62"/>
      <c r="AN46" s="63"/>
      <c r="AO46" s="63"/>
      <c r="AP46" s="63"/>
      <c r="AQ46" s="1"/>
      <c r="AR46" s="1">
        <f>Constants!B$25</f>
        <v>2.2917410000000001E-6</v>
      </c>
      <c r="AS46" s="1">
        <f t="shared" si="31"/>
        <v>0</v>
      </c>
      <c r="AT46" s="1">
        <f t="shared" si="32"/>
        <v>9.9999999999999995E-7</v>
      </c>
      <c r="AU46" s="1" t="e">
        <f t="shared" si="42"/>
        <v>#NUM!</v>
      </c>
      <c r="AV46" s="1" t="e">
        <f t="shared" si="33"/>
        <v>#DIV/0!</v>
      </c>
      <c r="AW46" s="1" t="e">
        <f t="shared" si="43"/>
        <v>#NUM!</v>
      </c>
      <c r="AX46" s="1">
        <f t="shared" si="34"/>
        <v>0</v>
      </c>
      <c r="AY46" t="e">
        <f t="shared" si="25"/>
        <v>#DIV/0!</v>
      </c>
      <c r="AZ46" s="1" t="e">
        <f t="shared" si="35"/>
        <v>#DIV/0!</v>
      </c>
      <c r="BA46" s="1" t="e">
        <f t="shared" si="44"/>
        <v>#NUM!</v>
      </c>
      <c r="BB46" s="1" t="e">
        <f t="shared" si="36"/>
        <v>#NUM!</v>
      </c>
      <c r="BC46" s="1" t="e">
        <f t="shared" si="45"/>
        <v>#NUM!</v>
      </c>
      <c r="BD46" t="e">
        <f t="shared" si="37"/>
        <v>#NUM!</v>
      </c>
      <c r="BE46" s="1"/>
      <c r="BF46" s="32" t="e">
        <f t="shared" si="47"/>
        <v>#DIV/0!</v>
      </c>
      <c r="BG46" s="1" t="e">
        <f t="shared" si="48"/>
        <v>#DIV/0!</v>
      </c>
      <c r="BH46" s="1" t="e">
        <f t="shared" si="49"/>
        <v>#DIV/0!</v>
      </c>
      <c r="BI46" s="1" t="e">
        <f t="shared" si="50"/>
        <v>#NUM!</v>
      </c>
      <c r="BJ46" s="1" t="e">
        <f t="shared" si="51"/>
        <v>#NUM!</v>
      </c>
      <c r="BK46" s="1"/>
      <c r="BL46" s="1"/>
      <c r="BM46" s="1"/>
      <c r="BN46" s="1"/>
      <c r="BO46" s="1" t="e">
        <f t="shared" si="38"/>
        <v>#NUM!</v>
      </c>
      <c r="BP46" s="33" t="e">
        <f t="shared" si="39"/>
        <v>#NUM!</v>
      </c>
      <c r="BQ46" s="1"/>
      <c r="BR46" s="1"/>
      <c r="BS46" s="1" t="e">
        <f t="shared" si="40"/>
        <v>#DIV/0!</v>
      </c>
      <c r="BT46" s="1" t="e">
        <f t="shared" si="41"/>
        <v>#DIV/0!</v>
      </c>
      <c r="BU46" s="1"/>
      <c r="BV46" s="1"/>
      <c r="BW46" s="1"/>
      <c r="BX46" s="1"/>
      <c r="BY46" s="1"/>
      <c r="BZ46" s="1"/>
      <c r="CA46" s="1"/>
      <c r="CB46" s="1"/>
      <c r="CC46" t="e">
        <f>(Constants!$C$18/BO46)^(1/LN(Constants!$B$2/Constants!$B$4))</f>
        <v>#NUM!</v>
      </c>
      <c r="CD46" t="e">
        <f>ABS((Constants!$C$18/BO46)^(1/LN(Constants!$B$2/Constants!$B$4))-(Constants!$C$18/(BO46+BP46))^(1/LN(Constants!$B$2/Constants!$B$4)))</f>
        <v>#NUM!</v>
      </c>
      <c r="CK46" t="e">
        <f>BS46*$CC46^(LN(Constants!$B$2/Constants!$B$5))</f>
        <v>#DIV/0!</v>
      </c>
      <c r="CL46" s="33" t="e">
        <f>CK46*SQRT((BT46/BS46)^2+((BS46*($CC46+$CD46)^(LN(Constants!$B$2/Constants!$B$5))-CK46)/CK46)^2)</f>
        <v>#DIV/0!</v>
      </c>
    </row>
    <row r="47" spans="1:109">
      <c r="A47" s="73">
        <f t="shared" si="46"/>
        <v>0</v>
      </c>
      <c r="B47" t="str">
        <f>IF(NOT(ISBLANK($J47)),IF($T47&lt;Constants!$B$32,"low spike","OK"),"")</f>
        <v/>
      </c>
      <c r="C47" t="str">
        <f>IF(NOT(ISBLANK($J47)), IF((ABS($L46-$L48)/$L46)&gt;Constants!$B$33,"variable mass bias","OK"), "")</f>
        <v/>
      </c>
      <c r="D47" t="str">
        <f>IF(NOT(ISBLANK($J47)), IF((ABS($P46-$P48)/$P46)&gt;Constants!$B$34,"variable IC yield","OK"),"")</f>
        <v/>
      </c>
      <c r="E47" s="34" t="e">
        <f>CE47</f>
        <v>#DIV/0!</v>
      </c>
      <c r="F47" s="34" t="e">
        <f>CF47</f>
        <v>#DIV/0!</v>
      </c>
      <c r="G47" s="34" t="e">
        <f>CM47</f>
        <v>#DIV/0!</v>
      </c>
      <c r="H47" s="48" t="e">
        <f>CN47</f>
        <v>#DIV/0!</v>
      </c>
      <c r="I47" s="33"/>
      <c r="J47" s="62"/>
      <c r="K47" s="62"/>
      <c r="L47" s="62"/>
      <c r="M47" s="62"/>
      <c r="N47" s="62"/>
      <c r="O47" s="62"/>
      <c r="P47" s="62"/>
      <c r="Q47" s="62"/>
      <c r="R47" s="62"/>
      <c r="S47" s="62"/>
      <c r="T47" s="62"/>
      <c r="U47" s="62"/>
      <c r="V47" s="62"/>
      <c r="W47" s="62"/>
      <c r="X47" s="63"/>
      <c r="Y47" s="63"/>
      <c r="Z47" s="63"/>
      <c r="AB47" s="1">
        <f>R47</f>
        <v>0</v>
      </c>
      <c r="AC47" s="1">
        <f>S47</f>
        <v>0</v>
      </c>
      <c r="AD47" s="1">
        <f>T47</f>
        <v>0</v>
      </c>
      <c r="AE47" s="1">
        <f>U47</f>
        <v>0</v>
      </c>
      <c r="AF47" s="1" t="e">
        <f>AVERAGE(AF46/$AB46,AF48/$AB48)*$AB47</f>
        <v>#DIV/0!</v>
      </c>
      <c r="AG47" s="1" t="e">
        <f>AVERAGE(AG46/AF46,AG48/AF48)*AF47</f>
        <v>#DIV/0!</v>
      </c>
      <c r="AH47" s="1" t="e">
        <f>AVERAGE(AH46/$AB46,AH48/$AB48)*$AB47</f>
        <v>#DIV/0!</v>
      </c>
      <c r="AI47" s="1" t="e">
        <f>AVERAGE(AI46/AH46,AI48/AH48)*AH47</f>
        <v>#DIV/0!</v>
      </c>
      <c r="AJ47" s="1" t="e">
        <f>AVERAGE(AJ46/$AB46,AJ48/$AB48)*$AB47</f>
        <v>#DIV/0!</v>
      </c>
      <c r="AK47" s="1" t="e">
        <f>AVERAGE(AK46/AJ46,AK48/AJ48)*AJ47</f>
        <v>#DIV/0!</v>
      </c>
      <c r="AL47" s="1" t="e">
        <f>AVERAGE(AL46/$AB46,AL48/$AB48)*$AB47</f>
        <v>#DIV/0!</v>
      </c>
      <c r="AM47" s="1" t="e">
        <f>AVERAGE(AM46/AL46,AM48/AL48)*AL47</f>
        <v>#DIV/0!</v>
      </c>
      <c r="AR47" s="1">
        <f>Constants!B$25</f>
        <v>2.2917410000000001E-6</v>
      </c>
      <c r="AS47" s="1">
        <f t="shared" si="31"/>
        <v>0</v>
      </c>
      <c r="AT47" s="1">
        <f t="shared" si="32"/>
        <v>9.9999999999999995E-7</v>
      </c>
      <c r="AU47" s="1" t="e">
        <f t="shared" si="42"/>
        <v>#DIV/0!</v>
      </c>
      <c r="AV47" s="1" t="e">
        <f t="shared" si="33"/>
        <v>#DIV/0!</v>
      </c>
      <c r="AW47" s="1" t="e">
        <f t="shared" si="43"/>
        <v>#DIV/0!</v>
      </c>
      <c r="AX47" s="1">
        <f t="shared" si="34"/>
        <v>0</v>
      </c>
      <c r="AY47" t="e">
        <f t="shared" si="25"/>
        <v>#DIV/0!</v>
      </c>
      <c r="AZ47" s="1" t="e">
        <f t="shared" si="35"/>
        <v>#DIV/0!</v>
      </c>
      <c r="BA47" s="1" t="e">
        <f t="shared" si="44"/>
        <v>#DIV/0!</v>
      </c>
      <c r="BB47" s="1" t="e">
        <f t="shared" si="36"/>
        <v>#DIV/0!</v>
      </c>
      <c r="BC47" s="1" t="e">
        <f t="shared" si="26"/>
        <v>#DIV/0!</v>
      </c>
      <c r="BD47" t="e">
        <f t="shared" si="37"/>
        <v>#DIV/0!</v>
      </c>
      <c r="BF47" s="32" t="e">
        <f t="shared" si="47"/>
        <v>#DIV/0!</v>
      </c>
      <c r="BG47" s="1" t="e">
        <f t="shared" si="48"/>
        <v>#DIV/0!</v>
      </c>
      <c r="BH47" s="1" t="e">
        <f t="shared" si="49"/>
        <v>#DIV/0!</v>
      </c>
      <c r="BI47" s="1" t="e">
        <f t="shared" si="50"/>
        <v>#DIV/0!</v>
      </c>
      <c r="BJ47" s="1" t="e">
        <f t="shared" si="51"/>
        <v>#DIV/0!</v>
      </c>
      <c r="BK47" s="1" t="e">
        <f>AU47/AT47/62415093</f>
        <v>#DIV/0!</v>
      </c>
      <c r="BL47" s="1" t="e">
        <f>BK47*0.1</f>
        <v>#DIV/0!</v>
      </c>
      <c r="BM47" s="1" t="e">
        <f>J47/(1-(AU47/62415093)/AT47)</f>
        <v>#DIV/0!</v>
      </c>
      <c r="BN47" s="33" t="e">
        <f>SQRT((K47/(1-BK47))^2+(BL47*J47/(1-BK47)^2)^2)</f>
        <v>#DIV/0!</v>
      </c>
      <c r="BO47" s="1" t="e">
        <f t="shared" si="38"/>
        <v>#DIV/0!</v>
      </c>
      <c r="BP47" s="33" t="e">
        <f t="shared" si="39"/>
        <v>#DIV/0!</v>
      </c>
      <c r="BQ47" s="1" t="e">
        <f>N47*(1-BK47)</f>
        <v>#DIV/0!</v>
      </c>
      <c r="BR47" t="e">
        <f>SQRT(O47^2+BL47^2)</f>
        <v>#DIV/0!</v>
      </c>
      <c r="BS47" s="1" t="e">
        <f t="shared" si="40"/>
        <v>#DIV/0!</v>
      </c>
      <c r="BT47" s="1" t="e">
        <f t="shared" si="41"/>
        <v>#DIV/0!</v>
      </c>
      <c r="BU47" t="e">
        <f>(Constants!$C$19/$BQ47)^(1/LN(Constants!$B$3/Constants!$B$6))</f>
        <v>#DIV/0!</v>
      </c>
      <c r="BV47" t="e">
        <f>(Constants!$C$19/($BQ47-BR47))^(1/LN(Constants!$B$3/Constants!$B$6))-BU47</f>
        <v>#DIV/0!</v>
      </c>
      <c r="BW47" t="e">
        <f>$BM47*BU47^(LN(Constants!$B$2/Constants!$B$3))</f>
        <v>#DIV/0!</v>
      </c>
      <c r="BX47" s="33" t="e">
        <f>BW47*SQRT((BN47/BM47)^2+(((BM47*($BU47+$BV47)^LN(Constants!$B$2/Constants!$B$3))-BW47)/BW47)^2)</f>
        <v>#DIV/0!</v>
      </c>
      <c r="BY47" t="e">
        <f>BO47*BU47^(LN(Constants!$B$2/Constants!$B$4))</f>
        <v>#DIV/0!</v>
      </c>
      <c r="BZ47" s="33" t="e">
        <f>BY47*SQRT((BP47/BO47)^2+(((BO47*($BU47+$BV47)^LN(Constants!$B$2/Constants!$B$4))-BY47)/BY47)^2)</f>
        <v>#DIV/0!</v>
      </c>
      <c r="CA47" t="e">
        <f>BS47*BU47^(LN(Constants!$B$2/Constants!$B$5))</f>
        <v>#DIV/0!</v>
      </c>
      <c r="CB47" s="33" t="e">
        <f>CA47*SQRT((BT47/BS47)^2+(((BS47*($BU47+$BV47)^LN(Constants!$B$2/Constants!$B$5))-CA47)/CA47)^2)</f>
        <v>#DIV/0!</v>
      </c>
      <c r="CC47" t="e">
        <f>(Constants!$C$18/AVERAGE(BO46,BO48))^(1/LN(Constants!$B$2/Constants!$B$4))</f>
        <v>#NUM!</v>
      </c>
      <c r="CD47" t="e">
        <f>MAX(ABS((Constants!$C$18/BO46)^(1/LN(Constants!$B$2/Constants!$B$4))-(Constants!$C$18/BO48)^(1/LN(Constants!$B$2/Constants!$B$4))),CD46,CD48)</f>
        <v>#NUM!</v>
      </c>
      <c r="CE47" t="e">
        <f>$BM47*CC47^(LN(Constants!$B$2/Constants!$B$3))</f>
        <v>#DIV/0!</v>
      </c>
      <c r="CF47" s="33" t="e">
        <f>CE47*SQRT((BN47/BM47)^2+(($BM47*($CC47+$CD47)^(LN(Constants!$B$2/Constants!$B$3))-CE47)/CE47)^2)</f>
        <v>#DIV/0!</v>
      </c>
      <c r="CG47" t="e">
        <f>BO47*CC47^(LN(Constants!$B$2/Constants!$B$4))</f>
        <v>#DIV/0!</v>
      </c>
      <c r="CH47" s="33" t="e">
        <f>CG47*SQRT((BP47/BO47)^2+((BO47*($CC47+$CD47)^(LN(Constants!$B$2/Constants!$B$4))-CG47)/CG47)^2)</f>
        <v>#DIV/0!</v>
      </c>
      <c r="CI47" t="e">
        <f>BQ47*$CC47^(LN(Constants!$B$3/Constants!$B$6))</f>
        <v>#DIV/0!</v>
      </c>
      <c r="CJ47" s="33" t="e">
        <f>CI47*SQRT((BR47/BQ47)^2+((BQ47*($CC47+$CD47)^(LN(Constants!$B$3/Constants!$B$6))-CI47)/CI47)^2)</f>
        <v>#DIV/0!</v>
      </c>
      <c r="CK47" t="e">
        <f>BS47*CC47^(LN(Constants!$B$2/Constants!$B$5))</f>
        <v>#DIV/0!</v>
      </c>
      <c r="CL47" s="33" t="e">
        <f>CK47*SQRT((BT47/BS47)^2+((BS47*($CC47+$CD47)^(LN(Constants!$B$2/Constants!$B$5))-CK47)/CK47)^2)</f>
        <v>#DIV/0!</v>
      </c>
      <c r="CM47" t="e">
        <f>CK47*Constants!$C$17/AVERAGE(CK46,CK48)</f>
        <v>#DIV/0!</v>
      </c>
      <c r="CN47" t="e">
        <f>CM47*SQRT(((CK46-CK48)/CK48/4)^2+(CL47/CK47)^2+AVERAGE(CL46/CK46,CL48/CK48)^2)</f>
        <v>#DIV/0!</v>
      </c>
      <c r="CO47" t="e">
        <f>1/CM47*CE47*CI47</f>
        <v>#DIV/0!</v>
      </c>
      <c r="CQ47" t="e">
        <f>$K47/$J47</f>
        <v>#DIV/0!</v>
      </c>
      <c r="CR47" t="e">
        <f>$BN47/$BM47</f>
        <v>#DIV/0!</v>
      </c>
      <c r="CS47" t="e">
        <f>$CF47/$CE47</f>
        <v>#DIV/0!</v>
      </c>
      <c r="CT47" t="e">
        <f>$Q47/$P47</f>
        <v>#DIV/0!</v>
      </c>
      <c r="CU47" t="e">
        <f>$BT47/$BS47</f>
        <v>#DIV/0!</v>
      </c>
      <c r="CV47" t="e">
        <f>$CL47/$CK47</f>
        <v>#DIV/0!</v>
      </c>
      <c r="CW47" t="e">
        <f>$CN47/$CM47</f>
        <v>#DIV/0!</v>
      </c>
      <c r="CY47" s="82" t="e">
        <f>$CQ47/$CS47</f>
        <v>#DIV/0!</v>
      </c>
      <c r="CZ47" s="82" t="e">
        <f>$CR47/$CS47-$CY47</f>
        <v>#DIV/0!</v>
      </c>
      <c r="DA47" s="82" t="e">
        <f>$CS47/$CS47-$CZ47-$CY47</f>
        <v>#DIV/0!</v>
      </c>
      <c r="DB47" s="82" t="e">
        <f>$CT47/$CW47</f>
        <v>#DIV/0!</v>
      </c>
      <c r="DC47" s="82" t="e">
        <f>$CU47/$CW47-$DB47</f>
        <v>#DIV/0!</v>
      </c>
      <c r="DD47" s="82" t="e">
        <f>$CV47/$CW47-$DC47-$DB47</f>
        <v>#DIV/0!</v>
      </c>
      <c r="DE47" s="82" t="e">
        <f>$CW47/$CW47-$DD47-$DC47-$DB47</f>
        <v>#DIV/0!</v>
      </c>
    </row>
    <row r="48" spans="1:109">
      <c r="A48" s="1">
        <f t="shared" si="46"/>
        <v>0</v>
      </c>
      <c r="B48" s="1"/>
      <c r="C48" s="1"/>
      <c r="J48" s="62"/>
      <c r="K48" s="62"/>
      <c r="L48" s="62"/>
      <c r="M48" s="62"/>
      <c r="N48" s="62"/>
      <c r="O48" s="62"/>
      <c r="P48" s="62"/>
      <c r="Q48" s="62"/>
      <c r="R48" s="62"/>
      <c r="S48" s="62"/>
      <c r="T48" s="62"/>
      <c r="U48" s="62"/>
      <c r="V48" s="62"/>
      <c r="W48" s="62"/>
      <c r="X48" s="63"/>
      <c r="Y48" s="63"/>
      <c r="Z48" s="63"/>
      <c r="AB48" s="62"/>
      <c r="AC48" s="62"/>
      <c r="AD48" s="62"/>
      <c r="AE48" s="62"/>
      <c r="AF48" s="62"/>
      <c r="AG48" s="62"/>
      <c r="AH48" s="62"/>
      <c r="AI48" s="62"/>
      <c r="AJ48" s="62"/>
      <c r="AK48" s="62"/>
      <c r="AL48" s="62"/>
      <c r="AM48" s="62"/>
      <c r="AN48" s="63"/>
      <c r="AO48" s="63"/>
      <c r="AP48" s="63"/>
      <c r="AQ48" s="1"/>
      <c r="AR48" s="1">
        <f>Constants!B$25</f>
        <v>2.2917410000000001E-6</v>
      </c>
      <c r="AS48" s="1">
        <f t="shared" si="31"/>
        <v>0</v>
      </c>
      <c r="AT48" s="1">
        <f t="shared" si="32"/>
        <v>9.9999999999999995E-7</v>
      </c>
      <c r="AU48" s="1" t="e">
        <f t="shared" si="42"/>
        <v>#NUM!</v>
      </c>
      <c r="AV48" s="1" t="e">
        <f t="shared" si="33"/>
        <v>#DIV/0!</v>
      </c>
      <c r="AW48" s="1" t="e">
        <f t="shared" si="43"/>
        <v>#NUM!</v>
      </c>
      <c r="AX48" s="1">
        <f t="shared" si="34"/>
        <v>0</v>
      </c>
      <c r="AY48" t="e">
        <f t="shared" si="25"/>
        <v>#DIV/0!</v>
      </c>
      <c r="AZ48" s="1" t="e">
        <f t="shared" si="35"/>
        <v>#DIV/0!</v>
      </c>
      <c r="BA48" s="1" t="e">
        <f t="shared" si="44"/>
        <v>#NUM!</v>
      </c>
      <c r="BB48" s="1" t="e">
        <f t="shared" si="36"/>
        <v>#NUM!</v>
      </c>
      <c r="BC48" s="1" t="e">
        <f t="shared" si="45"/>
        <v>#NUM!</v>
      </c>
      <c r="BD48" t="e">
        <f t="shared" si="37"/>
        <v>#NUM!</v>
      </c>
      <c r="BE48" s="1"/>
      <c r="BF48" s="32" t="e">
        <f t="shared" si="47"/>
        <v>#DIV/0!</v>
      </c>
      <c r="BG48" s="1" t="e">
        <f t="shared" si="48"/>
        <v>#DIV/0!</v>
      </c>
      <c r="BH48" s="1" t="e">
        <f t="shared" si="49"/>
        <v>#DIV/0!</v>
      </c>
      <c r="BI48" s="1" t="e">
        <f t="shared" si="50"/>
        <v>#NUM!</v>
      </c>
      <c r="BJ48" s="1" t="e">
        <f t="shared" si="51"/>
        <v>#NUM!</v>
      </c>
      <c r="BK48" s="1"/>
      <c r="BL48" s="1"/>
      <c r="BM48" s="1"/>
      <c r="BN48" s="1"/>
      <c r="BO48" s="1" t="e">
        <f t="shared" si="38"/>
        <v>#NUM!</v>
      </c>
      <c r="BP48" s="33" t="e">
        <f t="shared" si="39"/>
        <v>#NUM!</v>
      </c>
      <c r="BQ48" s="1"/>
      <c r="BR48" s="1"/>
      <c r="BS48" s="1" t="e">
        <f t="shared" si="40"/>
        <v>#DIV/0!</v>
      </c>
      <c r="BT48" s="1" t="e">
        <f t="shared" si="41"/>
        <v>#DIV/0!</v>
      </c>
      <c r="BU48" s="1"/>
      <c r="BV48" s="1"/>
      <c r="BW48" s="1"/>
      <c r="BX48" s="1"/>
      <c r="BY48" s="1"/>
      <c r="BZ48" s="1"/>
      <c r="CA48" s="1"/>
      <c r="CB48" s="1"/>
      <c r="CC48" t="e">
        <f>(Constants!$C$18/BO48)^(1/LN(Constants!$B$2/Constants!$B$4))</f>
        <v>#NUM!</v>
      </c>
      <c r="CD48" t="e">
        <f>ABS((Constants!$C$18/BO48)^(1/LN(Constants!$B$2/Constants!$B$4))-(Constants!$C$18/(BO48+BP48))^(1/LN(Constants!$B$2/Constants!$B$4)))</f>
        <v>#NUM!</v>
      </c>
      <c r="CK48" t="e">
        <f>BS48*$CC48^(LN(Constants!$B$2/Constants!$B$5))</f>
        <v>#DIV/0!</v>
      </c>
      <c r="CL48" s="33" t="e">
        <f>CK48*SQRT((BT48/BS48)^2+((BS48*($CC48+$CD48)^(LN(Constants!$B$2/Constants!$B$5))-CK48)/CK48)^2)</f>
        <v>#DIV/0!</v>
      </c>
    </row>
    <row r="49" spans="1:109">
      <c r="A49" s="73">
        <f t="shared" si="46"/>
        <v>0</v>
      </c>
      <c r="B49" t="str">
        <f>IF(NOT(ISBLANK($J49)),IF($T49&lt;Constants!$B$32,"low spike","OK"),"")</f>
        <v/>
      </c>
      <c r="C49" t="str">
        <f>IF(NOT(ISBLANK($J49)), IF((ABS($L48-$L50)/$L48)&gt;Constants!$B$33,"variable mass bias","OK"), "")</f>
        <v/>
      </c>
      <c r="D49" t="str">
        <f>IF(NOT(ISBLANK($J49)), IF((ABS($P48-$P50)/$P48)&gt;Constants!$B$34,"variable IC yield","OK"),"")</f>
        <v/>
      </c>
      <c r="E49" s="34" t="e">
        <f>CE49</f>
        <v>#DIV/0!</v>
      </c>
      <c r="F49" s="34" t="e">
        <f>CF49</f>
        <v>#DIV/0!</v>
      </c>
      <c r="G49" s="34" t="e">
        <f>CM49</f>
        <v>#DIV/0!</v>
      </c>
      <c r="H49" s="48" t="e">
        <f>CN49</f>
        <v>#DIV/0!</v>
      </c>
      <c r="I49" s="33"/>
      <c r="J49" s="62"/>
      <c r="K49" s="62"/>
      <c r="L49" s="62"/>
      <c r="M49" s="62"/>
      <c r="N49" s="62"/>
      <c r="O49" s="62"/>
      <c r="P49" s="62"/>
      <c r="Q49" s="62"/>
      <c r="R49" s="62"/>
      <c r="S49" s="62"/>
      <c r="T49" s="62"/>
      <c r="U49" s="62"/>
      <c r="V49" s="62"/>
      <c r="W49" s="62"/>
      <c r="X49" s="63"/>
      <c r="Y49" s="63"/>
      <c r="Z49" s="63"/>
      <c r="AB49" s="1">
        <f>R49</f>
        <v>0</v>
      </c>
      <c r="AC49" s="1">
        <f>S49</f>
        <v>0</v>
      </c>
      <c r="AD49" s="1">
        <f>T49</f>
        <v>0</v>
      </c>
      <c r="AE49" s="1">
        <f>U49</f>
        <v>0</v>
      </c>
      <c r="AF49" s="1" t="e">
        <f>AVERAGE(AF48/$AB48,AF50/$AB50)*$AB49</f>
        <v>#DIV/0!</v>
      </c>
      <c r="AG49" s="1" t="e">
        <f>AVERAGE(AG48/AF48,AG50/AF50)*AF49</f>
        <v>#DIV/0!</v>
      </c>
      <c r="AH49" s="1" t="e">
        <f>AVERAGE(AH48/$AB48,AH50/$AB50)*$AB49</f>
        <v>#DIV/0!</v>
      </c>
      <c r="AI49" s="1" t="e">
        <f>AVERAGE(AI48/AH48,AI50/AH50)*AH49</f>
        <v>#DIV/0!</v>
      </c>
      <c r="AJ49" s="1" t="e">
        <f>AVERAGE(AJ48/$AB48,AJ50/$AB50)*$AB49</f>
        <v>#DIV/0!</v>
      </c>
      <c r="AK49" s="1" t="e">
        <f>AVERAGE(AK48/AJ48,AK50/AJ50)*AJ49</f>
        <v>#DIV/0!</v>
      </c>
      <c r="AL49" s="1" t="e">
        <f>AVERAGE(AL48/$AB48,AL50/$AB50)*$AB49</f>
        <v>#DIV/0!</v>
      </c>
      <c r="AM49" s="1" t="e">
        <f>AVERAGE(AM48/AL48,AM50/AL50)*AL49</f>
        <v>#DIV/0!</v>
      </c>
      <c r="AR49" s="1">
        <f>Constants!B$25</f>
        <v>2.2917410000000001E-6</v>
      </c>
      <c r="AS49" s="1">
        <f t="shared" si="31"/>
        <v>0</v>
      </c>
      <c r="AT49" s="1">
        <f t="shared" si="32"/>
        <v>9.9999999999999995E-7</v>
      </c>
      <c r="AU49" s="1" t="e">
        <f t="shared" si="42"/>
        <v>#DIV/0!</v>
      </c>
      <c r="AV49" s="1" t="e">
        <f t="shared" si="33"/>
        <v>#DIV/0!</v>
      </c>
      <c r="AW49" s="1" t="e">
        <f t="shared" si="43"/>
        <v>#DIV/0!</v>
      </c>
      <c r="AX49" s="1">
        <f t="shared" si="34"/>
        <v>0</v>
      </c>
      <c r="AY49" t="e">
        <f t="shared" si="25"/>
        <v>#DIV/0!</v>
      </c>
      <c r="AZ49" s="1" t="e">
        <f t="shared" si="35"/>
        <v>#DIV/0!</v>
      </c>
      <c r="BA49" s="1" t="e">
        <f t="shared" si="44"/>
        <v>#DIV/0!</v>
      </c>
      <c r="BB49" s="1" t="e">
        <f t="shared" si="36"/>
        <v>#DIV/0!</v>
      </c>
      <c r="BC49" s="1" t="e">
        <f t="shared" si="26"/>
        <v>#DIV/0!</v>
      </c>
      <c r="BD49" t="e">
        <f t="shared" si="37"/>
        <v>#DIV/0!</v>
      </c>
      <c r="BF49" s="32" t="e">
        <f t="shared" si="47"/>
        <v>#DIV/0!</v>
      </c>
      <c r="BG49" s="1" t="e">
        <f t="shared" si="48"/>
        <v>#DIV/0!</v>
      </c>
      <c r="BH49" s="1" t="e">
        <f t="shared" si="49"/>
        <v>#DIV/0!</v>
      </c>
      <c r="BI49" s="1" t="e">
        <f t="shared" si="50"/>
        <v>#DIV/0!</v>
      </c>
      <c r="BJ49" s="1" t="e">
        <f t="shared" si="51"/>
        <v>#DIV/0!</v>
      </c>
      <c r="BK49" s="1" t="e">
        <f>AU49/AT49/62415093</f>
        <v>#DIV/0!</v>
      </c>
      <c r="BL49" s="1" t="e">
        <f>BK49*0.1</f>
        <v>#DIV/0!</v>
      </c>
      <c r="BM49" s="1" t="e">
        <f>J49/(1-(AU49/62415093)/AT49)</f>
        <v>#DIV/0!</v>
      </c>
      <c r="BN49" s="33" t="e">
        <f>SQRT((K49/(1-BK49))^2+(BL49*J49/(1-BK49)^2)^2)</f>
        <v>#DIV/0!</v>
      </c>
      <c r="BO49" s="1" t="e">
        <f t="shared" si="38"/>
        <v>#DIV/0!</v>
      </c>
      <c r="BP49" s="33" t="e">
        <f t="shared" si="39"/>
        <v>#DIV/0!</v>
      </c>
      <c r="BQ49" s="1" t="e">
        <f>N49*(1-BK49)</f>
        <v>#DIV/0!</v>
      </c>
      <c r="BR49" t="e">
        <f>SQRT(O49^2+BL49^2)</f>
        <v>#DIV/0!</v>
      </c>
      <c r="BS49" s="1" t="e">
        <f t="shared" si="40"/>
        <v>#DIV/0!</v>
      </c>
      <c r="BT49" s="1" t="e">
        <f t="shared" si="41"/>
        <v>#DIV/0!</v>
      </c>
      <c r="BU49" t="e">
        <f>(Constants!$C$19/$BQ49)^(1/LN(Constants!$B$3/Constants!$B$6))</f>
        <v>#DIV/0!</v>
      </c>
      <c r="BV49" t="e">
        <f>(Constants!$C$19/($BQ49-BR49))^(1/LN(Constants!$B$3/Constants!$B$6))-BU49</f>
        <v>#DIV/0!</v>
      </c>
      <c r="BW49" t="e">
        <f>$BM49*BU49^(LN(Constants!$B$2/Constants!$B$3))</f>
        <v>#DIV/0!</v>
      </c>
      <c r="BX49" s="33" t="e">
        <f>BW49*SQRT((BN49/BM49)^2+(((BM49*($BU49+$BV49)^LN(Constants!$B$2/Constants!$B$3))-BW49)/BW49)^2)</f>
        <v>#DIV/0!</v>
      </c>
      <c r="BY49" t="e">
        <f>BO49*BU49^(LN(Constants!$B$2/Constants!$B$4))</f>
        <v>#DIV/0!</v>
      </c>
      <c r="BZ49" s="33" t="e">
        <f>BY49*SQRT((BP49/BO49)^2+(((BO49*($BU49+$BV49)^LN(Constants!$B$2/Constants!$B$4))-BY49)/BY49)^2)</f>
        <v>#DIV/0!</v>
      </c>
      <c r="CA49" t="e">
        <f>BS49*BU49^(LN(Constants!$B$2/Constants!$B$5))</f>
        <v>#DIV/0!</v>
      </c>
      <c r="CB49" s="33" t="e">
        <f>CA49*SQRT((BT49/BS49)^2+(((BS49*($BU49+$BV49)^LN(Constants!$B$2/Constants!$B$5))-CA49)/CA49)^2)</f>
        <v>#DIV/0!</v>
      </c>
      <c r="CC49" t="e">
        <f>(Constants!$C$18/AVERAGE(BO48,BO50))^(1/LN(Constants!$B$2/Constants!$B$4))</f>
        <v>#NUM!</v>
      </c>
      <c r="CD49" t="e">
        <f>MAX(ABS((Constants!$C$18/BO48)^(1/LN(Constants!$B$2/Constants!$B$4))-(Constants!$C$18/BO50)^(1/LN(Constants!$B$2/Constants!$B$4))),CD48,CD50)</f>
        <v>#NUM!</v>
      </c>
      <c r="CE49" t="e">
        <f>$BM49*CC49^(LN(Constants!$B$2/Constants!$B$3))</f>
        <v>#DIV/0!</v>
      </c>
      <c r="CF49" s="33" t="e">
        <f>CE49*SQRT((BN49/BM49)^2+(($BM49*($CC49+$CD49)^(LN(Constants!$B$2/Constants!$B$3))-CE49)/CE49)^2)</f>
        <v>#DIV/0!</v>
      </c>
      <c r="CG49" t="e">
        <f>BO49*CC49^(LN(Constants!$B$2/Constants!$B$4))</f>
        <v>#DIV/0!</v>
      </c>
      <c r="CH49" s="33" t="e">
        <f>CG49*SQRT((BP49/BO49)^2+((BO49*($CC49+$CD49)^(LN(Constants!$B$2/Constants!$B$4))-CG49)/CG49)^2)</f>
        <v>#DIV/0!</v>
      </c>
      <c r="CI49" t="e">
        <f>BQ49*$CC49^(LN(Constants!$B$3/Constants!$B$6))</f>
        <v>#DIV/0!</v>
      </c>
      <c r="CJ49" s="33" t="e">
        <f>CI49*SQRT((BR49/BQ49)^2+((BQ49*($CC49+$CD49)^(LN(Constants!$B$3/Constants!$B$6))-CI49)/CI49)^2)</f>
        <v>#DIV/0!</v>
      </c>
      <c r="CK49" t="e">
        <f>BS49*CC49^(LN(Constants!$B$2/Constants!$B$5))</f>
        <v>#DIV/0!</v>
      </c>
      <c r="CL49" s="33" t="e">
        <f>CK49*SQRT((BT49/BS49)^2+((BS49*($CC49+$CD49)^(LN(Constants!$B$2/Constants!$B$5))-CK49)/CK49)^2)</f>
        <v>#DIV/0!</v>
      </c>
      <c r="CM49" t="e">
        <f>CK49*Constants!$C$17/AVERAGE(CK48,CK50)</f>
        <v>#DIV/0!</v>
      </c>
      <c r="CN49" t="e">
        <f>CM49*SQRT(((CK48-CK50)/CK50/4)^2+(CL49/CK49)^2+AVERAGE(CL48/CK48,CL50/CK50)^2)</f>
        <v>#DIV/0!</v>
      </c>
      <c r="CO49" t="e">
        <f>1/CM49*CE49*CI49</f>
        <v>#DIV/0!</v>
      </c>
      <c r="CQ49" t="e">
        <f>$K49/$J49</f>
        <v>#DIV/0!</v>
      </c>
      <c r="CR49" t="e">
        <f>$BN49/$BM49</f>
        <v>#DIV/0!</v>
      </c>
      <c r="CS49" t="e">
        <f>$CF49/$CE49</f>
        <v>#DIV/0!</v>
      </c>
      <c r="CT49" t="e">
        <f>$Q49/$P49</f>
        <v>#DIV/0!</v>
      </c>
      <c r="CU49" t="e">
        <f>$BT49/$BS49</f>
        <v>#DIV/0!</v>
      </c>
      <c r="CV49" t="e">
        <f>$CL49/$CK49</f>
        <v>#DIV/0!</v>
      </c>
      <c r="CW49" t="e">
        <f>$CN49/$CM49</f>
        <v>#DIV/0!</v>
      </c>
      <c r="CY49" s="82" t="e">
        <f>$CQ49/$CS49</f>
        <v>#DIV/0!</v>
      </c>
      <c r="CZ49" s="82" t="e">
        <f>$CR49/$CS49-$CY49</f>
        <v>#DIV/0!</v>
      </c>
      <c r="DA49" s="82" t="e">
        <f>$CS49/$CS49-$CZ49-$CY49</f>
        <v>#DIV/0!</v>
      </c>
      <c r="DB49" s="82" t="e">
        <f>$CT49/$CW49</f>
        <v>#DIV/0!</v>
      </c>
      <c r="DC49" s="82" t="e">
        <f>$CU49/$CW49-$DB49</f>
        <v>#DIV/0!</v>
      </c>
      <c r="DD49" s="82" t="e">
        <f>$CV49/$CW49-$DC49-$DB49</f>
        <v>#DIV/0!</v>
      </c>
      <c r="DE49" s="82" t="e">
        <f>$CW49/$CW49-$DD49-$DC49-$DB49</f>
        <v>#DIV/0!</v>
      </c>
    </row>
    <row r="50" spans="1:109">
      <c r="A50" s="1">
        <f t="shared" si="46"/>
        <v>0</v>
      </c>
      <c r="B50" s="1"/>
      <c r="C50" s="1"/>
      <c r="J50" s="62"/>
      <c r="K50" s="62"/>
      <c r="L50" s="62"/>
      <c r="M50" s="62"/>
      <c r="N50" s="62"/>
      <c r="O50" s="62"/>
      <c r="P50" s="62"/>
      <c r="Q50" s="62"/>
      <c r="R50" s="62"/>
      <c r="S50" s="62"/>
      <c r="T50" s="62"/>
      <c r="U50" s="62"/>
      <c r="V50" s="62"/>
      <c r="W50" s="62"/>
      <c r="X50" s="63"/>
      <c r="Y50" s="63"/>
      <c r="Z50" s="63"/>
      <c r="AB50" s="62"/>
      <c r="AC50" s="62"/>
      <c r="AD50" s="62"/>
      <c r="AE50" s="62"/>
      <c r="AF50" s="62"/>
      <c r="AG50" s="62"/>
      <c r="AH50" s="62"/>
      <c r="AI50" s="62"/>
      <c r="AJ50" s="62"/>
      <c r="AK50" s="62"/>
      <c r="AL50" s="62"/>
      <c r="AM50" s="62"/>
      <c r="AN50" s="63"/>
      <c r="AO50" s="63"/>
      <c r="AP50" s="63"/>
      <c r="AQ50" s="1"/>
      <c r="AR50" s="1">
        <f>Constants!B$25</f>
        <v>2.2917410000000001E-6</v>
      </c>
      <c r="AS50" s="1">
        <f t="shared" si="31"/>
        <v>0</v>
      </c>
      <c r="AT50" s="1">
        <f t="shared" si="32"/>
        <v>9.9999999999999995E-7</v>
      </c>
      <c r="AU50" s="1" t="e">
        <f t="shared" si="42"/>
        <v>#NUM!</v>
      </c>
      <c r="AV50" s="1" t="e">
        <f t="shared" si="33"/>
        <v>#DIV/0!</v>
      </c>
      <c r="AW50" s="1" t="e">
        <f t="shared" si="43"/>
        <v>#NUM!</v>
      </c>
      <c r="AX50" s="1">
        <f t="shared" si="34"/>
        <v>0</v>
      </c>
      <c r="AY50" t="e">
        <f t="shared" si="25"/>
        <v>#DIV/0!</v>
      </c>
      <c r="AZ50" s="1" t="e">
        <f t="shared" si="35"/>
        <v>#DIV/0!</v>
      </c>
      <c r="BA50" s="1" t="e">
        <f t="shared" si="44"/>
        <v>#NUM!</v>
      </c>
      <c r="BB50" s="1" t="e">
        <f t="shared" si="36"/>
        <v>#NUM!</v>
      </c>
      <c r="BC50" s="1" t="e">
        <f t="shared" si="45"/>
        <v>#NUM!</v>
      </c>
      <c r="BD50" t="e">
        <f t="shared" si="37"/>
        <v>#NUM!</v>
      </c>
      <c r="BE50" s="1"/>
      <c r="BF50" s="32" t="e">
        <f t="shared" si="47"/>
        <v>#DIV/0!</v>
      </c>
      <c r="BG50" s="1" t="e">
        <f t="shared" si="48"/>
        <v>#DIV/0!</v>
      </c>
      <c r="BH50" s="1" t="e">
        <f t="shared" si="49"/>
        <v>#DIV/0!</v>
      </c>
      <c r="BI50" s="1" t="e">
        <f t="shared" si="50"/>
        <v>#NUM!</v>
      </c>
      <c r="BJ50" s="1" t="e">
        <f t="shared" si="51"/>
        <v>#NUM!</v>
      </c>
      <c r="BK50" s="1"/>
      <c r="BL50" s="1"/>
      <c r="BM50" s="1"/>
      <c r="BN50" s="1"/>
      <c r="BO50" s="1" t="e">
        <f t="shared" si="38"/>
        <v>#NUM!</v>
      </c>
      <c r="BP50" s="33" t="e">
        <f t="shared" si="39"/>
        <v>#NUM!</v>
      </c>
      <c r="BQ50" s="1"/>
      <c r="BR50" s="1"/>
      <c r="BS50" s="1" t="e">
        <f t="shared" si="40"/>
        <v>#DIV/0!</v>
      </c>
      <c r="BT50" s="1" t="e">
        <f t="shared" si="41"/>
        <v>#DIV/0!</v>
      </c>
      <c r="BU50" s="1"/>
      <c r="BV50" s="1"/>
      <c r="BW50" s="1"/>
      <c r="BX50" s="1"/>
      <c r="BY50" s="1"/>
      <c r="BZ50" s="1"/>
      <c r="CA50" s="1"/>
      <c r="CB50" s="1"/>
      <c r="CC50" t="e">
        <f>(Constants!$C$18/BO50)^(1/LN(Constants!$B$2/Constants!$B$4))</f>
        <v>#NUM!</v>
      </c>
      <c r="CD50" t="e">
        <f>ABS((Constants!$C$18/BO50)^(1/LN(Constants!$B$2/Constants!$B$4))-(Constants!$C$18/(BO50+BP50))^(1/LN(Constants!$B$2/Constants!$B$4)))</f>
        <v>#NUM!</v>
      </c>
      <c r="CK50" t="e">
        <f>BS50*$CC50^(LN(Constants!$B$2/Constants!$B$5))</f>
        <v>#DIV/0!</v>
      </c>
      <c r="CL50" s="33" t="e">
        <f>CK50*SQRT((BT50/BS50)^2+((BS50*($CC50+$CD50)^(LN(Constants!$B$2/Constants!$B$5))-CK50)/CK50)^2)</f>
        <v>#DIV/0!</v>
      </c>
    </row>
    <row r="51" spans="1:109">
      <c r="A51" s="73">
        <f t="shared" si="46"/>
        <v>0</v>
      </c>
      <c r="B51" t="str">
        <f>IF(NOT(ISBLANK($J51)),IF($T51&lt;Constants!$B$32,"low spike","OK"),"")</f>
        <v/>
      </c>
      <c r="C51" t="str">
        <f>IF(NOT(ISBLANK($J51)), IF((ABS($L50-$L52)/$L50)&gt;Constants!$B$33,"variable mass bias","OK"), "")</f>
        <v/>
      </c>
      <c r="D51" t="str">
        <f>IF(NOT(ISBLANK($J51)), IF((ABS($P50-$P52)/$P50)&gt;Constants!$B$34,"variable IC yield","OK"),"")</f>
        <v/>
      </c>
      <c r="E51" s="34" t="e">
        <f>CE51</f>
        <v>#DIV/0!</v>
      </c>
      <c r="F51" s="34" t="e">
        <f>CF51</f>
        <v>#DIV/0!</v>
      </c>
      <c r="G51" s="34" t="e">
        <f>CM51</f>
        <v>#DIV/0!</v>
      </c>
      <c r="H51" s="48" t="e">
        <f>CN51</f>
        <v>#DIV/0!</v>
      </c>
      <c r="I51" s="33"/>
      <c r="J51" s="62"/>
      <c r="K51" s="62"/>
      <c r="L51" s="62"/>
      <c r="M51" s="62"/>
      <c r="N51" s="62"/>
      <c r="O51" s="62"/>
      <c r="P51" s="62"/>
      <c r="Q51" s="62"/>
      <c r="R51" s="62"/>
      <c r="S51" s="62"/>
      <c r="T51" s="62"/>
      <c r="U51" s="62"/>
      <c r="V51" s="62"/>
      <c r="W51" s="62"/>
      <c r="X51" s="63"/>
      <c r="Y51" s="63"/>
      <c r="Z51" s="63"/>
      <c r="AB51" s="1">
        <f>R51</f>
        <v>0</v>
      </c>
      <c r="AC51" s="1">
        <f>S51</f>
        <v>0</v>
      </c>
      <c r="AD51" s="1">
        <f>T51</f>
        <v>0</v>
      </c>
      <c r="AE51" s="1">
        <f>U51</f>
        <v>0</v>
      </c>
      <c r="AF51" s="1" t="e">
        <f>AVERAGE(AF50/$AB50,AF52/$AB52)*$AB51</f>
        <v>#DIV/0!</v>
      </c>
      <c r="AG51" s="1" t="e">
        <f>AVERAGE(AG50/AF50,AG52/AF52)*AF51</f>
        <v>#DIV/0!</v>
      </c>
      <c r="AH51" s="1" t="e">
        <f>AVERAGE(AH50/$AB50,AH52/$AB52)*$AB51</f>
        <v>#DIV/0!</v>
      </c>
      <c r="AI51" s="1" t="e">
        <f>AVERAGE(AI50/AH50,AI52/AH52)*AH51</f>
        <v>#DIV/0!</v>
      </c>
      <c r="AJ51" s="1" t="e">
        <f>AVERAGE(AJ50/$AB50,AJ52/$AB52)*$AB51</f>
        <v>#DIV/0!</v>
      </c>
      <c r="AK51" s="1" t="e">
        <f>AVERAGE(AK50/AJ50,AK52/AJ52)*AJ51</f>
        <v>#DIV/0!</v>
      </c>
      <c r="AL51" s="1" t="e">
        <f>AVERAGE(AL50/$AB50,AL52/$AB52)*$AB51</f>
        <v>#DIV/0!</v>
      </c>
      <c r="AM51" s="1" t="e">
        <f>AVERAGE(AM50/AL50,AM52/AL52)*AL51</f>
        <v>#DIV/0!</v>
      </c>
      <c r="AR51" s="1">
        <f>Constants!B$25</f>
        <v>2.2917410000000001E-6</v>
      </c>
      <c r="AS51" s="1">
        <f t="shared" si="31"/>
        <v>0</v>
      </c>
      <c r="AT51" s="1">
        <f t="shared" si="32"/>
        <v>9.9999999999999995E-7</v>
      </c>
      <c r="AU51" s="1" t="e">
        <f t="shared" si="42"/>
        <v>#DIV/0!</v>
      </c>
      <c r="AV51" s="1" t="e">
        <f t="shared" si="33"/>
        <v>#DIV/0!</v>
      </c>
      <c r="AW51" s="1" t="e">
        <f t="shared" si="43"/>
        <v>#DIV/0!</v>
      </c>
      <c r="AX51" s="1">
        <f t="shared" si="34"/>
        <v>0</v>
      </c>
      <c r="AY51" t="e">
        <f t="shared" si="25"/>
        <v>#DIV/0!</v>
      </c>
      <c r="AZ51" s="1" t="e">
        <f t="shared" si="35"/>
        <v>#DIV/0!</v>
      </c>
      <c r="BA51" s="1" t="e">
        <f t="shared" si="44"/>
        <v>#DIV/0!</v>
      </c>
      <c r="BB51" s="1" t="e">
        <f t="shared" si="36"/>
        <v>#DIV/0!</v>
      </c>
      <c r="BC51" s="1" t="e">
        <f t="shared" si="26"/>
        <v>#DIV/0!</v>
      </c>
      <c r="BD51" t="e">
        <f t="shared" si="37"/>
        <v>#DIV/0!</v>
      </c>
      <c r="BF51" s="32" t="e">
        <f t="shared" si="47"/>
        <v>#DIV/0!</v>
      </c>
      <c r="BG51" s="1" t="e">
        <f t="shared" si="48"/>
        <v>#DIV/0!</v>
      </c>
      <c r="BH51" s="1" t="e">
        <f t="shared" si="49"/>
        <v>#DIV/0!</v>
      </c>
      <c r="BI51" s="1" t="e">
        <f t="shared" si="50"/>
        <v>#DIV/0!</v>
      </c>
      <c r="BJ51" s="1" t="e">
        <f t="shared" si="51"/>
        <v>#DIV/0!</v>
      </c>
      <c r="BK51" s="1" t="e">
        <f>AU51/AT51/62415093</f>
        <v>#DIV/0!</v>
      </c>
      <c r="BL51" s="1" t="e">
        <f>BK51*0.1</f>
        <v>#DIV/0!</v>
      </c>
      <c r="BM51" s="1" t="e">
        <f>J51/(1-(AU51/62415093)/AT51)</f>
        <v>#DIV/0!</v>
      </c>
      <c r="BN51" s="33" t="e">
        <f>SQRT((K51/(1-BK51))^2+(BL51*J51/(1-BK51)^2)^2)</f>
        <v>#DIV/0!</v>
      </c>
      <c r="BO51" s="1" t="e">
        <f t="shared" si="38"/>
        <v>#DIV/0!</v>
      </c>
      <c r="BP51" s="33" t="e">
        <f t="shared" si="39"/>
        <v>#DIV/0!</v>
      </c>
      <c r="BQ51" s="1" t="e">
        <f>N51*(1-BK51)</f>
        <v>#DIV/0!</v>
      </c>
      <c r="BR51" t="e">
        <f>SQRT(O51^2+BL51^2)</f>
        <v>#DIV/0!</v>
      </c>
      <c r="BS51" s="1" t="e">
        <f t="shared" si="40"/>
        <v>#DIV/0!</v>
      </c>
      <c r="BT51" s="1" t="e">
        <f t="shared" si="41"/>
        <v>#DIV/0!</v>
      </c>
      <c r="BU51" t="e">
        <f>(Constants!$C$19/$BQ51)^(1/LN(Constants!$B$3/Constants!$B$6))</f>
        <v>#DIV/0!</v>
      </c>
      <c r="BV51" t="e">
        <f>(Constants!$C$19/($BQ51-BR51))^(1/LN(Constants!$B$3/Constants!$B$6))-BU51</f>
        <v>#DIV/0!</v>
      </c>
      <c r="BW51" t="e">
        <f>$BM51*BU51^(LN(Constants!$B$2/Constants!$B$3))</f>
        <v>#DIV/0!</v>
      </c>
      <c r="BX51" s="33" t="e">
        <f>BW51*SQRT((BN51/BM51)^2+(((BM51*($BU51+$BV51)^LN(Constants!$B$2/Constants!$B$3))-BW51)/BW51)^2)</f>
        <v>#DIV/0!</v>
      </c>
      <c r="BY51" t="e">
        <f>BO51*BU51^(LN(Constants!$B$2/Constants!$B$4))</f>
        <v>#DIV/0!</v>
      </c>
      <c r="BZ51" s="33" t="e">
        <f>BY51*SQRT((BP51/BO51)^2+(((BO51*($BU51+$BV51)^LN(Constants!$B$2/Constants!$B$4))-BY51)/BY51)^2)</f>
        <v>#DIV/0!</v>
      </c>
      <c r="CA51" t="e">
        <f>BS51*BU51^(LN(Constants!$B$2/Constants!$B$5))</f>
        <v>#DIV/0!</v>
      </c>
      <c r="CB51" s="33" t="e">
        <f>CA51*SQRT((BT51/BS51)^2+(((BS51*($BU51+$BV51)^LN(Constants!$B$2/Constants!$B$5))-CA51)/CA51)^2)</f>
        <v>#DIV/0!</v>
      </c>
      <c r="CC51" t="e">
        <f>(Constants!$C$18/AVERAGE(BO50,BO52))^(1/LN(Constants!$B$2/Constants!$B$4))</f>
        <v>#NUM!</v>
      </c>
      <c r="CD51" t="e">
        <f>MAX(ABS((Constants!$C$18/BO50)^(1/LN(Constants!$B$2/Constants!$B$4))-(Constants!$C$18/BO52)^(1/LN(Constants!$B$2/Constants!$B$4))),CD50,CD52)</f>
        <v>#NUM!</v>
      </c>
      <c r="CE51" t="e">
        <f>$BM51*CC51^(LN(Constants!$B$2/Constants!$B$3))</f>
        <v>#DIV/0!</v>
      </c>
      <c r="CF51" s="33" t="e">
        <f>CE51*SQRT((BN51/BM51)^2+(($BM51*($CC51+$CD51)^(LN(Constants!$B$2/Constants!$B$3))-CE51)/CE51)^2)</f>
        <v>#DIV/0!</v>
      </c>
      <c r="CG51" t="e">
        <f>BO51*CC51^(LN(Constants!$B$2/Constants!$B$4))</f>
        <v>#DIV/0!</v>
      </c>
      <c r="CH51" s="33" t="e">
        <f>CG51*SQRT((BP51/BO51)^2+((BO51*($CC51+$CD51)^(LN(Constants!$B$2/Constants!$B$4))-CG51)/CG51)^2)</f>
        <v>#DIV/0!</v>
      </c>
      <c r="CI51" t="e">
        <f>BQ51*$CC51^(LN(Constants!$B$3/Constants!$B$6))</f>
        <v>#DIV/0!</v>
      </c>
      <c r="CJ51" s="33" t="e">
        <f>CI51*SQRT((BR51/BQ51)^2+((BQ51*($CC51+$CD51)^(LN(Constants!$B$3/Constants!$B$6))-CI51)/CI51)^2)</f>
        <v>#DIV/0!</v>
      </c>
      <c r="CK51" t="e">
        <f>BS51*CC51^(LN(Constants!$B$2/Constants!$B$5))</f>
        <v>#DIV/0!</v>
      </c>
      <c r="CL51" s="33" t="e">
        <f>CK51*SQRT((BT51/BS51)^2+((BS51*($CC51+$CD51)^(LN(Constants!$B$2/Constants!$B$5))-CK51)/CK51)^2)</f>
        <v>#DIV/0!</v>
      </c>
      <c r="CM51" t="e">
        <f>CK51*Constants!$C$17/AVERAGE(CK50,CK52)</f>
        <v>#DIV/0!</v>
      </c>
      <c r="CN51" t="e">
        <f>CM51*SQRT(((CK50-CK52)/CK52/4)^2+(CL51/CK51)^2+AVERAGE(CL50/CK50,CL52/CK52)^2)</f>
        <v>#DIV/0!</v>
      </c>
      <c r="CO51" t="e">
        <f>1/CM51*CE51*CI51</f>
        <v>#DIV/0!</v>
      </c>
      <c r="CQ51" t="e">
        <f>$K51/$J51</f>
        <v>#DIV/0!</v>
      </c>
      <c r="CR51" t="e">
        <f>$BN51/$BM51</f>
        <v>#DIV/0!</v>
      </c>
      <c r="CS51" t="e">
        <f>$CF51/$CE51</f>
        <v>#DIV/0!</v>
      </c>
      <c r="CT51" t="e">
        <f>$Q51/$P51</f>
        <v>#DIV/0!</v>
      </c>
      <c r="CU51" t="e">
        <f>$BT51/$BS51</f>
        <v>#DIV/0!</v>
      </c>
      <c r="CV51" t="e">
        <f>$CL51/$CK51</f>
        <v>#DIV/0!</v>
      </c>
      <c r="CW51" t="e">
        <f>$CN51/$CM51</f>
        <v>#DIV/0!</v>
      </c>
      <c r="CY51" s="82" t="e">
        <f>$CQ51/$CS51</f>
        <v>#DIV/0!</v>
      </c>
      <c r="CZ51" s="82" t="e">
        <f>$CR51/$CS51-$CY51</f>
        <v>#DIV/0!</v>
      </c>
      <c r="DA51" s="82" t="e">
        <f>$CS51/$CS51-$CZ51-$CY51</f>
        <v>#DIV/0!</v>
      </c>
      <c r="DB51" s="82" t="e">
        <f>$CT51/$CW51</f>
        <v>#DIV/0!</v>
      </c>
      <c r="DC51" s="82" t="e">
        <f>$CU51/$CW51-$DB51</f>
        <v>#DIV/0!</v>
      </c>
      <c r="DD51" s="82" t="e">
        <f>$CV51/$CW51-$DC51-$DB51</f>
        <v>#DIV/0!</v>
      </c>
      <c r="DE51" s="82" t="e">
        <f>$CW51/$CW51-$DD51-$DC51-$DB51</f>
        <v>#DIV/0!</v>
      </c>
    </row>
    <row r="52" spans="1:109">
      <c r="A52" s="1">
        <f t="shared" si="46"/>
        <v>0</v>
      </c>
      <c r="B52" s="1"/>
      <c r="C52" s="1"/>
      <c r="J52" s="62"/>
      <c r="K52" s="62"/>
      <c r="L52" s="62"/>
      <c r="M52" s="62"/>
      <c r="N52" s="62"/>
      <c r="O52" s="62"/>
      <c r="P52" s="62"/>
      <c r="Q52" s="62"/>
      <c r="R52" s="62"/>
      <c r="S52" s="62"/>
      <c r="T52" s="62"/>
      <c r="U52" s="62"/>
      <c r="V52" s="62"/>
      <c r="W52" s="62"/>
      <c r="X52" s="63"/>
      <c r="Y52" s="63"/>
      <c r="Z52" s="63"/>
      <c r="AB52" s="62"/>
      <c r="AC52" s="62"/>
      <c r="AD52" s="62"/>
      <c r="AE52" s="62"/>
      <c r="AF52" s="62"/>
      <c r="AG52" s="62"/>
      <c r="AH52" s="62"/>
      <c r="AI52" s="62"/>
      <c r="AJ52" s="62"/>
      <c r="AK52" s="62"/>
      <c r="AL52" s="62"/>
      <c r="AM52" s="62"/>
      <c r="AN52" s="63"/>
      <c r="AO52" s="63"/>
      <c r="AP52" s="63"/>
      <c r="AQ52" s="1"/>
      <c r="AR52" s="1">
        <f>Constants!B$25</f>
        <v>2.2917410000000001E-6</v>
      </c>
      <c r="AS52" s="1">
        <f t="shared" si="31"/>
        <v>0</v>
      </c>
      <c r="AT52" s="1">
        <f t="shared" si="32"/>
        <v>9.9999999999999995E-7</v>
      </c>
      <c r="AU52" s="1" t="e">
        <f t="shared" si="42"/>
        <v>#NUM!</v>
      </c>
      <c r="AV52" s="1" t="e">
        <f t="shared" si="33"/>
        <v>#DIV/0!</v>
      </c>
      <c r="AW52" s="1" t="e">
        <f t="shared" si="43"/>
        <v>#NUM!</v>
      </c>
      <c r="AX52" s="1">
        <f t="shared" si="34"/>
        <v>0</v>
      </c>
      <c r="AY52" t="e">
        <f t="shared" si="25"/>
        <v>#DIV/0!</v>
      </c>
      <c r="AZ52" s="1" t="e">
        <f t="shared" si="35"/>
        <v>#DIV/0!</v>
      </c>
      <c r="BA52" s="1" t="e">
        <f t="shared" si="44"/>
        <v>#NUM!</v>
      </c>
      <c r="BB52" s="1" t="e">
        <f t="shared" si="36"/>
        <v>#NUM!</v>
      </c>
      <c r="BC52" s="1" t="e">
        <f t="shared" si="45"/>
        <v>#NUM!</v>
      </c>
      <c r="BD52" t="e">
        <f t="shared" si="37"/>
        <v>#NUM!</v>
      </c>
      <c r="BE52" s="1"/>
      <c r="BF52" s="32" t="e">
        <f t="shared" si="47"/>
        <v>#DIV/0!</v>
      </c>
      <c r="BG52" s="1" t="e">
        <f t="shared" si="48"/>
        <v>#DIV/0!</v>
      </c>
      <c r="BH52" s="1" t="e">
        <f t="shared" si="49"/>
        <v>#DIV/0!</v>
      </c>
      <c r="BI52" s="1" t="e">
        <f t="shared" si="50"/>
        <v>#NUM!</v>
      </c>
      <c r="BJ52" s="1" t="e">
        <f t="shared" si="51"/>
        <v>#NUM!</v>
      </c>
      <c r="BK52" s="1"/>
      <c r="BL52" s="1"/>
      <c r="BM52" s="1"/>
      <c r="BN52" s="1"/>
      <c r="BO52" s="1" t="e">
        <f t="shared" si="38"/>
        <v>#NUM!</v>
      </c>
      <c r="BP52" s="33" t="e">
        <f t="shared" si="39"/>
        <v>#NUM!</v>
      </c>
      <c r="BQ52" s="1"/>
      <c r="BR52" s="1"/>
      <c r="BS52" s="1" t="e">
        <f t="shared" si="40"/>
        <v>#DIV/0!</v>
      </c>
      <c r="BT52" s="1" t="e">
        <f t="shared" si="41"/>
        <v>#DIV/0!</v>
      </c>
      <c r="BU52" s="1"/>
      <c r="BV52" s="1"/>
      <c r="BW52" s="1"/>
      <c r="BX52" s="1"/>
      <c r="BY52" s="1"/>
      <c r="BZ52" s="1"/>
      <c r="CA52" s="1"/>
      <c r="CB52" s="1"/>
      <c r="CC52" t="e">
        <f>(Constants!$C$18/BO52)^(1/LN(Constants!$B$2/Constants!$B$4))</f>
        <v>#NUM!</v>
      </c>
      <c r="CD52" t="e">
        <f>ABS((Constants!$C$18/BO52)^(1/LN(Constants!$B$2/Constants!$B$4))-(Constants!$C$18/(BO52+BP52))^(1/LN(Constants!$B$2/Constants!$B$4)))</f>
        <v>#NUM!</v>
      </c>
      <c r="CK52" t="e">
        <f>BS52*$CC52^(LN(Constants!$B$2/Constants!$B$5))</f>
        <v>#DIV/0!</v>
      </c>
      <c r="CL52" s="33" t="e">
        <f>CK52*SQRT((BT52/BS52)^2+((BS52*($CC52+$CD52)^(LN(Constants!$B$2/Constants!$B$5))-CK52)/CK52)^2)</f>
        <v>#DIV/0!</v>
      </c>
      <c r="CR52" s="1"/>
      <c r="CS52" s="1"/>
      <c r="CU52" s="1"/>
      <c r="CV52" s="1"/>
      <c r="CW52" s="1"/>
    </row>
    <row r="53" spans="1:109">
      <c r="A53" s="73">
        <f t="shared" si="46"/>
        <v>0</v>
      </c>
      <c r="B53" t="str">
        <f>IF(NOT(ISBLANK($J53)),IF($T53&lt;Constants!$B$32,"low spike","OK"),"")</f>
        <v/>
      </c>
      <c r="C53" t="str">
        <f>IF(NOT(ISBLANK($J53)), IF((ABS($L52-$L54)/$L52)&gt;Constants!$B$33,"variable mass bias","OK"), "")</f>
        <v/>
      </c>
      <c r="D53" t="str">
        <f>IF(NOT(ISBLANK($J53)), IF((ABS($P52-$P54)/$P52)&gt;Constants!$B$34,"variable IC yield","OK"),"")</f>
        <v/>
      </c>
      <c r="E53" s="34" t="e">
        <f>CE53</f>
        <v>#DIV/0!</v>
      </c>
      <c r="F53" s="34" t="e">
        <f>CF53</f>
        <v>#DIV/0!</v>
      </c>
      <c r="G53" s="34" t="e">
        <f>CM53</f>
        <v>#DIV/0!</v>
      </c>
      <c r="H53" s="48" t="e">
        <f>CN53</f>
        <v>#DIV/0!</v>
      </c>
      <c r="I53" s="33"/>
      <c r="J53" s="62"/>
      <c r="K53" s="62"/>
      <c r="L53" s="62"/>
      <c r="M53" s="62"/>
      <c r="N53" s="62"/>
      <c r="O53" s="62"/>
      <c r="P53" s="62"/>
      <c r="Q53" s="62"/>
      <c r="R53" s="62"/>
      <c r="S53" s="62"/>
      <c r="T53" s="62"/>
      <c r="U53" s="62"/>
      <c r="V53" s="62"/>
      <c r="W53" s="62"/>
      <c r="X53" s="63"/>
      <c r="Y53" s="63"/>
      <c r="Z53" s="63"/>
      <c r="AB53" s="1">
        <f>R53</f>
        <v>0</v>
      </c>
      <c r="AC53" s="1">
        <f>S53</f>
        <v>0</v>
      </c>
      <c r="AD53" s="1">
        <f>T53</f>
        <v>0</v>
      </c>
      <c r="AE53" s="1">
        <f>U53</f>
        <v>0</v>
      </c>
      <c r="AF53" s="1" t="e">
        <f>AVERAGE(AF52/$AB52,AF54/$AB54)*$AB53</f>
        <v>#DIV/0!</v>
      </c>
      <c r="AG53" s="1" t="e">
        <f>AVERAGE(AG52/AF52,AG54/AF54)*AF53</f>
        <v>#DIV/0!</v>
      </c>
      <c r="AH53" s="1" t="e">
        <f>AVERAGE(AH52/$AB52,AH54/$AB54)*$AB53</f>
        <v>#DIV/0!</v>
      </c>
      <c r="AI53" s="1" t="e">
        <f>AVERAGE(AI52/AH52,AI54/AH54)*AH53</f>
        <v>#DIV/0!</v>
      </c>
      <c r="AJ53" s="1" t="e">
        <f>AVERAGE(AJ52/$AB52,AJ54/$AB54)*$AB53</f>
        <v>#DIV/0!</v>
      </c>
      <c r="AK53" s="1" t="e">
        <f>AVERAGE(AK52/AJ52,AK54/AJ54)*AJ53</f>
        <v>#DIV/0!</v>
      </c>
      <c r="AL53" s="1" t="e">
        <f>AVERAGE(AL52/$AB52,AL54/$AB54)*$AB53</f>
        <v>#DIV/0!</v>
      </c>
      <c r="AM53" s="1" t="e">
        <f>AVERAGE(AM52/AL52,AM54/AL54)*AL53</f>
        <v>#DIV/0!</v>
      </c>
      <c r="AR53" s="1">
        <f>Constants!B$25</f>
        <v>2.2917410000000001E-6</v>
      </c>
      <c r="AS53" s="1">
        <f t="shared" si="31"/>
        <v>0</v>
      </c>
      <c r="AT53" s="1">
        <f t="shared" si="32"/>
        <v>9.9999999999999995E-7</v>
      </c>
      <c r="AU53" s="1" t="e">
        <f t="shared" si="42"/>
        <v>#DIV/0!</v>
      </c>
      <c r="AV53" s="1" t="e">
        <f t="shared" si="33"/>
        <v>#DIV/0!</v>
      </c>
      <c r="AW53" s="1" t="e">
        <f t="shared" si="43"/>
        <v>#DIV/0!</v>
      </c>
      <c r="AX53" s="1">
        <f t="shared" si="34"/>
        <v>0</v>
      </c>
      <c r="AY53" t="e">
        <f t="shared" si="25"/>
        <v>#DIV/0!</v>
      </c>
      <c r="AZ53" s="1" t="e">
        <f t="shared" si="35"/>
        <v>#DIV/0!</v>
      </c>
      <c r="BA53" s="1" t="e">
        <f t="shared" si="44"/>
        <v>#DIV/0!</v>
      </c>
      <c r="BB53" s="1" t="e">
        <f t="shared" si="36"/>
        <v>#DIV/0!</v>
      </c>
      <c r="BC53" s="1" t="e">
        <f t="shared" si="26"/>
        <v>#DIV/0!</v>
      </c>
      <c r="BD53" t="e">
        <f t="shared" si="37"/>
        <v>#DIV/0!</v>
      </c>
      <c r="BF53" s="32" t="e">
        <f t="shared" si="47"/>
        <v>#DIV/0!</v>
      </c>
      <c r="BG53" s="1" t="e">
        <f t="shared" si="48"/>
        <v>#DIV/0!</v>
      </c>
      <c r="BH53" s="1" t="e">
        <f t="shared" si="49"/>
        <v>#DIV/0!</v>
      </c>
      <c r="BI53" s="1" t="e">
        <f t="shared" si="50"/>
        <v>#DIV/0!</v>
      </c>
      <c r="BJ53" s="1" t="e">
        <f t="shared" si="51"/>
        <v>#DIV/0!</v>
      </c>
      <c r="BK53" s="1" t="e">
        <f>AU53/AT53/62415093</f>
        <v>#DIV/0!</v>
      </c>
      <c r="BL53" s="1" t="e">
        <f>BK53*0.1</f>
        <v>#DIV/0!</v>
      </c>
      <c r="BM53" s="1" t="e">
        <f>J53/(1-(AU53/62415093)/AT53)</f>
        <v>#DIV/0!</v>
      </c>
      <c r="BN53" s="33" t="e">
        <f>SQRT((K53/(1-BK53))^2+(BL53*J53/(1-BK53)^2)^2)</f>
        <v>#DIV/0!</v>
      </c>
      <c r="BO53" s="1" t="e">
        <f t="shared" si="38"/>
        <v>#DIV/0!</v>
      </c>
      <c r="BP53" s="33" t="e">
        <f t="shared" si="39"/>
        <v>#DIV/0!</v>
      </c>
      <c r="BQ53" s="1" t="e">
        <f>N53*(1-BK53)</f>
        <v>#DIV/0!</v>
      </c>
      <c r="BR53" t="e">
        <f>SQRT(O53^2+BL53^2)</f>
        <v>#DIV/0!</v>
      </c>
      <c r="BS53" s="1" t="e">
        <f t="shared" si="40"/>
        <v>#DIV/0!</v>
      </c>
      <c r="BT53" s="1" t="e">
        <f t="shared" si="41"/>
        <v>#DIV/0!</v>
      </c>
      <c r="BU53" t="e">
        <f>(Constants!$C$19/$BQ53)^(1/LN(Constants!$B$3/Constants!$B$6))</f>
        <v>#DIV/0!</v>
      </c>
      <c r="BV53" t="e">
        <f>(Constants!$C$19/($BQ53-BR53))^(1/LN(Constants!$B$3/Constants!$B$6))-BU53</f>
        <v>#DIV/0!</v>
      </c>
      <c r="BW53" t="e">
        <f>$BM53*BU53^(LN(Constants!$B$2/Constants!$B$3))</f>
        <v>#DIV/0!</v>
      </c>
      <c r="BX53" s="33" t="e">
        <f>BW53*SQRT((BN53/BM53)^2+(((BM53*($BU53+$BV53)^LN(Constants!$B$2/Constants!$B$3))-BW53)/BW53)^2)</f>
        <v>#DIV/0!</v>
      </c>
      <c r="BY53" t="e">
        <f>BO53*BU53^(LN(Constants!$B$2/Constants!$B$4))</f>
        <v>#DIV/0!</v>
      </c>
      <c r="BZ53" s="33" t="e">
        <f>BY53*SQRT((BP53/BO53)^2+(((BO53*($BU53+$BV53)^LN(Constants!$B$2/Constants!$B$4))-BY53)/BY53)^2)</f>
        <v>#DIV/0!</v>
      </c>
      <c r="CA53" t="e">
        <f>BS53*BU53^(LN(Constants!$B$2/Constants!$B$5))</f>
        <v>#DIV/0!</v>
      </c>
      <c r="CB53" s="33" t="e">
        <f>CA53*SQRT((BT53/BS53)^2+(((BS53*($BU53+$BV53)^LN(Constants!$B$2/Constants!$B$5))-CA53)/CA53)^2)</f>
        <v>#DIV/0!</v>
      </c>
      <c r="CC53" t="e">
        <f>(Constants!$C$18/AVERAGE(BO52,BO54))^(1/LN(Constants!$B$2/Constants!$B$4))</f>
        <v>#NUM!</v>
      </c>
      <c r="CD53" t="e">
        <f>MAX(ABS((Constants!$C$18/BO52)^(1/LN(Constants!$B$2/Constants!$B$4))-(Constants!$C$18/BO54)^(1/LN(Constants!$B$2/Constants!$B$4))),CD52,CD54)</f>
        <v>#NUM!</v>
      </c>
      <c r="CE53" t="e">
        <f>$BM53*CC53^(LN(Constants!$B$2/Constants!$B$3))</f>
        <v>#DIV/0!</v>
      </c>
      <c r="CF53" s="33" t="e">
        <f>CE53*SQRT((BN53/BM53)^2+(($BM53*($CC53+$CD53)^(LN(Constants!$B$2/Constants!$B$3))-CE53)/CE53)^2)</f>
        <v>#DIV/0!</v>
      </c>
      <c r="CG53" t="e">
        <f>BO53*CC53^(LN(Constants!$B$2/Constants!$B$4))</f>
        <v>#DIV/0!</v>
      </c>
      <c r="CH53" s="33" t="e">
        <f>CG53*SQRT((BP53/BO53)^2+((BO53*($CC53+$CD53)^(LN(Constants!$B$2/Constants!$B$4))-CG53)/CG53)^2)</f>
        <v>#DIV/0!</v>
      </c>
      <c r="CI53" t="e">
        <f>BQ53*$CC53^(LN(Constants!$B$3/Constants!$B$6))</f>
        <v>#DIV/0!</v>
      </c>
      <c r="CJ53" s="33" t="e">
        <f>CI53*SQRT((BR53/BQ53)^2+((BQ53*($CC53+$CD53)^(LN(Constants!$B$3/Constants!$B$6))-CI53)/CI53)^2)</f>
        <v>#DIV/0!</v>
      </c>
      <c r="CK53" t="e">
        <f>BS53*CC53^(LN(Constants!$B$2/Constants!$B$5))</f>
        <v>#DIV/0!</v>
      </c>
      <c r="CL53" s="33" t="e">
        <f>CK53*SQRT((BT53/BS53)^2+((BS53*($CC53+$CD53)^(LN(Constants!$B$2/Constants!$B$5))-CK53)/CK53)^2)</f>
        <v>#DIV/0!</v>
      </c>
      <c r="CM53" t="e">
        <f>CK53*Constants!$C$17/AVERAGE(CK52,CK54)</f>
        <v>#DIV/0!</v>
      </c>
      <c r="CN53" t="e">
        <f>CM53*SQRT(((CK52-CK54)/CK54/4)^2+(CL53/CK53)^2+AVERAGE(CL52/CK52,CL54/CK54)^2)</f>
        <v>#DIV/0!</v>
      </c>
      <c r="CO53" t="e">
        <f>1/CM53*CE53*CI53</f>
        <v>#DIV/0!</v>
      </c>
      <c r="CQ53" t="e">
        <f>$K53/$J53</f>
        <v>#DIV/0!</v>
      </c>
      <c r="CR53" t="e">
        <f>$BN53/$BM53</f>
        <v>#DIV/0!</v>
      </c>
      <c r="CS53" t="e">
        <f>$CF53/$CE53</f>
        <v>#DIV/0!</v>
      </c>
      <c r="CT53" t="e">
        <f>$Q53/$P53</f>
        <v>#DIV/0!</v>
      </c>
      <c r="CU53" t="e">
        <f>$BT53/$BS53</f>
        <v>#DIV/0!</v>
      </c>
      <c r="CV53" t="e">
        <f>$CL53/$CK53</f>
        <v>#DIV/0!</v>
      </c>
      <c r="CW53" t="e">
        <f>$CN53/$CM53</f>
        <v>#DIV/0!</v>
      </c>
      <c r="CY53" s="82" t="e">
        <f>$CQ53/$CS53</f>
        <v>#DIV/0!</v>
      </c>
      <c r="CZ53" s="82" t="e">
        <f>$CR53/$CS53-$CY53</f>
        <v>#DIV/0!</v>
      </c>
      <c r="DA53" s="82" t="e">
        <f>$CS53/$CS53-$CZ53-$CY53</f>
        <v>#DIV/0!</v>
      </c>
      <c r="DB53" s="82" t="e">
        <f>$CT53/$CW53</f>
        <v>#DIV/0!</v>
      </c>
      <c r="DC53" s="82" t="e">
        <f>$CU53/$CW53-$DB53</f>
        <v>#DIV/0!</v>
      </c>
      <c r="DD53" s="82" t="e">
        <f>$CV53/$CW53-$DC53-$DB53</f>
        <v>#DIV/0!</v>
      </c>
      <c r="DE53" s="82" t="e">
        <f>$CW53/$CW53-$DD53-$DC53-$DB53</f>
        <v>#DIV/0!</v>
      </c>
    </row>
    <row r="54" spans="1:109">
      <c r="A54" s="1">
        <f t="shared" si="46"/>
        <v>0</v>
      </c>
      <c r="B54" s="1"/>
      <c r="C54" s="1"/>
      <c r="J54" s="62"/>
      <c r="K54" s="62"/>
      <c r="L54" s="62"/>
      <c r="M54" s="62"/>
      <c r="N54" s="62"/>
      <c r="O54" s="62"/>
      <c r="P54" s="62"/>
      <c r="Q54" s="62"/>
      <c r="R54" s="62"/>
      <c r="S54" s="62"/>
      <c r="T54" s="62"/>
      <c r="U54" s="62"/>
      <c r="V54" s="62"/>
      <c r="W54" s="62"/>
      <c r="X54" s="63"/>
      <c r="Y54" s="63"/>
      <c r="Z54" s="63"/>
      <c r="AB54" s="62"/>
      <c r="AC54" s="62"/>
      <c r="AD54" s="62"/>
      <c r="AE54" s="62"/>
      <c r="AF54" s="62"/>
      <c r="AG54" s="62"/>
      <c r="AH54" s="62"/>
      <c r="AI54" s="62"/>
      <c r="AJ54" s="62"/>
      <c r="AK54" s="62"/>
      <c r="AL54" s="62"/>
      <c r="AM54" s="62"/>
      <c r="AN54" s="63"/>
      <c r="AO54" s="63"/>
      <c r="AP54" s="63"/>
      <c r="AQ54" s="1"/>
      <c r="AR54" s="1">
        <f>Constants!B$25</f>
        <v>2.2917410000000001E-6</v>
      </c>
      <c r="AS54" s="1">
        <f t="shared" si="31"/>
        <v>0</v>
      </c>
      <c r="AT54" s="1">
        <f t="shared" si="32"/>
        <v>9.9999999999999995E-7</v>
      </c>
      <c r="AU54" s="1" t="e">
        <f t="shared" si="42"/>
        <v>#NUM!</v>
      </c>
      <c r="AV54" s="1" t="e">
        <f t="shared" si="33"/>
        <v>#DIV/0!</v>
      </c>
      <c r="AW54" s="1" t="e">
        <f t="shared" si="43"/>
        <v>#NUM!</v>
      </c>
      <c r="AX54" s="1">
        <f t="shared" si="34"/>
        <v>0</v>
      </c>
      <c r="AY54" t="e">
        <f t="shared" si="25"/>
        <v>#DIV/0!</v>
      </c>
      <c r="AZ54" s="1" t="e">
        <f t="shared" si="35"/>
        <v>#DIV/0!</v>
      </c>
      <c r="BA54" s="1" t="e">
        <f t="shared" si="44"/>
        <v>#NUM!</v>
      </c>
      <c r="BB54" s="1" t="e">
        <f t="shared" si="36"/>
        <v>#NUM!</v>
      </c>
      <c r="BC54" s="1" t="e">
        <f t="shared" si="45"/>
        <v>#NUM!</v>
      </c>
      <c r="BD54" t="e">
        <f t="shared" si="37"/>
        <v>#NUM!</v>
      </c>
      <c r="BE54" s="1"/>
      <c r="BF54" s="32" t="e">
        <f t="shared" si="47"/>
        <v>#DIV/0!</v>
      </c>
      <c r="BG54" s="1" t="e">
        <f t="shared" si="48"/>
        <v>#DIV/0!</v>
      </c>
      <c r="BH54" s="1" t="e">
        <f t="shared" si="49"/>
        <v>#DIV/0!</v>
      </c>
      <c r="BI54" s="1" t="e">
        <f t="shared" si="50"/>
        <v>#NUM!</v>
      </c>
      <c r="BJ54" s="1" t="e">
        <f t="shared" si="51"/>
        <v>#NUM!</v>
      </c>
      <c r="BK54" s="1"/>
      <c r="BL54" s="1"/>
      <c r="BM54" s="1"/>
      <c r="BN54" s="1"/>
      <c r="BO54" s="1" t="e">
        <f t="shared" si="38"/>
        <v>#NUM!</v>
      </c>
      <c r="BP54" s="33" t="e">
        <f t="shared" si="39"/>
        <v>#NUM!</v>
      </c>
      <c r="BQ54" s="1"/>
      <c r="BR54" s="1"/>
      <c r="BS54" s="1" t="e">
        <f t="shared" si="40"/>
        <v>#DIV/0!</v>
      </c>
      <c r="BT54" s="1" t="e">
        <f t="shared" si="41"/>
        <v>#DIV/0!</v>
      </c>
      <c r="BU54" s="1"/>
      <c r="BV54" s="1"/>
      <c r="BW54" s="1"/>
      <c r="BX54" s="1"/>
      <c r="BY54" s="1"/>
      <c r="BZ54" s="1"/>
      <c r="CA54" s="1"/>
      <c r="CB54" s="1"/>
      <c r="CC54" t="e">
        <f>(Constants!$C$18/BO54)^(1/LN(Constants!$B$2/Constants!$B$4))</f>
        <v>#NUM!</v>
      </c>
      <c r="CD54" t="e">
        <f>ABS((Constants!$C$18/BO54)^(1/LN(Constants!$B$2/Constants!$B$4))-(Constants!$C$18/(BO54+BP54))^(1/LN(Constants!$B$2/Constants!$B$4)))</f>
        <v>#NUM!</v>
      </c>
      <c r="CK54" t="e">
        <f>BS54*$CC54^(LN(Constants!$B$2/Constants!$B$5))</f>
        <v>#DIV/0!</v>
      </c>
      <c r="CL54" s="33" t="e">
        <f>CK54*SQRT((BT54/BS54)^2+((BS54*($CC54+$CD54)^(LN(Constants!$B$2/Constants!$B$5))-CK54)/CK54)^2)</f>
        <v>#DIV/0!</v>
      </c>
    </row>
    <row r="55" spans="1:109">
      <c r="A55" s="73">
        <f t="shared" si="46"/>
        <v>0</v>
      </c>
      <c r="B55" t="str">
        <f>IF(NOT(ISBLANK($J55)),IF($T55&lt;Constants!$B$32,"low spike","OK"),"")</f>
        <v/>
      </c>
      <c r="C55" t="str">
        <f>IF(NOT(ISBLANK($J55)), IF((ABS($L54-$L56)/$L54)&gt;Constants!$B$33,"variable mass bias","OK"), "")</f>
        <v/>
      </c>
      <c r="D55" t="str">
        <f>IF(NOT(ISBLANK($J55)), IF((ABS($P54-$P56)/$P54)&gt;Constants!$B$34,"variable IC yield","OK"),"")</f>
        <v/>
      </c>
      <c r="E55" s="34" t="e">
        <f>CE55</f>
        <v>#DIV/0!</v>
      </c>
      <c r="F55" s="34" t="e">
        <f>CF55</f>
        <v>#DIV/0!</v>
      </c>
      <c r="G55" s="34" t="e">
        <f>CM55</f>
        <v>#DIV/0!</v>
      </c>
      <c r="H55" s="48" t="e">
        <f>CN55</f>
        <v>#DIV/0!</v>
      </c>
      <c r="I55" s="33"/>
      <c r="J55" s="62"/>
      <c r="K55" s="62"/>
      <c r="L55" s="62"/>
      <c r="M55" s="62"/>
      <c r="N55" s="62"/>
      <c r="O55" s="62"/>
      <c r="P55" s="62"/>
      <c r="Q55" s="62"/>
      <c r="R55" s="62"/>
      <c r="S55" s="62"/>
      <c r="T55" s="62"/>
      <c r="U55" s="62"/>
      <c r="V55" s="62"/>
      <c r="W55" s="62"/>
      <c r="X55" s="63"/>
      <c r="Y55" s="63"/>
      <c r="Z55" s="63"/>
      <c r="AB55" s="1">
        <f>R55</f>
        <v>0</v>
      </c>
      <c r="AC55" s="1">
        <f>S55</f>
        <v>0</v>
      </c>
      <c r="AD55" s="1">
        <f>T55</f>
        <v>0</v>
      </c>
      <c r="AE55" s="1">
        <f>U55</f>
        <v>0</v>
      </c>
      <c r="AF55" s="1" t="e">
        <f>AVERAGE(AF54/$AB54,AF56/$AB56)*$AB55</f>
        <v>#DIV/0!</v>
      </c>
      <c r="AG55" s="1" t="e">
        <f>AVERAGE(AG54/AF54,AG56/AF56)*AF55</f>
        <v>#DIV/0!</v>
      </c>
      <c r="AH55" s="1" t="e">
        <f>AVERAGE(AH54/$AB54,AH56/$AB56)*$AB55</f>
        <v>#DIV/0!</v>
      </c>
      <c r="AI55" s="1" t="e">
        <f>AVERAGE(AI54/AH54,AI56/AH56)*AH55</f>
        <v>#DIV/0!</v>
      </c>
      <c r="AJ55" s="1" t="e">
        <f>AVERAGE(AJ54/$AB54,AJ56/$AB56)*$AB55</f>
        <v>#DIV/0!</v>
      </c>
      <c r="AK55" s="1" t="e">
        <f>AVERAGE(AK54/AJ54,AK56/AJ56)*AJ55</f>
        <v>#DIV/0!</v>
      </c>
      <c r="AL55" s="1" t="e">
        <f>AVERAGE(AL54/$AB54,AL56/$AB56)*$AB55</f>
        <v>#DIV/0!</v>
      </c>
      <c r="AM55" s="1" t="e">
        <f>AVERAGE(AM54/AL54,AM56/AL56)*AL55</f>
        <v>#DIV/0!</v>
      </c>
      <c r="AR55" s="1">
        <f>Constants!B$25</f>
        <v>2.2917410000000001E-6</v>
      </c>
      <c r="AS55" s="1">
        <f t="shared" si="31"/>
        <v>0</v>
      </c>
      <c r="AT55" s="1">
        <f t="shared" si="32"/>
        <v>9.9999999999999995E-7</v>
      </c>
      <c r="AU55" s="1" t="e">
        <f t="shared" si="42"/>
        <v>#DIV/0!</v>
      </c>
      <c r="AV55" s="1" t="e">
        <f t="shared" si="33"/>
        <v>#DIV/0!</v>
      </c>
      <c r="AW55" s="1" t="e">
        <f t="shared" si="43"/>
        <v>#DIV/0!</v>
      </c>
      <c r="AX55" s="1">
        <f t="shared" si="34"/>
        <v>0</v>
      </c>
      <c r="AY55" t="e">
        <f t="shared" si="25"/>
        <v>#DIV/0!</v>
      </c>
      <c r="AZ55" s="1" t="e">
        <f t="shared" si="35"/>
        <v>#DIV/0!</v>
      </c>
      <c r="BA55" s="1" t="e">
        <f t="shared" si="44"/>
        <v>#DIV/0!</v>
      </c>
      <c r="BB55" s="1" t="e">
        <f t="shared" si="36"/>
        <v>#DIV/0!</v>
      </c>
      <c r="BC55" s="1" t="e">
        <f t="shared" si="26"/>
        <v>#DIV/0!</v>
      </c>
      <c r="BD55" t="e">
        <f t="shared" si="37"/>
        <v>#DIV/0!</v>
      </c>
      <c r="BF55" s="32" t="e">
        <f t="shared" si="47"/>
        <v>#DIV/0!</v>
      </c>
      <c r="BG55" s="1" t="e">
        <f t="shared" si="48"/>
        <v>#DIV/0!</v>
      </c>
      <c r="BH55" s="1" t="e">
        <f t="shared" si="49"/>
        <v>#DIV/0!</v>
      </c>
      <c r="BI55" s="1" t="e">
        <f t="shared" si="50"/>
        <v>#DIV/0!</v>
      </c>
      <c r="BJ55" s="1" t="e">
        <f t="shared" si="51"/>
        <v>#DIV/0!</v>
      </c>
      <c r="BK55" s="1" t="e">
        <f>AU55/AT55/62415093</f>
        <v>#DIV/0!</v>
      </c>
      <c r="BL55" s="1" t="e">
        <f>BK55*0.1</f>
        <v>#DIV/0!</v>
      </c>
      <c r="BM55" s="1" t="e">
        <f>J55/(1-(AU55/62415093)/AT55)</f>
        <v>#DIV/0!</v>
      </c>
      <c r="BN55" s="33" t="e">
        <f>SQRT((K55/(1-BK55))^2+(BL55*J55/(1-BK55)^2)^2)</f>
        <v>#DIV/0!</v>
      </c>
      <c r="BO55" s="1" t="e">
        <f t="shared" si="38"/>
        <v>#DIV/0!</v>
      </c>
      <c r="BP55" s="33" t="e">
        <f t="shared" si="39"/>
        <v>#DIV/0!</v>
      </c>
      <c r="BQ55" s="1" t="e">
        <f>N55*(1-BK55)</f>
        <v>#DIV/0!</v>
      </c>
      <c r="BR55" t="e">
        <f>SQRT(O55^2+BL55^2)</f>
        <v>#DIV/0!</v>
      </c>
      <c r="BS55" s="1" t="e">
        <f t="shared" si="40"/>
        <v>#DIV/0!</v>
      </c>
      <c r="BT55" s="1" t="e">
        <f t="shared" si="41"/>
        <v>#DIV/0!</v>
      </c>
      <c r="BU55" t="e">
        <f>(Constants!$C$19/$BQ55)^(1/LN(Constants!$B$3/Constants!$B$6))</f>
        <v>#DIV/0!</v>
      </c>
      <c r="BV55" t="e">
        <f>(Constants!$C$19/($BQ55-BR55))^(1/LN(Constants!$B$3/Constants!$B$6))-BU55</f>
        <v>#DIV/0!</v>
      </c>
      <c r="BW55" t="e">
        <f>$BM55*BU55^(LN(Constants!$B$2/Constants!$B$3))</f>
        <v>#DIV/0!</v>
      </c>
      <c r="BX55" s="33" t="e">
        <f>BW55*SQRT((BN55/BM55)^2+(((BM55*($BU55+$BV55)^LN(Constants!$B$2/Constants!$B$3))-BW55)/BW55)^2)</f>
        <v>#DIV/0!</v>
      </c>
      <c r="BY55" t="e">
        <f>BO55*BU55^(LN(Constants!$B$2/Constants!$B$4))</f>
        <v>#DIV/0!</v>
      </c>
      <c r="BZ55" s="33" t="e">
        <f>BY55*SQRT((BP55/BO55)^2+(((BO55*($BU55+$BV55)^LN(Constants!$B$2/Constants!$B$4))-BY55)/BY55)^2)</f>
        <v>#DIV/0!</v>
      </c>
      <c r="CA55" t="e">
        <f>BS55*BU55^(LN(Constants!$B$2/Constants!$B$5))</f>
        <v>#DIV/0!</v>
      </c>
      <c r="CB55" s="33" t="e">
        <f>CA55*SQRT((BT55/BS55)^2+(((BS55*($BU55+$BV55)^LN(Constants!$B$2/Constants!$B$5))-CA55)/CA55)^2)</f>
        <v>#DIV/0!</v>
      </c>
      <c r="CC55" t="e">
        <f>(Constants!$C$18/AVERAGE(BO54,BO56))^(1/LN(Constants!$B$2/Constants!$B$4))</f>
        <v>#NUM!</v>
      </c>
      <c r="CD55" t="e">
        <f>MAX(ABS((Constants!$C$18/BO54)^(1/LN(Constants!$B$2/Constants!$B$4))-(Constants!$C$18/BO56)^(1/LN(Constants!$B$2/Constants!$B$4))),CD54,CD56)</f>
        <v>#NUM!</v>
      </c>
      <c r="CE55" t="e">
        <f>$BM55*CC55^(LN(Constants!$B$2/Constants!$B$3))</f>
        <v>#DIV/0!</v>
      </c>
      <c r="CF55" s="33" t="e">
        <f>CE55*SQRT((BN55/BM55)^2+(($BM55*($CC55+$CD55)^(LN(Constants!$B$2/Constants!$B$3))-CE55)/CE55)^2)</f>
        <v>#DIV/0!</v>
      </c>
      <c r="CG55" t="e">
        <f>BO55*CC55^(LN(Constants!$B$2/Constants!$B$4))</f>
        <v>#DIV/0!</v>
      </c>
      <c r="CH55" s="33" t="e">
        <f>CG55*SQRT((BP55/BO55)^2+((BO55*($CC55+$CD55)^(LN(Constants!$B$2/Constants!$B$4))-CG55)/CG55)^2)</f>
        <v>#DIV/0!</v>
      </c>
      <c r="CI55" t="e">
        <f>BQ55*$CC55^(LN(Constants!$B$3/Constants!$B$6))</f>
        <v>#DIV/0!</v>
      </c>
      <c r="CJ55" s="33" t="e">
        <f>CI55*SQRT((BR55/BQ55)^2+((BQ55*($CC55+$CD55)^(LN(Constants!$B$3/Constants!$B$6))-CI55)/CI55)^2)</f>
        <v>#DIV/0!</v>
      </c>
      <c r="CK55" t="e">
        <f>BS55*CC55^(LN(Constants!$B$2/Constants!$B$5))</f>
        <v>#DIV/0!</v>
      </c>
      <c r="CL55" s="33" t="e">
        <f>CK55*SQRT((BT55/BS55)^2+((BS55*($CC55+$CD55)^(LN(Constants!$B$2/Constants!$B$5))-CK55)/CK55)^2)</f>
        <v>#DIV/0!</v>
      </c>
      <c r="CM55" t="e">
        <f>CK55*Constants!$C$17/AVERAGE(CK54,CK56)</f>
        <v>#DIV/0!</v>
      </c>
      <c r="CN55" t="e">
        <f>CM55*SQRT(((CK54-CK56)/CK56/4)^2+(CL55/CK55)^2+AVERAGE(CL54/CK54,CL56/CK56)^2)</f>
        <v>#DIV/0!</v>
      </c>
      <c r="CO55" t="e">
        <f>1/CM55*CE55*CI55</f>
        <v>#DIV/0!</v>
      </c>
      <c r="CQ55" t="e">
        <f>$K55/$J55</f>
        <v>#DIV/0!</v>
      </c>
      <c r="CR55" t="e">
        <f>$BN55/$BM55</f>
        <v>#DIV/0!</v>
      </c>
      <c r="CS55" t="e">
        <f>$CF55/$CE55</f>
        <v>#DIV/0!</v>
      </c>
      <c r="CT55" t="e">
        <f>$Q55/$P55</f>
        <v>#DIV/0!</v>
      </c>
      <c r="CU55" t="e">
        <f>$BT55/$BS55</f>
        <v>#DIV/0!</v>
      </c>
      <c r="CV55" t="e">
        <f>$CL55/$CK55</f>
        <v>#DIV/0!</v>
      </c>
      <c r="CW55" t="e">
        <f>$CN55/$CM55</f>
        <v>#DIV/0!</v>
      </c>
      <c r="CY55" s="82" t="e">
        <f>$CQ55/$CS55</f>
        <v>#DIV/0!</v>
      </c>
      <c r="CZ55" s="82" t="e">
        <f>$CR55/$CS55-$CY55</f>
        <v>#DIV/0!</v>
      </c>
      <c r="DA55" s="82" t="e">
        <f>$CS55/$CS55-$CZ55-$CY55</f>
        <v>#DIV/0!</v>
      </c>
      <c r="DB55" s="82" t="e">
        <f>$CT55/$CW55</f>
        <v>#DIV/0!</v>
      </c>
      <c r="DC55" s="82" t="e">
        <f>$CU55/$CW55-$DB55</f>
        <v>#DIV/0!</v>
      </c>
      <c r="DD55" s="82" t="e">
        <f>$CV55/$CW55-$DC55-$DB55</f>
        <v>#DIV/0!</v>
      </c>
      <c r="DE55" s="82" t="e">
        <f>$CW55/$CW55-$DD55-$DC55-$DB55</f>
        <v>#DIV/0!</v>
      </c>
    </row>
    <row r="56" spans="1:109">
      <c r="A56" s="1">
        <f t="shared" si="46"/>
        <v>0</v>
      </c>
      <c r="B56" s="1"/>
      <c r="C56" s="1"/>
      <c r="J56" s="62"/>
      <c r="K56" s="62"/>
      <c r="L56" s="62"/>
      <c r="M56" s="62"/>
      <c r="N56" s="62"/>
      <c r="O56" s="62"/>
      <c r="P56" s="62"/>
      <c r="Q56" s="62"/>
      <c r="R56" s="62"/>
      <c r="S56" s="62"/>
      <c r="T56" s="62"/>
      <c r="U56" s="62"/>
      <c r="V56" s="62"/>
      <c r="W56" s="62"/>
      <c r="X56" s="63"/>
      <c r="Y56" s="63"/>
      <c r="Z56" s="63"/>
      <c r="AB56" s="62"/>
      <c r="AC56" s="62"/>
      <c r="AD56" s="62"/>
      <c r="AE56" s="62"/>
      <c r="AF56" s="62"/>
      <c r="AG56" s="62"/>
      <c r="AH56" s="62"/>
      <c r="AI56" s="62"/>
      <c r="AJ56" s="62"/>
      <c r="AK56" s="62"/>
      <c r="AL56" s="62"/>
      <c r="AM56" s="62"/>
      <c r="AN56" s="63"/>
      <c r="AO56" s="63"/>
      <c r="AP56" s="63"/>
      <c r="AQ56" s="1"/>
      <c r="AR56" s="1">
        <f>Constants!B$25</f>
        <v>2.2917410000000001E-6</v>
      </c>
      <c r="AS56" s="1">
        <f t="shared" si="31"/>
        <v>0</v>
      </c>
      <c r="AT56" s="1">
        <f t="shared" si="32"/>
        <v>9.9999999999999995E-7</v>
      </c>
      <c r="AU56" s="1" t="e">
        <f t="shared" si="42"/>
        <v>#NUM!</v>
      </c>
      <c r="AV56" s="1" t="e">
        <f t="shared" si="33"/>
        <v>#DIV/0!</v>
      </c>
      <c r="AW56" s="1" t="e">
        <f t="shared" si="43"/>
        <v>#NUM!</v>
      </c>
      <c r="AX56" s="1">
        <f t="shared" si="34"/>
        <v>0</v>
      </c>
      <c r="AY56" t="e">
        <f t="shared" si="25"/>
        <v>#DIV/0!</v>
      </c>
      <c r="AZ56" s="1" t="e">
        <f t="shared" si="35"/>
        <v>#DIV/0!</v>
      </c>
      <c r="BA56" s="1" t="e">
        <f t="shared" si="44"/>
        <v>#NUM!</v>
      </c>
      <c r="BB56" s="1" t="e">
        <f t="shared" si="36"/>
        <v>#NUM!</v>
      </c>
      <c r="BC56" s="1" t="e">
        <f t="shared" si="45"/>
        <v>#NUM!</v>
      </c>
      <c r="BD56" t="e">
        <f t="shared" si="37"/>
        <v>#NUM!</v>
      </c>
      <c r="BE56" s="1"/>
      <c r="BF56" s="32" t="e">
        <f t="shared" si="47"/>
        <v>#DIV/0!</v>
      </c>
      <c r="BG56" s="1" t="e">
        <f t="shared" si="48"/>
        <v>#DIV/0!</v>
      </c>
      <c r="BH56" s="1" t="e">
        <f t="shared" si="49"/>
        <v>#DIV/0!</v>
      </c>
      <c r="BI56" s="1" t="e">
        <f t="shared" si="50"/>
        <v>#NUM!</v>
      </c>
      <c r="BJ56" s="1" t="e">
        <f t="shared" si="51"/>
        <v>#NUM!</v>
      </c>
      <c r="BK56" s="1"/>
      <c r="BL56" s="1"/>
      <c r="BM56" s="1"/>
      <c r="BN56" s="1"/>
      <c r="BO56" s="1" t="e">
        <f t="shared" si="38"/>
        <v>#NUM!</v>
      </c>
      <c r="BP56" s="33" t="e">
        <f t="shared" si="39"/>
        <v>#NUM!</v>
      </c>
      <c r="BQ56" s="1"/>
      <c r="BR56" s="1"/>
      <c r="BS56" s="1" t="e">
        <f t="shared" si="40"/>
        <v>#DIV/0!</v>
      </c>
      <c r="BT56" s="1" t="e">
        <f t="shared" si="41"/>
        <v>#DIV/0!</v>
      </c>
      <c r="BU56" s="1"/>
      <c r="BV56" s="1"/>
      <c r="BW56" s="1"/>
      <c r="BX56" s="1"/>
      <c r="BY56" s="1"/>
      <c r="BZ56" s="1"/>
      <c r="CA56" s="1"/>
      <c r="CB56" s="1"/>
      <c r="CC56" t="e">
        <f>(Constants!$C$18/BO56)^(1/LN(Constants!$B$2/Constants!$B$4))</f>
        <v>#NUM!</v>
      </c>
      <c r="CD56" t="e">
        <f>ABS((Constants!$C$18/BO56)^(1/LN(Constants!$B$2/Constants!$B$4))-(Constants!$C$18/(BO56+BP56))^(1/LN(Constants!$B$2/Constants!$B$4)))</f>
        <v>#NUM!</v>
      </c>
      <c r="CK56" t="e">
        <f>BS56*$CC56^(LN(Constants!$B$2/Constants!$B$5))</f>
        <v>#DIV/0!</v>
      </c>
      <c r="CL56" s="33" t="e">
        <f>CK56*SQRT((BT56/BS56)^2+((BS56*($CC56+$CD56)^(LN(Constants!$B$2/Constants!$B$5))-CK56)/CK56)^2)</f>
        <v>#DIV/0!</v>
      </c>
    </row>
    <row r="57" spans="1:109">
      <c r="A57" s="73">
        <f t="shared" si="46"/>
        <v>0</v>
      </c>
      <c r="B57" t="str">
        <f>IF(NOT(ISBLANK($J57)),IF($T57&lt;Constants!$B$32,"low spike","OK"),"")</f>
        <v/>
      </c>
      <c r="C57" t="str">
        <f>IF(NOT(ISBLANK($J57)), IF((ABS($L56-$L58)/$L56)&gt;Constants!$B$33,"variable mass bias","OK"), "")</f>
        <v/>
      </c>
      <c r="D57" t="str">
        <f>IF(NOT(ISBLANK($J57)), IF((ABS($P56-$P58)/$P56)&gt;Constants!$B$34,"variable IC yield","OK"),"")</f>
        <v/>
      </c>
      <c r="E57" s="34" t="e">
        <f>CE57</f>
        <v>#DIV/0!</v>
      </c>
      <c r="F57" s="34" t="e">
        <f>CF57</f>
        <v>#DIV/0!</v>
      </c>
      <c r="G57" s="34" t="e">
        <f>CM57</f>
        <v>#DIV/0!</v>
      </c>
      <c r="H57" s="48" t="e">
        <f>CN57</f>
        <v>#DIV/0!</v>
      </c>
      <c r="I57" s="33"/>
      <c r="J57" s="62"/>
      <c r="K57" s="62"/>
      <c r="L57" s="62"/>
      <c r="M57" s="62"/>
      <c r="N57" s="62"/>
      <c r="O57" s="62"/>
      <c r="P57" s="62"/>
      <c r="Q57" s="62"/>
      <c r="R57" s="62"/>
      <c r="S57" s="62"/>
      <c r="T57" s="62"/>
      <c r="U57" s="62"/>
      <c r="V57" s="62"/>
      <c r="W57" s="62"/>
      <c r="X57" s="63"/>
      <c r="Y57" s="63"/>
      <c r="Z57" s="63"/>
      <c r="AB57" s="1">
        <f>R57</f>
        <v>0</v>
      </c>
      <c r="AC57" s="1">
        <f>S57</f>
        <v>0</v>
      </c>
      <c r="AD57" s="1">
        <f>T57</f>
        <v>0</v>
      </c>
      <c r="AE57" s="1">
        <f>U57</f>
        <v>0</v>
      </c>
      <c r="AF57" s="1" t="e">
        <f>AVERAGE(AF56/$AB56,AF58/$AB58)*$AB57</f>
        <v>#DIV/0!</v>
      </c>
      <c r="AG57" s="1" t="e">
        <f>AVERAGE(AG56/AF56,AG58/AF58)*AF57</f>
        <v>#DIV/0!</v>
      </c>
      <c r="AH57" s="1" t="e">
        <f>AVERAGE(AH56/$AB56,AH58/$AB58)*$AB57</f>
        <v>#DIV/0!</v>
      </c>
      <c r="AI57" s="1" t="e">
        <f>AVERAGE(AI56/AH56,AI58/AH58)*AH57</f>
        <v>#DIV/0!</v>
      </c>
      <c r="AJ57" s="1" t="e">
        <f>AVERAGE(AJ56/$AB56,AJ58/$AB58)*$AB57</f>
        <v>#DIV/0!</v>
      </c>
      <c r="AK57" s="1" t="e">
        <f>AVERAGE(AK56/AJ56,AK58/AJ58)*AJ57</f>
        <v>#DIV/0!</v>
      </c>
      <c r="AL57" s="1" t="e">
        <f>AVERAGE(AL56/$AB56,AL58/$AB58)*$AB57</f>
        <v>#DIV/0!</v>
      </c>
      <c r="AM57" s="1" t="e">
        <f>AVERAGE(AM56/AL56,AM58/AL58)*AL57</f>
        <v>#DIV/0!</v>
      </c>
      <c r="AR57" s="1">
        <f>Constants!B$25</f>
        <v>2.2917410000000001E-6</v>
      </c>
      <c r="AS57" s="1">
        <f t="shared" si="31"/>
        <v>0</v>
      </c>
      <c r="AT57" s="1">
        <f t="shared" si="32"/>
        <v>9.9999999999999995E-7</v>
      </c>
      <c r="AU57" s="1" t="e">
        <f t="shared" si="42"/>
        <v>#DIV/0!</v>
      </c>
      <c r="AV57" s="1" t="e">
        <f t="shared" si="33"/>
        <v>#DIV/0!</v>
      </c>
      <c r="AW57" s="1" t="e">
        <f t="shared" si="43"/>
        <v>#DIV/0!</v>
      </c>
      <c r="AX57" s="1">
        <f t="shared" si="34"/>
        <v>0</v>
      </c>
      <c r="AY57" t="e">
        <f t="shared" si="25"/>
        <v>#DIV/0!</v>
      </c>
      <c r="AZ57" s="1" t="e">
        <f t="shared" si="35"/>
        <v>#DIV/0!</v>
      </c>
      <c r="BA57" s="1" t="e">
        <f t="shared" si="44"/>
        <v>#DIV/0!</v>
      </c>
      <c r="BB57" s="1" t="e">
        <f t="shared" si="36"/>
        <v>#DIV/0!</v>
      </c>
      <c r="BC57" s="1" t="e">
        <f t="shared" si="26"/>
        <v>#DIV/0!</v>
      </c>
      <c r="BD57" t="e">
        <f t="shared" si="37"/>
        <v>#DIV/0!</v>
      </c>
      <c r="BF57" s="32" t="e">
        <f t="shared" si="47"/>
        <v>#DIV/0!</v>
      </c>
      <c r="BG57" s="1" t="e">
        <f t="shared" si="48"/>
        <v>#DIV/0!</v>
      </c>
      <c r="BH57" s="1" t="e">
        <f t="shared" si="49"/>
        <v>#DIV/0!</v>
      </c>
      <c r="BI57" s="1" t="e">
        <f t="shared" si="50"/>
        <v>#DIV/0!</v>
      </c>
      <c r="BJ57" s="1" t="e">
        <f t="shared" si="51"/>
        <v>#DIV/0!</v>
      </c>
      <c r="BK57" s="1" t="e">
        <f>AU57/AT57/62415093</f>
        <v>#DIV/0!</v>
      </c>
      <c r="BL57" s="1" t="e">
        <f>BK57*0.1</f>
        <v>#DIV/0!</v>
      </c>
      <c r="BM57" s="1" t="e">
        <f>J57/(1-(AU57/62415093)/AT57)</f>
        <v>#DIV/0!</v>
      </c>
      <c r="BN57" s="33" t="e">
        <f>SQRT((K57/(1-BK57))^2+(BL57*J57/(1-BK57)^2)^2)</f>
        <v>#DIV/0!</v>
      </c>
      <c r="BO57" s="1" t="e">
        <f t="shared" si="38"/>
        <v>#DIV/0!</v>
      </c>
      <c r="BP57" s="33" t="e">
        <f t="shared" si="39"/>
        <v>#DIV/0!</v>
      </c>
      <c r="BQ57" s="1" t="e">
        <f>N57*(1-BK57)</f>
        <v>#DIV/0!</v>
      </c>
      <c r="BR57" t="e">
        <f>SQRT(O57^2+BL57^2)</f>
        <v>#DIV/0!</v>
      </c>
      <c r="BS57" s="1" t="e">
        <f t="shared" si="40"/>
        <v>#DIV/0!</v>
      </c>
      <c r="BT57" s="1" t="e">
        <f t="shared" si="41"/>
        <v>#DIV/0!</v>
      </c>
      <c r="BU57" t="e">
        <f>(Constants!$C$19/$BQ57)^(1/LN(Constants!$B$3/Constants!$B$6))</f>
        <v>#DIV/0!</v>
      </c>
      <c r="BV57" t="e">
        <f>(Constants!$C$19/($BQ57-BR57))^(1/LN(Constants!$B$3/Constants!$B$6))-BU57</f>
        <v>#DIV/0!</v>
      </c>
      <c r="BW57" t="e">
        <f>$BM57*BU57^(LN(Constants!$B$2/Constants!$B$3))</f>
        <v>#DIV/0!</v>
      </c>
      <c r="BX57" s="33" t="e">
        <f>BW57*SQRT((BN57/BM57)^2+(((BM57*($BU57+$BV57)^LN(Constants!$B$2/Constants!$B$3))-BW57)/BW57)^2)</f>
        <v>#DIV/0!</v>
      </c>
      <c r="BY57" t="e">
        <f>BO57*BU57^(LN(Constants!$B$2/Constants!$B$4))</f>
        <v>#DIV/0!</v>
      </c>
      <c r="BZ57" s="33" t="e">
        <f>BY57*SQRT((BP57/BO57)^2+(((BO57*($BU57+$BV57)^LN(Constants!$B$2/Constants!$B$4))-BY57)/BY57)^2)</f>
        <v>#DIV/0!</v>
      </c>
      <c r="CA57" t="e">
        <f>BS57*BU57^(LN(Constants!$B$2/Constants!$B$5))</f>
        <v>#DIV/0!</v>
      </c>
      <c r="CB57" s="33" t="e">
        <f>CA57*SQRT((BT57/BS57)^2+(((BS57*($BU57+$BV57)^LN(Constants!$B$2/Constants!$B$5))-CA57)/CA57)^2)</f>
        <v>#DIV/0!</v>
      </c>
      <c r="CC57" t="e">
        <f>(Constants!$C$18/AVERAGE(BO56,BO58))^(1/LN(Constants!$B$2/Constants!$B$4))</f>
        <v>#NUM!</v>
      </c>
      <c r="CD57" t="e">
        <f>MAX(ABS((Constants!$C$18/BO56)^(1/LN(Constants!$B$2/Constants!$B$4))-(Constants!$C$18/BO58)^(1/LN(Constants!$B$2/Constants!$B$4))),CD56,CD58)</f>
        <v>#NUM!</v>
      </c>
      <c r="CE57" t="e">
        <f>$BM57*CC57^(LN(Constants!$B$2/Constants!$B$3))</f>
        <v>#DIV/0!</v>
      </c>
      <c r="CF57" s="33" t="e">
        <f>CE57*SQRT((BN57/BM57)^2+(($BM57*($CC57+$CD57)^(LN(Constants!$B$2/Constants!$B$3))-CE57)/CE57)^2)</f>
        <v>#DIV/0!</v>
      </c>
      <c r="CG57" t="e">
        <f>BO57*CC57^(LN(Constants!$B$2/Constants!$B$4))</f>
        <v>#DIV/0!</v>
      </c>
      <c r="CH57" s="33" t="e">
        <f>CG57*SQRT((BP57/BO57)^2+((BO57*($CC57+$CD57)^(LN(Constants!$B$2/Constants!$B$4))-CG57)/CG57)^2)</f>
        <v>#DIV/0!</v>
      </c>
      <c r="CI57" t="e">
        <f>BQ57*$CC57^(LN(Constants!$B$3/Constants!$B$6))</f>
        <v>#DIV/0!</v>
      </c>
      <c r="CJ57" s="33" t="e">
        <f>CI57*SQRT((BR57/BQ57)^2+((BQ57*($CC57+$CD57)^(LN(Constants!$B$3/Constants!$B$6))-CI57)/CI57)^2)</f>
        <v>#DIV/0!</v>
      </c>
      <c r="CK57" t="e">
        <f>BS57*CC57^(LN(Constants!$B$2/Constants!$B$5))</f>
        <v>#DIV/0!</v>
      </c>
      <c r="CL57" s="33" t="e">
        <f>CK57*SQRT((BT57/BS57)^2+((BS57*($CC57+$CD57)^(LN(Constants!$B$2/Constants!$B$5))-CK57)/CK57)^2)</f>
        <v>#DIV/0!</v>
      </c>
      <c r="CM57" t="e">
        <f>CK57*Constants!$C$17/AVERAGE(CK56,CK58)</f>
        <v>#DIV/0!</v>
      </c>
      <c r="CN57" t="e">
        <f>CM57*SQRT(((CK56-CK58)/CK58/4)^2+(CL57/CK57)^2+AVERAGE(CL56/CK56,CL58/CK58)^2)</f>
        <v>#DIV/0!</v>
      </c>
      <c r="CO57" t="e">
        <f>1/CM57*CE57*CI57</f>
        <v>#DIV/0!</v>
      </c>
      <c r="CQ57" t="e">
        <f>$K57/$J57</f>
        <v>#DIV/0!</v>
      </c>
      <c r="CR57" t="e">
        <f>$BN57/$BM57</f>
        <v>#DIV/0!</v>
      </c>
      <c r="CS57" t="e">
        <f>$CF57/$CE57</f>
        <v>#DIV/0!</v>
      </c>
      <c r="CT57" t="e">
        <f>$Q57/$P57</f>
        <v>#DIV/0!</v>
      </c>
      <c r="CU57" t="e">
        <f>$BT57/$BS57</f>
        <v>#DIV/0!</v>
      </c>
      <c r="CV57" t="e">
        <f>$CL57/$CK57</f>
        <v>#DIV/0!</v>
      </c>
      <c r="CW57" t="e">
        <f>$CN57/$CM57</f>
        <v>#DIV/0!</v>
      </c>
      <c r="CY57" s="82" t="e">
        <f>$CQ57/$CS57</f>
        <v>#DIV/0!</v>
      </c>
      <c r="CZ57" s="82" t="e">
        <f>$CR57/$CS57-$CY57</f>
        <v>#DIV/0!</v>
      </c>
      <c r="DA57" s="82" t="e">
        <f>$CS57/$CS57-$CZ57-$CY57</f>
        <v>#DIV/0!</v>
      </c>
      <c r="DB57" s="82" t="e">
        <f>$CT57/$CW57</f>
        <v>#DIV/0!</v>
      </c>
      <c r="DC57" s="82" t="e">
        <f>$CU57/$CW57-$DB57</f>
        <v>#DIV/0!</v>
      </c>
      <c r="DD57" s="82" t="e">
        <f>$CV57/$CW57-$DC57-$DB57</f>
        <v>#DIV/0!</v>
      </c>
      <c r="DE57" s="82" t="e">
        <f>$CW57/$CW57-$DD57-$DC57-$DB57</f>
        <v>#DIV/0!</v>
      </c>
    </row>
    <row r="58" spans="1:109">
      <c r="A58" s="1">
        <f t="shared" si="46"/>
        <v>0</v>
      </c>
      <c r="B58" s="1"/>
      <c r="C58" s="1"/>
      <c r="J58" s="62"/>
      <c r="K58" s="62"/>
      <c r="L58" s="62"/>
      <c r="M58" s="62"/>
      <c r="N58" s="62"/>
      <c r="O58" s="62"/>
      <c r="P58" s="62"/>
      <c r="Q58" s="62"/>
      <c r="R58" s="62"/>
      <c r="S58" s="62"/>
      <c r="T58" s="62"/>
      <c r="U58" s="62"/>
      <c r="V58" s="62"/>
      <c r="W58" s="62"/>
      <c r="X58" s="63"/>
      <c r="Y58" s="63"/>
      <c r="Z58" s="63"/>
      <c r="AB58" s="62"/>
      <c r="AC58" s="62"/>
      <c r="AD58" s="62"/>
      <c r="AE58" s="62"/>
      <c r="AF58" s="62"/>
      <c r="AG58" s="62"/>
      <c r="AH58" s="62"/>
      <c r="AI58" s="62"/>
      <c r="AJ58" s="62"/>
      <c r="AK58" s="62"/>
      <c r="AL58" s="62"/>
      <c r="AM58" s="62"/>
      <c r="AN58" s="63"/>
      <c r="AO58" s="63"/>
      <c r="AP58" s="63"/>
      <c r="AQ58" s="1"/>
      <c r="AR58" s="1">
        <f>Constants!B$25</f>
        <v>2.2917410000000001E-6</v>
      </c>
      <c r="AS58" s="1">
        <f t="shared" si="31"/>
        <v>0</v>
      </c>
      <c r="AT58" s="1">
        <f t="shared" si="32"/>
        <v>9.9999999999999995E-7</v>
      </c>
      <c r="AU58" s="1" t="e">
        <f t="shared" si="42"/>
        <v>#NUM!</v>
      </c>
      <c r="AV58" s="1" t="e">
        <f t="shared" si="33"/>
        <v>#DIV/0!</v>
      </c>
      <c r="AW58" s="1" t="e">
        <f t="shared" si="43"/>
        <v>#NUM!</v>
      </c>
      <c r="AX58" s="1">
        <f t="shared" si="34"/>
        <v>0</v>
      </c>
      <c r="AY58" t="e">
        <f t="shared" si="25"/>
        <v>#DIV/0!</v>
      </c>
      <c r="AZ58" s="1" t="e">
        <f t="shared" si="35"/>
        <v>#DIV/0!</v>
      </c>
      <c r="BA58" s="1" t="e">
        <f t="shared" si="44"/>
        <v>#NUM!</v>
      </c>
      <c r="BB58" s="1" t="e">
        <f t="shared" si="36"/>
        <v>#NUM!</v>
      </c>
      <c r="BC58" s="1" t="e">
        <f t="shared" si="45"/>
        <v>#NUM!</v>
      </c>
      <c r="BD58" t="e">
        <f t="shared" si="37"/>
        <v>#NUM!</v>
      </c>
      <c r="BE58" s="1"/>
      <c r="BF58" s="32" t="e">
        <f t="shared" si="47"/>
        <v>#DIV/0!</v>
      </c>
      <c r="BG58" s="1" t="e">
        <f t="shared" si="48"/>
        <v>#DIV/0!</v>
      </c>
      <c r="BH58" s="1" t="e">
        <f t="shared" si="49"/>
        <v>#DIV/0!</v>
      </c>
      <c r="BI58" s="1" t="e">
        <f t="shared" si="50"/>
        <v>#NUM!</v>
      </c>
      <c r="BJ58" s="1" t="e">
        <f t="shared" si="51"/>
        <v>#NUM!</v>
      </c>
      <c r="BK58" s="1"/>
      <c r="BL58" s="1"/>
      <c r="BM58" s="1"/>
      <c r="BN58" s="1"/>
      <c r="BO58" s="1" t="e">
        <f t="shared" si="38"/>
        <v>#NUM!</v>
      </c>
      <c r="BP58" s="33" t="e">
        <f t="shared" si="39"/>
        <v>#NUM!</v>
      </c>
      <c r="BQ58" s="1"/>
      <c r="BR58" s="1"/>
      <c r="BS58" s="1" t="e">
        <f t="shared" si="40"/>
        <v>#DIV/0!</v>
      </c>
      <c r="BT58" s="1" t="e">
        <f t="shared" si="41"/>
        <v>#DIV/0!</v>
      </c>
      <c r="BU58" s="1"/>
      <c r="BV58" s="1"/>
      <c r="BW58" s="1"/>
      <c r="BX58" s="1"/>
      <c r="BY58" s="1"/>
      <c r="BZ58" s="1"/>
      <c r="CA58" s="1"/>
      <c r="CB58" s="1"/>
      <c r="CC58" t="e">
        <f>(Constants!$C$18/BO58)^(1/LN(Constants!$B$2/Constants!$B$4))</f>
        <v>#NUM!</v>
      </c>
      <c r="CD58" t="e">
        <f>ABS((Constants!$C$18/BO58)^(1/LN(Constants!$B$2/Constants!$B$4))-(Constants!$C$18/(BO58+BP58))^(1/LN(Constants!$B$2/Constants!$B$4)))</f>
        <v>#NUM!</v>
      </c>
      <c r="CK58" t="e">
        <f>BS58*$CC58^(LN(Constants!$B$2/Constants!$B$5))</f>
        <v>#DIV/0!</v>
      </c>
      <c r="CL58" s="33" t="e">
        <f>CK58*SQRT((BT58/BS58)^2+((BS58*($CC58+$CD58)^(LN(Constants!$B$2/Constants!$B$5))-CK58)/CK58)^2)</f>
        <v>#DIV/0!</v>
      </c>
    </row>
    <row r="59" spans="1:109">
      <c r="A59" s="73">
        <f t="shared" si="46"/>
        <v>0</v>
      </c>
      <c r="B59" t="str">
        <f>IF(NOT(ISBLANK($J59)),IF($T59&lt;Constants!$B$32,"low spike","OK"),"")</f>
        <v/>
      </c>
      <c r="C59" t="str">
        <f>IF(NOT(ISBLANK($J59)), IF((ABS($L58-$L60)/$L58)&gt;Constants!$B$33,"variable mass bias","OK"), "")</f>
        <v/>
      </c>
      <c r="D59" t="str">
        <f>IF(NOT(ISBLANK($J59)), IF((ABS($P58-$P60)/$P58)&gt;Constants!$B$34,"variable IC yield","OK"),"")</f>
        <v/>
      </c>
      <c r="E59" s="34" t="e">
        <f>CE59</f>
        <v>#DIV/0!</v>
      </c>
      <c r="F59" s="34" t="e">
        <f>CF59</f>
        <v>#DIV/0!</v>
      </c>
      <c r="G59" s="34" t="e">
        <f>CM59</f>
        <v>#DIV/0!</v>
      </c>
      <c r="H59" s="48" t="e">
        <f>CN59</f>
        <v>#DIV/0!</v>
      </c>
      <c r="I59" s="33"/>
      <c r="J59" s="62"/>
      <c r="K59" s="62"/>
      <c r="L59" s="62"/>
      <c r="M59" s="62"/>
      <c r="N59" s="62"/>
      <c r="O59" s="62"/>
      <c r="P59" s="62"/>
      <c r="Q59" s="62"/>
      <c r="R59" s="62"/>
      <c r="S59" s="62"/>
      <c r="T59" s="62"/>
      <c r="U59" s="62"/>
      <c r="V59" s="62"/>
      <c r="W59" s="62"/>
      <c r="X59" s="63"/>
      <c r="Y59" s="63"/>
      <c r="Z59" s="63"/>
      <c r="AB59" s="1">
        <f>R59</f>
        <v>0</v>
      </c>
      <c r="AC59" s="1">
        <f>S59</f>
        <v>0</v>
      </c>
      <c r="AD59" s="1">
        <f>T59</f>
        <v>0</v>
      </c>
      <c r="AE59" s="1">
        <f>U59</f>
        <v>0</v>
      </c>
      <c r="AF59" s="1" t="e">
        <f>AVERAGE(AF58/$AB58,AF60/$AB60)*$AB59</f>
        <v>#DIV/0!</v>
      </c>
      <c r="AG59" s="1" t="e">
        <f>AVERAGE(AG58/AF58,AG60/AF60)*AF59</f>
        <v>#DIV/0!</v>
      </c>
      <c r="AH59" s="1" t="e">
        <f>AVERAGE(AH58/$AB58,AH60/$AB60)*$AB59</f>
        <v>#DIV/0!</v>
      </c>
      <c r="AI59" s="1" t="e">
        <f>AVERAGE(AI58/AH58,AI60/AH60)*AH59</f>
        <v>#DIV/0!</v>
      </c>
      <c r="AJ59" s="1" t="e">
        <f>AVERAGE(AJ58/$AB58,AJ60/$AB60)*$AB59</f>
        <v>#DIV/0!</v>
      </c>
      <c r="AK59" s="1" t="e">
        <f>AVERAGE(AK58/AJ58,AK60/AJ60)*AJ59</f>
        <v>#DIV/0!</v>
      </c>
      <c r="AL59" s="1" t="e">
        <f>AVERAGE(AL58/$AB58,AL60/$AB60)*$AB59</f>
        <v>#DIV/0!</v>
      </c>
      <c r="AM59" s="1" t="e">
        <f>AVERAGE(AM58/AL58,AM60/AL60)*AL59</f>
        <v>#DIV/0!</v>
      </c>
      <c r="AR59" s="1">
        <f>Constants!B$25</f>
        <v>2.2917410000000001E-6</v>
      </c>
      <c r="AS59" s="1">
        <f t="shared" si="31"/>
        <v>0</v>
      </c>
      <c r="AT59" s="1">
        <f t="shared" si="32"/>
        <v>9.9999999999999995E-7</v>
      </c>
      <c r="AU59" s="1" t="e">
        <f t="shared" si="42"/>
        <v>#DIV/0!</v>
      </c>
      <c r="AV59" s="1" t="e">
        <f t="shared" si="33"/>
        <v>#DIV/0!</v>
      </c>
      <c r="AW59" s="1" t="e">
        <f t="shared" si="43"/>
        <v>#DIV/0!</v>
      </c>
      <c r="AX59" s="1">
        <f t="shared" si="34"/>
        <v>0</v>
      </c>
      <c r="AY59" t="e">
        <f t="shared" si="25"/>
        <v>#DIV/0!</v>
      </c>
      <c r="AZ59" s="1" t="e">
        <f t="shared" si="35"/>
        <v>#DIV/0!</v>
      </c>
      <c r="BA59" s="1" t="e">
        <f t="shared" si="44"/>
        <v>#DIV/0!</v>
      </c>
      <c r="BB59" s="1" t="e">
        <f t="shared" si="36"/>
        <v>#DIV/0!</v>
      </c>
      <c r="BC59" s="1" t="e">
        <f t="shared" si="26"/>
        <v>#DIV/0!</v>
      </c>
      <c r="BD59" t="e">
        <f t="shared" si="37"/>
        <v>#DIV/0!</v>
      </c>
      <c r="BF59" s="32" t="e">
        <f t="shared" si="47"/>
        <v>#DIV/0!</v>
      </c>
      <c r="BG59" s="1" t="e">
        <f t="shared" si="48"/>
        <v>#DIV/0!</v>
      </c>
      <c r="BH59" s="1" t="e">
        <f t="shared" si="49"/>
        <v>#DIV/0!</v>
      </c>
      <c r="BI59" s="1" t="e">
        <f t="shared" si="50"/>
        <v>#DIV/0!</v>
      </c>
      <c r="BJ59" s="1" t="e">
        <f t="shared" si="51"/>
        <v>#DIV/0!</v>
      </c>
      <c r="BK59" s="1" t="e">
        <f>AU59/AT59/62415093</f>
        <v>#DIV/0!</v>
      </c>
      <c r="BL59" s="1" t="e">
        <f>BK59*0.1</f>
        <v>#DIV/0!</v>
      </c>
      <c r="BM59" s="1" t="e">
        <f>J59/(1-(AU59/62415093)/AT59)</f>
        <v>#DIV/0!</v>
      </c>
      <c r="BN59" s="33" t="e">
        <f>SQRT((K59/(1-BK59))^2+(BL59*J59/(1-BK59)^2)^2)</f>
        <v>#DIV/0!</v>
      </c>
      <c r="BO59" s="1" t="e">
        <f t="shared" si="38"/>
        <v>#DIV/0!</v>
      </c>
      <c r="BP59" s="33" t="e">
        <f t="shared" si="39"/>
        <v>#DIV/0!</v>
      </c>
      <c r="BQ59" s="1" t="e">
        <f>N59*(1-BK59)</f>
        <v>#DIV/0!</v>
      </c>
      <c r="BR59" t="e">
        <f>SQRT(O59^2+BL59^2)</f>
        <v>#DIV/0!</v>
      </c>
      <c r="BS59" s="1" t="e">
        <f t="shared" si="40"/>
        <v>#DIV/0!</v>
      </c>
      <c r="BT59" s="1" t="e">
        <f t="shared" si="41"/>
        <v>#DIV/0!</v>
      </c>
      <c r="BU59" t="e">
        <f>(Constants!$C$19/$BQ59)^(1/LN(Constants!$B$3/Constants!$B$6))</f>
        <v>#DIV/0!</v>
      </c>
      <c r="BV59" t="e">
        <f>(Constants!$C$19/($BQ59-BR59))^(1/LN(Constants!$B$3/Constants!$B$6))-BU59</f>
        <v>#DIV/0!</v>
      </c>
      <c r="BW59" t="e">
        <f>$BM59*BU59^(LN(Constants!$B$2/Constants!$B$3))</f>
        <v>#DIV/0!</v>
      </c>
      <c r="BX59" s="33" t="e">
        <f>BW59*SQRT((BN59/BM59)^2+(((BM59*($BU59+$BV59)^LN(Constants!$B$2/Constants!$B$3))-BW59)/BW59)^2)</f>
        <v>#DIV/0!</v>
      </c>
      <c r="BY59" t="e">
        <f>BO59*BU59^(LN(Constants!$B$2/Constants!$B$4))</f>
        <v>#DIV/0!</v>
      </c>
      <c r="BZ59" s="33" t="e">
        <f>BY59*SQRT((BP59/BO59)^2+(((BO59*($BU59+$BV59)^LN(Constants!$B$2/Constants!$B$4))-BY59)/BY59)^2)</f>
        <v>#DIV/0!</v>
      </c>
      <c r="CA59" t="e">
        <f>BS59*BU59^(LN(Constants!$B$2/Constants!$B$5))</f>
        <v>#DIV/0!</v>
      </c>
      <c r="CB59" s="33" t="e">
        <f>CA59*SQRT((BT59/BS59)^2+(((BS59*($BU59+$BV59)^LN(Constants!$B$2/Constants!$B$5))-CA59)/CA59)^2)</f>
        <v>#DIV/0!</v>
      </c>
      <c r="CC59" t="e">
        <f>(Constants!$C$18/AVERAGE(BO58,BO60))^(1/LN(Constants!$B$2/Constants!$B$4))</f>
        <v>#NUM!</v>
      </c>
      <c r="CD59" t="e">
        <f>MAX(ABS((Constants!$C$18/BO58)^(1/LN(Constants!$B$2/Constants!$B$4))-(Constants!$C$18/BO60)^(1/LN(Constants!$B$2/Constants!$B$4))),CD58,CD60)</f>
        <v>#NUM!</v>
      </c>
      <c r="CE59" t="e">
        <f>$BM59*CC59^(LN(Constants!$B$2/Constants!$B$3))</f>
        <v>#DIV/0!</v>
      </c>
      <c r="CF59" s="33" t="e">
        <f>CE59*SQRT((BN59/BM59)^2+(($BM59*($CC59+$CD59)^(LN(Constants!$B$2/Constants!$B$3))-CE59)/CE59)^2)</f>
        <v>#DIV/0!</v>
      </c>
      <c r="CG59" t="e">
        <f>BO59*CC59^(LN(Constants!$B$2/Constants!$B$4))</f>
        <v>#DIV/0!</v>
      </c>
      <c r="CH59" s="33" t="e">
        <f>CG59*SQRT((BP59/BO59)^2+((BO59*($CC59+$CD59)^(LN(Constants!$B$2/Constants!$B$4))-CG59)/CG59)^2)</f>
        <v>#DIV/0!</v>
      </c>
      <c r="CI59" t="e">
        <f>BQ59*$CC59^(LN(Constants!$B$3/Constants!$B$6))</f>
        <v>#DIV/0!</v>
      </c>
      <c r="CJ59" s="33" t="e">
        <f>CI59*SQRT((BR59/BQ59)^2+((BQ59*($CC59+$CD59)^(LN(Constants!$B$3/Constants!$B$6))-CI59)/CI59)^2)</f>
        <v>#DIV/0!</v>
      </c>
      <c r="CK59" t="e">
        <f>BS59*CC59^(LN(Constants!$B$2/Constants!$B$5))</f>
        <v>#DIV/0!</v>
      </c>
      <c r="CL59" s="33" t="e">
        <f>CK59*SQRT((BT59/BS59)^2+((BS59*($CC59+$CD59)^(LN(Constants!$B$2/Constants!$B$5))-CK59)/CK59)^2)</f>
        <v>#DIV/0!</v>
      </c>
      <c r="CM59" t="e">
        <f>CK59*Constants!$C$17/AVERAGE(CK58,CK60)</f>
        <v>#DIV/0!</v>
      </c>
      <c r="CN59" t="e">
        <f>CM59*SQRT(((CK58-CK60)/CK60/4)^2+(CL59/CK59)^2+AVERAGE(CL58/CK58,CL60/CK60)^2)</f>
        <v>#DIV/0!</v>
      </c>
      <c r="CO59" t="e">
        <f>1/CM59*CE59*CI59</f>
        <v>#DIV/0!</v>
      </c>
      <c r="CQ59" t="e">
        <f>$K59/$J59</f>
        <v>#DIV/0!</v>
      </c>
      <c r="CR59" t="e">
        <f>$BN59/$BM59</f>
        <v>#DIV/0!</v>
      </c>
      <c r="CS59" t="e">
        <f>$CF59/$CE59</f>
        <v>#DIV/0!</v>
      </c>
      <c r="CT59" t="e">
        <f>$Q59/$P59</f>
        <v>#DIV/0!</v>
      </c>
      <c r="CU59" t="e">
        <f>$BT59/$BS59</f>
        <v>#DIV/0!</v>
      </c>
      <c r="CV59" t="e">
        <f>$CL59/$CK59</f>
        <v>#DIV/0!</v>
      </c>
      <c r="CW59" t="e">
        <f>$CN59/$CM59</f>
        <v>#DIV/0!</v>
      </c>
      <c r="CY59" s="82" t="e">
        <f>$CQ59/$CS59</f>
        <v>#DIV/0!</v>
      </c>
      <c r="CZ59" s="82" t="e">
        <f>$CR59/$CS59-$CY59</f>
        <v>#DIV/0!</v>
      </c>
      <c r="DA59" s="82" t="e">
        <f>$CS59/$CS59-$CZ59-$CY59</f>
        <v>#DIV/0!</v>
      </c>
      <c r="DB59" s="82" t="e">
        <f>$CT59/$CW59</f>
        <v>#DIV/0!</v>
      </c>
      <c r="DC59" s="82" t="e">
        <f>$CU59/$CW59-$DB59</f>
        <v>#DIV/0!</v>
      </c>
      <c r="DD59" s="82" t="e">
        <f>$CV59/$CW59-$DC59-$DB59</f>
        <v>#DIV/0!</v>
      </c>
      <c r="DE59" s="82" t="e">
        <f>$CW59/$CW59-$DD59-$DC59-$DB59</f>
        <v>#DIV/0!</v>
      </c>
    </row>
    <row r="60" spans="1:109">
      <c r="A60" s="1">
        <f t="shared" si="46"/>
        <v>0</v>
      </c>
      <c r="B60" s="1"/>
      <c r="C60" s="1"/>
      <c r="J60" s="62"/>
      <c r="K60" s="62"/>
      <c r="L60" s="62"/>
      <c r="M60" s="62"/>
      <c r="N60" s="62"/>
      <c r="O60" s="62"/>
      <c r="P60" s="62"/>
      <c r="Q60" s="62"/>
      <c r="R60" s="62"/>
      <c r="S60" s="62"/>
      <c r="T60" s="62"/>
      <c r="U60" s="62"/>
      <c r="V60" s="62"/>
      <c r="W60" s="62"/>
      <c r="X60" s="63"/>
      <c r="Y60" s="63"/>
      <c r="Z60" s="63"/>
      <c r="AB60" s="62"/>
      <c r="AC60" s="62"/>
      <c r="AD60" s="62"/>
      <c r="AE60" s="62"/>
      <c r="AF60" s="62"/>
      <c r="AG60" s="62"/>
      <c r="AH60" s="62"/>
      <c r="AI60" s="62"/>
      <c r="AJ60" s="62"/>
      <c r="AK60" s="62"/>
      <c r="AL60" s="62"/>
      <c r="AM60" s="62"/>
      <c r="AN60" s="63"/>
      <c r="AO60" s="63"/>
      <c r="AP60" s="63"/>
      <c r="AQ60" s="1"/>
      <c r="AR60" s="1">
        <f>Constants!B$25</f>
        <v>2.2917410000000001E-6</v>
      </c>
      <c r="AS60" s="1">
        <f t="shared" si="31"/>
        <v>0</v>
      </c>
      <c r="AT60" s="1">
        <f t="shared" si="32"/>
        <v>9.9999999999999995E-7</v>
      </c>
      <c r="AU60" s="1" t="e">
        <f t="shared" si="42"/>
        <v>#NUM!</v>
      </c>
      <c r="AV60" s="1" t="e">
        <f t="shared" si="33"/>
        <v>#DIV/0!</v>
      </c>
      <c r="AW60" s="1" t="e">
        <f t="shared" si="43"/>
        <v>#NUM!</v>
      </c>
      <c r="AX60" s="1">
        <f t="shared" si="34"/>
        <v>0</v>
      </c>
      <c r="AY60" t="e">
        <f t="shared" si="25"/>
        <v>#DIV/0!</v>
      </c>
      <c r="AZ60" s="1" t="e">
        <f t="shared" si="35"/>
        <v>#DIV/0!</v>
      </c>
      <c r="BA60" s="1" t="e">
        <f t="shared" si="44"/>
        <v>#NUM!</v>
      </c>
      <c r="BB60" s="1" t="e">
        <f t="shared" si="36"/>
        <v>#NUM!</v>
      </c>
      <c r="BC60" s="1" t="e">
        <f t="shared" si="45"/>
        <v>#NUM!</v>
      </c>
      <c r="BD60" t="e">
        <f t="shared" si="37"/>
        <v>#NUM!</v>
      </c>
      <c r="BE60" s="1"/>
      <c r="BF60" s="32" t="e">
        <f t="shared" si="47"/>
        <v>#DIV/0!</v>
      </c>
      <c r="BG60" s="1" t="e">
        <f t="shared" si="48"/>
        <v>#DIV/0!</v>
      </c>
      <c r="BH60" s="1" t="e">
        <f t="shared" si="49"/>
        <v>#DIV/0!</v>
      </c>
      <c r="BI60" s="1" t="e">
        <f t="shared" si="50"/>
        <v>#NUM!</v>
      </c>
      <c r="BJ60" s="1" t="e">
        <f t="shared" si="51"/>
        <v>#NUM!</v>
      </c>
      <c r="BK60" s="1"/>
      <c r="BL60" s="1"/>
      <c r="BM60" s="1"/>
      <c r="BN60" s="1"/>
      <c r="BO60" s="1" t="e">
        <f t="shared" si="38"/>
        <v>#NUM!</v>
      </c>
      <c r="BP60" s="33" t="e">
        <f t="shared" si="39"/>
        <v>#NUM!</v>
      </c>
      <c r="BQ60" s="1"/>
      <c r="BR60" s="1"/>
      <c r="BS60" s="1" t="e">
        <f t="shared" si="40"/>
        <v>#DIV/0!</v>
      </c>
      <c r="BT60" s="1" t="e">
        <f t="shared" si="41"/>
        <v>#DIV/0!</v>
      </c>
      <c r="BU60" s="1"/>
      <c r="BV60" s="1"/>
      <c r="BW60" s="1"/>
      <c r="BX60" s="1"/>
      <c r="BY60" s="1"/>
      <c r="BZ60" s="1"/>
      <c r="CA60" s="1"/>
      <c r="CB60" s="1"/>
      <c r="CC60" t="e">
        <f>(Constants!$C$18/BO60)^(1/LN(Constants!$B$2/Constants!$B$4))</f>
        <v>#NUM!</v>
      </c>
      <c r="CD60" t="e">
        <f>ABS((Constants!$C$18/BO60)^(1/LN(Constants!$B$2/Constants!$B$4))-(Constants!$C$18/(BO60+BP60))^(1/LN(Constants!$B$2/Constants!$B$4)))</f>
        <v>#NUM!</v>
      </c>
      <c r="CK60" t="e">
        <f>BS60*$CC60^(LN(Constants!$B$2/Constants!$B$5))</f>
        <v>#DIV/0!</v>
      </c>
      <c r="CL60" s="33" t="e">
        <f>CK60*SQRT((BT60/BS60)^2+((BS60*($CC60+$CD60)^(LN(Constants!$B$2/Constants!$B$5))-CK60)/CK60)^2)</f>
        <v>#DIV/0!</v>
      </c>
      <c r="CR60" s="1"/>
      <c r="CS60" s="1"/>
      <c r="CU60" s="1"/>
      <c r="CV60" s="1"/>
      <c r="CW60" s="1"/>
    </row>
    <row r="61" spans="1:109">
      <c r="A61" s="73">
        <f t="shared" si="46"/>
        <v>0</v>
      </c>
      <c r="B61" t="str">
        <f>IF(NOT(ISBLANK($J61)),IF($T61&lt;Constants!$B$32,"low spike","OK"),"")</f>
        <v/>
      </c>
      <c r="C61" t="str">
        <f>IF(NOT(ISBLANK($J61)), IF((ABS($L60-$L62)/$L60)&gt;Constants!$B$33,"variable mass bias","OK"), "")</f>
        <v/>
      </c>
      <c r="D61" t="str">
        <f>IF(NOT(ISBLANK($J61)), IF((ABS($P60-$P62)/$P60)&gt;Constants!$B$34,"variable IC yield","OK"),"")</f>
        <v/>
      </c>
      <c r="E61" s="34" t="e">
        <f>CE61</f>
        <v>#DIV/0!</v>
      </c>
      <c r="F61" s="34" t="e">
        <f>CF61</f>
        <v>#DIV/0!</v>
      </c>
      <c r="G61" s="34" t="e">
        <f>CM61</f>
        <v>#DIV/0!</v>
      </c>
      <c r="H61" s="48" t="e">
        <f>CN61</f>
        <v>#DIV/0!</v>
      </c>
      <c r="I61" s="33"/>
      <c r="J61" s="62"/>
      <c r="K61" s="62"/>
      <c r="L61" s="62"/>
      <c r="M61" s="62"/>
      <c r="N61" s="62"/>
      <c r="O61" s="62"/>
      <c r="P61" s="62"/>
      <c r="Q61" s="62"/>
      <c r="R61" s="62"/>
      <c r="S61" s="62"/>
      <c r="T61" s="62"/>
      <c r="U61" s="62"/>
      <c r="V61" s="62"/>
      <c r="W61" s="62"/>
      <c r="X61" s="63"/>
      <c r="Y61" s="63"/>
      <c r="Z61" s="63"/>
      <c r="AB61" s="1">
        <f>R61</f>
        <v>0</v>
      </c>
      <c r="AC61" s="1">
        <f>S61</f>
        <v>0</v>
      </c>
      <c r="AD61" s="1">
        <f>T61</f>
        <v>0</v>
      </c>
      <c r="AE61" s="1">
        <f>U61</f>
        <v>0</v>
      </c>
      <c r="AF61" s="1" t="e">
        <f>AVERAGE(AF60/$AB60,AF62/$AB62)*$AB61</f>
        <v>#DIV/0!</v>
      </c>
      <c r="AG61" s="1" t="e">
        <f>AVERAGE(AG60/AF60,AG62/AF62)*AF61</f>
        <v>#DIV/0!</v>
      </c>
      <c r="AH61" s="1" t="e">
        <f>AVERAGE(AH60/$AB60,AH62/$AB62)*$AB61</f>
        <v>#DIV/0!</v>
      </c>
      <c r="AI61" s="1" t="e">
        <f>AVERAGE(AI60/AH60,AI62/AH62)*AH61</f>
        <v>#DIV/0!</v>
      </c>
      <c r="AJ61" s="1" t="e">
        <f>AVERAGE(AJ60/$AB60,AJ62/$AB62)*$AB61</f>
        <v>#DIV/0!</v>
      </c>
      <c r="AK61" s="1" t="e">
        <f>AVERAGE(AK60/AJ60,AK62/AJ62)*AJ61</f>
        <v>#DIV/0!</v>
      </c>
      <c r="AL61" s="1" t="e">
        <f>AVERAGE(AL60/$AB60,AL62/$AB62)*$AB61</f>
        <v>#DIV/0!</v>
      </c>
      <c r="AM61" s="1" t="e">
        <f>AVERAGE(AM60/AL60,AM62/AL62)*AL61</f>
        <v>#DIV/0!</v>
      </c>
      <c r="AR61" s="1">
        <f>Constants!B$25</f>
        <v>2.2917410000000001E-6</v>
      </c>
      <c r="AS61" s="1">
        <f t="shared" si="31"/>
        <v>0</v>
      </c>
      <c r="AT61" s="1">
        <f t="shared" si="32"/>
        <v>9.9999999999999995E-7</v>
      </c>
      <c r="AU61" s="1" t="e">
        <f t="shared" si="42"/>
        <v>#DIV/0!</v>
      </c>
      <c r="AV61" s="1" t="e">
        <f t="shared" si="33"/>
        <v>#DIV/0!</v>
      </c>
      <c r="AW61" s="1" t="e">
        <f t="shared" si="43"/>
        <v>#DIV/0!</v>
      </c>
      <c r="AX61" s="1">
        <f t="shared" si="34"/>
        <v>0</v>
      </c>
      <c r="AY61" t="e">
        <f t="shared" si="25"/>
        <v>#DIV/0!</v>
      </c>
      <c r="AZ61" s="1" t="e">
        <f t="shared" si="35"/>
        <v>#DIV/0!</v>
      </c>
      <c r="BA61" s="1" t="e">
        <f t="shared" si="44"/>
        <v>#DIV/0!</v>
      </c>
      <c r="BB61" s="1" t="e">
        <f t="shared" si="36"/>
        <v>#DIV/0!</v>
      </c>
      <c r="BC61" s="1" t="e">
        <f t="shared" si="26"/>
        <v>#DIV/0!</v>
      </c>
      <c r="BD61" t="e">
        <f t="shared" si="37"/>
        <v>#DIV/0!</v>
      </c>
      <c r="BF61" s="32" t="e">
        <f t="shared" si="47"/>
        <v>#DIV/0!</v>
      </c>
      <c r="BG61" s="1" t="e">
        <f t="shared" si="48"/>
        <v>#DIV/0!</v>
      </c>
      <c r="BH61" s="1" t="e">
        <f t="shared" si="49"/>
        <v>#DIV/0!</v>
      </c>
      <c r="BI61" s="1" t="e">
        <f t="shared" si="50"/>
        <v>#DIV/0!</v>
      </c>
      <c r="BJ61" s="1" t="e">
        <f t="shared" si="51"/>
        <v>#DIV/0!</v>
      </c>
      <c r="BK61" s="1" t="e">
        <f>AU61/AT61/62415093</f>
        <v>#DIV/0!</v>
      </c>
      <c r="BL61" s="1" t="e">
        <f>BK61*0.1</f>
        <v>#DIV/0!</v>
      </c>
      <c r="BM61" s="1" t="e">
        <f>J61/(1-(AU61/62415093)/AT61)</f>
        <v>#DIV/0!</v>
      </c>
      <c r="BN61" s="33" t="e">
        <f>SQRT((K61/(1-BK61))^2+(BL61*J61/(1-BK61)^2)^2)</f>
        <v>#DIV/0!</v>
      </c>
      <c r="BO61" s="1" t="e">
        <f t="shared" si="38"/>
        <v>#DIV/0!</v>
      </c>
      <c r="BP61" s="33" t="e">
        <f t="shared" si="39"/>
        <v>#DIV/0!</v>
      </c>
      <c r="BQ61" s="1" t="e">
        <f>N61*(1-BK61)</f>
        <v>#DIV/0!</v>
      </c>
      <c r="BR61" t="e">
        <f>SQRT(O61^2+BL61^2)</f>
        <v>#DIV/0!</v>
      </c>
      <c r="BS61" s="1" t="e">
        <f t="shared" si="40"/>
        <v>#DIV/0!</v>
      </c>
      <c r="BT61" s="1" t="e">
        <f t="shared" si="41"/>
        <v>#DIV/0!</v>
      </c>
      <c r="BU61" t="e">
        <f>(Constants!$C$19/$BQ61)^(1/LN(Constants!$B$3/Constants!$B$6))</f>
        <v>#DIV/0!</v>
      </c>
      <c r="BV61" t="e">
        <f>(Constants!$C$19/($BQ61-BR61))^(1/LN(Constants!$B$3/Constants!$B$6))-BU61</f>
        <v>#DIV/0!</v>
      </c>
      <c r="BW61" t="e">
        <f>$BM61*BU61^(LN(Constants!$B$2/Constants!$B$3))</f>
        <v>#DIV/0!</v>
      </c>
      <c r="BX61" s="33" t="e">
        <f>BW61*SQRT((BN61/BM61)^2+(((BM61*($BU61+$BV61)^LN(Constants!$B$2/Constants!$B$3))-BW61)/BW61)^2)</f>
        <v>#DIV/0!</v>
      </c>
      <c r="BY61" t="e">
        <f>BO61*BU61^(LN(Constants!$B$2/Constants!$B$4))</f>
        <v>#DIV/0!</v>
      </c>
      <c r="BZ61" s="33" t="e">
        <f>BY61*SQRT((BP61/BO61)^2+(((BO61*($BU61+$BV61)^LN(Constants!$B$2/Constants!$B$4))-BY61)/BY61)^2)</f>
        <v>#DIV/0!</v>
      </c>
      <c r="CA61" t="e">
        <f>BS61*BU61^(LN(Constants!$B$2/Constants!$B$5))</f>
        <v>#DIV/0!</v>
      </c>
      <c r="CB61" s="33" t="e">
        <f>CA61*SQRT((BT61/BS61)^2+(((BS61*($BU61+$BV61)^LN(Constants!$B$2/Constants!$B$5))-CA61)/CA61)^2)</f>
        <v>#DIV/0!</v>
      </c>
      <c r="CC61" t="e">
        <f>(Constants!$C$18/AVERAGE(BO60,BO62))^(1/LN(Constants!$B$2/Constants!$B$4))</f>
        <v>#NUM!</v>
      </c>
      <c r="CD61" t="e">
        <f>MAX(ABS((Constants!$C$18/BO60)^(1/LN(Constants!$B$2/Constants!$B$4))-(Constants!$C$18/BO62)^(1/LN(Constants!$B$2/Constants!$B$4))),CD60,CD62)</f>
        <v>#NUM!</v>
      </c>
      <c r="CE61" t="e">
        <f>$BM61*CC61^(LN(Constants!$B$2/Constants!$B$3))</f>
        <v>#DIV/0!</v>
      </c>
      <c r="CF61" s="33" t="e">
        <f>CE61*SQRT((BN61/BM61)^2+(($BM61*($CC61+$CD61)^(LN(Constants!$B$2/Constants!$B$3))-CE61)/CE61)^2)</f>
        <v>#DIV/0!</v>
      </c>
      <c r="CG61" t="e">
        <f>BO61*CC61^(LN(Constants!$B$2/Constants!$B$4))</f>
        <v>#DIV/0!</v>
      </c>
      <c r="CH61" s="33" t="e">
        <f>CG61*SQRT((BP61/BO61)^2+((BO61*($CC61+$CD61)^(LN(Constants!$B$2/Constants!$B$4))-CG61)/CG61)^2)</f>
        <v>#DIV/0!</v>
      </c>
      <c r="CI61" t="e">
        <f>BQ61*$CC61^(LN(Constants!$B$3/Constants!$B$6))</f>
        <v>#DIV/0!</v>
      </c>
      <c r="CJ61" s="33" t="e">
        <f>CI61*SQRT((BR61/BQ61)^2+((BQ61*($CC61+$CD61)^(LN(Constants!$B$3/Constants!$B$6))-CI61)/CI61)^2)</f>
        <v>#DIV/0!</v>
      </c>
      <c r="CK61" t="e">
        <f>BS61*CC61^(LN(Constants!$B$2/Constants!$B$5))</f>
        <v>#DIV/0!</v>
      </c>
      <c r="CL61" s="33" t="e">
        <f>CK61*SQRT((BT61/BS61)^2+((BS61*($CC61+$CD61)^(LN(Constants!$B$2/Constants!$B$5))-CK61)/CK61)^2)</f>
        <v>#DIV/0!</v>
      </c>
      <c r="CM61" t="e">
        <f>CK61*Constants!$C$17/AVERAGE(CK60,CK62)</f>
        <v>#DIV/0!</v>
      </c>
      <c r="CN61" t="e">
        <f>CM61*SQRT(((CK60-CK62)/CK62/4)^2+(CL61/CK61)^2+AVERAGE(CL60/CK60,CL62/CK62)^2)</f>
        <v>#DIV/0!</v>
      </c>
      <c r="CO61" t="e">
        <f>1/CM61*CE61*CI61</f>
        <v>#DIV/0!</v>
      </c>
      <c r="CQ61" t="e">
        <f>$K61/$J61</f>
        <v>#DIV/0!</v>
      </c>
      <c r="CR61" t="e">
        <f>$BN61/$BM61</f>
        <v>#DIV/0!</v>
      </c>
      <c r="CS61" t="e">
        <f>$CF61/$CE61</f>
        <v>#DIV/0!</v>
      </c>
      <c r="CT61" t="e">
        <f>$Q61/$P61</f>
        <v>#DIV/0!</v>
      </c>
      <c r="CU61" t="e">
        <f>$BT61/$BS61</f>
        <v>#DIV/0!</v>
      </c>
      <c r="CV61" t="e">
        <f>$CL61/$CK61</f>
        <v>#DIV/0!</v>
      </c>
      <c r="CW61" t="e">
        <f>$CN61/$CM61</f>
        <v>#DIV/0!</v>
      </c>
      <c r="CY61" s="82" t="e">
        <f>$CQ61/$CS61</f>
        <v>#DIV/0!</v>
      </c>
      <c r="CZ61" s="82" t="e">
        <f>$CR61/$CS61-$CY61</f>
        <v>#DIV/0!</v>
      </c>
      <c r="DA61" s="82" t="e">
        <f>$CS61/$CS61-$CZ61-$CY61</f>
        <v>#DIV/0!</v>
      </c>
      <c r="DB61" s="82" t="e">
        <f>$CT61/$CW61</f>
        <v>#DIV/0!</v>
      </c>
      <c r="DC61" s="82" t="e">
        <f>$CU61/$CW61-$DB61</f>
        <v>#DIV/0!</v>
      </c>
      <c r="DD61" s="82" t="e">
        <f>$CV61/$CW61-$DC61-$DB61</f>
        <v>#DIV/0!</v>
      </c>
      <c r="DE61" s="82" t="e">
        <f>$CW61/$CW61-$DD61-$DC61-$DB61</f>
        <v>#DIV/0!</v>
      </c>
    </row>
    <row r="62" spans="1:109">
      <c r="A62" s="1">
        <f t="shared" si="46"/>
        <v>0</v>
      </c>
      <c r="B62" s="1"/>
      <c r="C62" s="1"/>
      <c r="J62" s="62"/>
      <c r="K62" s="62"/>
      <c r="L62" s="62"/>
      <c r="M62" s="62"/>
      <c r="N62" s="62"/>
      <c r="O62" s="62"/>
      <c r="P62" s="62"/>
      <c r="Q62" s="62"/>
      <c r="R62" s="62"/>
      <c r="S62" s="62"/>
      <c r="T62" s="62"/>
      <c r="U62" s="62"/>
      <c r="V62" s="62"/>
      <c r="W62" s="62"/>
      <c r="X62" s="63"/>
      <c r="Y62" s="63"/>
      <c r="Z62" s="63"/>
      <c r="AB62" s="62"/>
      <c r="AC62" s="62"/>
      <c r="AD62" s="62"/>
      <c r="AE62" s="62"/>
      <c r="AF62" s="62"/>
      <c r="AG62" s="62"/>
      <c r="AH62" s="62"/>
      <c r="AI62" s="62"/>
      <c r="AJ62" s="62"/>
      <c r="AK62" s="62"/>
      <c r="AL62" s="62"/>
      <c r="AM62" s="62"/>
      <c r="AN62" s="63"/>
      <c r="AO62" s="63"/>
      <c r="AP62" s="63"/>
      <c r="AQ62" s="1"/>
      <c r="AR62" s="1">
        <f>Constants!B$25</f>
        <v>2.2917410000000001E-6</v>
      </c>
      <c r="AS62" s="1">
        <f t="shared" si="31"/>
        <v>0</v>
      </c>
      <c r="AT62" s="1">
        <f t="shared" si="32"/>
        <v>9.9999999999999995E-7</v>
      </c>
      <c r="AU62" s="1" t="e">
        <f t="shared" si="42"/>
        <v>#NUM!</v>
      </c>
      <c r="AV62" s="1" t="e">
        <f t="shared" si="33"/>
        <v>#DIV/0!</v>
      </c>
      <c r="AW62" s="1" t="e">
        <f t="shared" si="43"/>
        <v>#NUM!</v>
      </c>
      <c r="AX62" s="1">
        <f t="shared" si="34"/>
        <v>0</v>
      </c>
      <c r="AY62" t="e">
        <f t="shared" si="25"/>
        <v>#DIV/0!</v>
      </c>
      <c r="AZ62" s="1" t="e">
        <f t="shared" si="35"/>
        <v>#DIV/0!</v>
      </c>
      <c r="BA62" s="1" t="e">
        <f t="shared" si="44"/>
        <v>#NUM!</v>
      </c>
      <c r="BB62" s="1" t="e">
        <f t="shared" si="36"/>
        <v>#NUM!</v>
      </c>
      <c r="BC62" s="1" t="e">
        <f t="shared" si="45"/>
        <v>#NUM!</v>
      </c>
      <c r="BD62" t="e">
        <f t="shared" si="37"/>
        <v>#NUM!</v>
      </c>
      <c r="BE62" s="1"/>
      <c r="BF62" s="32" t="e">
        <f t="shared" si="47"/>
        <v>#DIV/0!</v>
      </c>
      <c r="BG62" s="1" t="e">
        <f t="shared" si="48"/>
        <v>#DIV/0!</v>
      </c>
      <c r="BH62" s="1" t="e">
        <f t="shared" si="49"/>
        <v>#DIV/0!</v>
      </c>
      <c r="BI62" s="1" t="e">
        <f t="shared" si="50"/>
        <v>#NUM!</v>
      </c>
      <c r="BJ62" s="1" t="e">
        <f t="shared" si="51"/>
        <v>#NUM!</v>
      </c>
      <c r="BK62" s="1"/>
      <c r="BL62" s="1"/>
      <c r="BM62" s="1"/>
      <c r="BN62" s="1"/>
      <c r="BO62" s="1" t="e">
        <f t="shared" si="38"/>
        <v>#NUM!</v>
      </c>
      <c r="BP62" s="33" t="e">
        <f t="shared" si="39"/>
        <v>#NUM!</v>
      </c>
      <c r="BQ62" s="1"/>
      <c r="BR62" s="1"/>
      <c r="BS62" s="1" t="e">
        <f t="shared" si="40"/>
        <v>#DIV/0!</v>
      </c>
      <c r="BT62" s="1" t="e">
        <f t="shared" si="41"/>
        <v>#DIV/0!</v>
      </c>
      <c r="BU62" s="1"/>
      <c r="BV62" s="1"/>
      <c r="BW62" s="1"/>
      <c r="BX62" s="1"/>
      <c r="BY62" s="1"/>
      <c r="BZ62" s="1"/>
      <c r="CA62" s="1"/>
      <c r="CB62" s="1"/>
      <c r="CC62" t="e">
        <f>(Constants!$C$18/BO62)^(1/LN(Constants!$B$2/Constants!$B$4))</f>
        <v>#NUM!</v>
      </c>
      <c r="CD62" t="e">
        <f>ABS((Constants!$C$18/BO62)^(1/LN(Constants!$B$2/Constants!$B$4))-(Constants!$C$18/(BO62+BP62))^(1/LN(Constants!$B$2/Constants!$B$4)))</f>
        <v>#NUM!</v>
      </c>
      <c r="CK62" t="e">
        <f>BS62*$CC62^(LN(Constants!$B$2/Constants!$B$5))</f>
        <v>#DIV/0!</v>
      </c>
      <c r="CL62" s="33" t="e">
        <f>CK62*SQRT((BT62/BS62)^2+((BS62*($CC62+$CD62)^(LN(Constants!$B$2/Constants!$B$5))-CK62)/CK62)^2)</f>
        <v>#DIV/0!</v>
      </c>
    </row>
    <row r="63" spans="1:109">
      <c r="A63" s="73">
        <f t="shared" si="46"/>
        <v>0</v>
      </c>
      <c r="B63" t="str">
        <f>IF(NOT(ISBLANK($J63)),IF($T63&lt;Constants!$B$32,"low spike","OK"),"")</f>
        <v/>
      </c>
      <c r="C63" t="str">
        <f>IF(NOT(ISBLANK($J63)), IF((ABS($L62-$L64)/$L62)&gt;Constants!$B$33,"variable mass bias","OK"), "")</f>
        <v/>
      </c>
      <c r="D63" t="str">
        <f>IF(NOT(ISBLANK($J63)), IF((ABS($P62-$P64)/$P62)&gt;Constants!$B$34,"variable IC yield","OK"),"")</f>
        <v/>
      </c>
      <c r="E63" s="34" t="e">
        <f>CE63</f>
        <v>#DIV/0!</v>
      </c>
      <c r="F63" s="34" t="e">
        <f>CF63</f>
        <v>#DIV/0!</v>
      </c>
      <c r="G63" s="34" t="e">
        <f>CM63</f>
        <v>#DIV/0!</v>
      </c>
      <c r="H63" s="48" t="e">
        <f>CN63</f>
        <v>#DIV/0!</v>
      </c>
      <c r="I63" s="33"/>
      <c r="J63" s="62"/>
      <c r="K63" s="62"/>
      <c r="L63" s="62"/>
      <c r="M63" s="62"/>
      <c r="N63" s="62"/>
      <c r="O63" s="62"/>
      <c r="P63" s="62"/>
      <c r="Q63" s="62"/>
      <c r="R63" s="62"/>
      <c r="S63" s="62"/>
      <c r="T63" s="62"/>
      <c r="U63" s="62"/>
      <c r="V63" s="62"/>
      <c r="W63" s="62"/>
      <c r="X63" s="63"/>
      <c r="Y63" s="63"/>
      <c r="Z63" s="63"/>
      <c r="AB63" s="1">
        <f>R63</f>
        <v>0</v>
      </c>
      <c r="AC63" s="1">
        <f>S63</f>
        <v>0</v>
      </c>
      <c r="AD63" s="1">
        <f>T63</f>
        <v>0</v>
      </c>
      <c r="AE63" s="1">
        <f>U63</f>
        <v>0</v>
      </c>
      <c r="AF63" s="1" t="e">
        <f>AVERAGE(AF62/$AB62,AF64/$AB64)*$AB63</f>
        <v>#DIV/0!</v>
      </c>
      <c r="AG63" s="1" t="e">
        <f>AVERAGE(AG62/AF62,AG64/AF64)*AF63</f>
        <v>#DIV/0!</v>
      </c>
      <c r="AH63" s="1" t="e">
        <f>AVERAGE(AH62/$AB62,AH64/$AB64)*$AB63</f>
        <v>#DIV/0!</v>
      </c>
      <c r="AI63" s="1" t="e">
        <f>AVERAGE(AI62/AH62,AI64/AH64)*AH63</f>
        <v>#DIV/0!</v>
      </c>
      <c r="AJ63" s="1" t="e">
        <f>AVERAGE(AJ62/$AB62,AJ64/$AB64)*$AB63</f>
        <v>#DIV/0!</v>
      </c>
      <c r="AK63" s="1" t="e">
        <f>AVERAGE(AK62/AJ62,AK64/AJ64)*AJ63</f>
        <v>#DIV/0!</v>
      </c>
      <c r="AL63" s="1" t="e">
        <f>AVERAGE(AL62/$AB62,AL64/$AB64)*$AB63</f>
        <v>#DIV/0!</v>
      </c>
      <c r="AM63" s="1" t="e">
        <f>AVERAGE(AM62/AL62,AM64/AL64)*AL63</f>
        <v>#DIV/0!</v>
      </c>
      <c r="AR63" s="1">
        <f>Constants!B$25</f>
        <v>2.2917410000000001E-6</v>
      </c>
      <c r="AS63" s="1">
        <f t="shared" si="31"/>
        <v>0</v>
      </c>
      <c r="AT63" s="1">
        <f t="shared" si="32"/>
        <v>9.9999999999999995E-7</v>
      </c>
      <c r="AU63" s="1" t="e">
        <f t="shared" si="42"/>
        <v>#DIV/0!</v>
      </c>
      <c r="AV63" s="1" t="e">
        <f t="shared" si="33"/>
        <v>#DIV/0!</v>
      </c>
      <c r="AW63" s="1" t="e">
        <f t="shared" si="43"/>
        <v>#DIV/0!</v>
      </c>
      <c r="AX63" s="1">
        <f t="shared" si="34"/>
        <v>0</v>
      </c>
      <c r="AY63" t="e">
        <f t="shared" si="25"/>
        <v>#DIV/0!</v>
      </c>
      <c r="AZ63" s="1" t="e">
        <f t="shared" si="35"/>
        <v>#DIV/0!</v>
      </c>
      <c r="BA63" s="1" t="e">
        <f t="shared" si="44"/>
        <v>#DIV/0!</v>
      </c>
      <c r="BB63" s="1" t="e">
        <f t="shared" si="36"/>
        <v>#DIV/0!</v>
      </c>
      <c r="BC63" s="1" t="e">
        <f t="shared" si="26"/>
        <v>#DIV/0!</v>
      </c>
      <c r="BD63" t="e">
        <f t="shared" si="37"/>
        <v>#DIV/0!</v>
      </c>
      <c r="BF63" s="32" t="e">
        <f t="shared" si="47"/>
        <v>#DIV/0!</v>
      </c>
      <c r="BG63" s="1" t="e">
        <f t="shared" si="48"/>
        <v>#DIV/0!</v>
      </c>
      <c r="BH63" s="1" t="e">
        <f t="shared" si="49"/>
        <v>#DIV/0!</v>
      </c>
      <c r="BI63" s="1" t="e">
        <f t="shared" si="50"/>
        <v>#DIV/0!</v>
      </c>
      <c r="BJ63" s="1" t="e">
        <f t="shared" si="51"/>
        <v>#DIV/0!</v>
      </c>
      <c r="BK63" s="1" t="e">
        <f>AU63/AT63/62415093</f>
        <v>#DIV/0!</v>
      </c>
      <c r="BL63" s="1" t="e">
        <f>BK63*0.1</f>
        <v>#DIV/0!</v>
      </c>
      <c r="BM63" s="1" t="e">
        <f>J63/(1-(AU63/62415093)/AT63)</f>
        <v>#DIV/0!</v>
      </c>
      <c r="BN63" s="33" t="e">
        <f>SQRT((K63/(1-BK63))^2+(BL63*J63/(1-BK63)^2)^2)</f>
        <v>#DIV/0!</v>
      </c>
      <c r="BO63" s="1" t="e">
        <f t="shared" si="38"/>
        <v>#DIV/0!</v>
      </c>
      <c r="BP63" s="33" t="e">
        <f t="shared" si="39"/>
        <v>#DIV/0!</v>
      </c>
      <c r="BQ63" s="1" t="e">
        <f>N63*(1-BK63)</f>
        <v>#DIV/0!</v>
      </c>
      <c r="BR63" t="e">
        <f>SQRT(O63^2+BL63^2)</f>
        <v>#DIV/0!</v>
      </c>
      <c r="BS63" s="1" t="e">
        <f t="shared" si="40"/>
        <v>#DIV/0!</v>
      </c>
      <c r="BT63" s="1" t="e">
        <f t="shared" si="41"/>
        <v>#DIV/0!</v>
      </c>
      <c r="BU63" t="e">
        <f>(Constants!$C$19/$BQ63)^(1/LN(Constants!$B$3/Constants!$B$6))</f>
        <v>#DIV/0!</v>
      </c>
      <c r="BV63" t="e">
        <f>(Constants!$C$19/($BQ63-BR63))^(1/LN(Constants!$B$3/Constants!$B$6))-BU63</f>
        <v>#DIV/0!</v>
      </c>
      <c r="BW63" t="e">
        <f>$BM63*BU63^(LN(Constants!$B$2/Constants!$B$3))</f>
        <v>#DIV/0!</v>
      </c>
      <c r="BX63" s="33" t="e">
        <f>BW63*SQRT((BN63/BM63)^2+(((BM63*($BU63+$BV63)^LN(Constants!$B$2/Constants!$B$3))-BW63)/BW63)^2)</f>
        <v>#DIV/0!</v>
      </c>
      <c r="BY63" t="e">
        <f>BO63*BU63^(LN(Constants!$B$2/Constants!$B$4))</f>
        <v>#DIV/0!</v>
      </c>
      <c r="BZ63" s="33" t="e">
        <f>BY63*SQRT((BP63/BO63)^2+(((BO63*($BU63+$BV63)^LN(Constants!$B$2/Constants!$B$4))-BY63)/BY63)^2)</f>
        <v>#DIV/0!</v>
      </c>
      <c r="CA63" t="e">
        <f>BS63*BU63^(LN(Constants!$B$2/Constants!$B$5))</f>
        <v>#DIV/0!</v>
      </c>
      <c r="CB63" s="33" t="e">
        <f>CA63*SQRT((BT63/BS63)^2+(((BS63*($BU63+$BV63)^LN(Constants!$B$2/Constants!$B$5))-CA63)/CA63)^2)</f>
        <v>#DIV/0!</v>
      </c>
      <c r="CC63" t="e">
        <f>(Constants!$C$18/AVERAGE(BO62,BO64))^(1/LN(Constants!$B$2/Constants!$B$4))</f>
        <v>#NUM!</v>
      </c>
      <c r="CD63" t="e">
        <f>MAX(ABS((Constants!$C$18/BO62)^(1/LN(Constants!$B$2/Constants!$B$4))-(Constants!$C$18/BO64)^(1/LN(Constants!$B$2/Constants!$B$4))),CD62,CD64)</f>
        <v>#NUM!</v>
      </c>
      <c r="CE63" t="e">
        <f>$BM63*CC63^(LN(Constants!$B$2/Constants!$B$3))</f>
        <v>#DIV/0!</v>
      </c>
      <c r="CF63" s="33" t="e">
        <f>CE63*SQRT((BN63/BM63)^2+(($BM63*($CC63+$CD63)^(LN(Constants!$B$2/Constants!$B$3))-CE63)/CE63)^2)</f>
        <v>#DIV/0!</v>
      </c>
      <c r="CG63" t="e">
        <f>BO63*CC63^(LN(Constants!$B$2/Constants!$B$4))</f>
        <v>#DIV/0!</v>
      </c>
      <c r="CH63" s="33" t="e">
        <f>CG63*SQRT((BP63/BO63)^2+((BO63*($CC63+$CD63)^(LN(Constants!$B$2/Constants!$B$4))-CG63)/CG63)^2)</f>
        <v>#DIV/0!</v>
      </c>
      <c r="CI63" t="e">
        <f>BQ63*$CC63^(LN(Constants!$B$3/Constants!$B$6))</f>
        <v>#DIV/0!</v>
      </c>
      <c r="CJ63" s="33" t="e">
        <f>CI63*SQRT((BR63/BQ63)^2+((BQ63*($CC63+$CD63)^(LN(Constants!$B$3/Constants!$B$6))-CI63)/CI63)^2)</f>
        <v>#DIV/0!</v>
      </c>
      <c r="CK63" t="e">
        <f>BS63*CC63^(LN(Constants!$B$2/Constants!$B$5))</f>
        <v>#DIV/0!</v>
      </c>
      <c r="CL63" s="33" t="e">
        <f>CK63*SQRT((BT63/BS63)^2+((BS63*($CC63+$CD63)^(LN(Constants!$B$2/Constants!$B$5))-CK63)/CK63)^2)</f>
        <v>#DIV/0!</v>
      </c>
      <c r="CM63" t="e">
        <f>CK63*Constants!$C$17/AVERAGE(CK62,CK64)</f>
        <v>#DIV/0!</v>
      </c>
      <c r="CN63" t="e">
        <f>CM63*SQRT(((CK62-CK64)/CK64/4)^2+(CL63/CK63)^2+AVERAGE(CL62/CK62,CL64/CK64)^2)</f>
        <v>#DIV/0!</v>
      </c>
      <c r="CO63" t="e">
        <f>1/CM63*CE63*CI63</f>
        <v>#DIV/0!</v>
      </c>
      <c r="CQ63" t="e">
        <f>$K63/$J63</f>
        <v>#DIV/0!</v>
      </c>
      <c r="CR63" t="e">
        <f>$BN63/$BM63</f>
        <v>#DIV/0!</v>
      </c>
      <c r="CS63" t="e">
        <f>$CF63/$CE63</f>
        <v>#DIV/0!</v>
      </c>
      <c r="CT63" t="e">
        <f>$Q63/$P63</f>
        <v>#DIV/0!</v>
      </c>
      <c r="CU63" t="e">
        <f>$BT63/$BS63</f>
        <v>#DIV/0!</v>
      </c>
      <c r="CV63" t="e">
        <f>$CL63/$CK63</f>
        <v>#DIV/0!</v>
      </c>
      <c r="CW63" t="e">
        <f>$CN63/$CM63</f>
        <v>#DIV/0!</v>
      </c>
      <c r="CY63" s="82" t="e">
        <f>$CQ63/$CS63</f>
        <v>#DIV/0!</v>
      </c>
      <c r="CZ63" s="82" t="e">
        <f>$CR63/$CS63-$CY63</f>
        <v>#DIV/0!</v>
      </c>
      <c r="DA63" s="82" t="e">
        <f>$CS63/$CS63-$CZ63-$CY63</f>
        <v>#DIV/0!</v>
      </c>
      <c r="DB63" s="82" t="e">
        <f>$CT63/$CW63</f>
        <v>#DIV/0!</v>
      </c>
      <c r="DC63" s="82" t="e">
        <f>$CU63/$CW63-$DB63</f>
        <v>#DIV/0!</v>
      </c>
      <c r="DD63" s="82" t="e">
        <f>$CV63/$CW63-$DC63-$DB63</f>
        <v>#DIV/0!</v>
      </c>
      <c r="DE63" s="82" t="e">
        <f>$CW63/$CW63-$DD63-$DC63-$DB63</f>
        <v>#DIV/0!</v>
      </c>
    </row>
    <row r="64" spans="1:109">
      <c r="A64" s="1">
        <f t="shared" si="46"/>
        <v>0</v>
      </c>
      <c r="B64" s="1"/>
      <c r="C64" s="1"/>
      <c r="J64" s="62"/>
      <c r="K64" s="62"/>
      <c r="L64" s="62"/>
      <c r="M64" s="62"/>
      <c r="N64" s="62"/>
      <c r="O64" s="62"/>
      <c r="P64" s="62"/>
      <c r="Q64" s="62"/>
      <c r="R64" s="62"/>
      <c r="S64" s="62"/>
      <c r="T64" s="62"/>
      <c r="U64" s="62"/>
      <c r="V64" s="62"/>
      <c r="W64" s="62"/>
      <c r="X64" s="63"/>
      <c r="Y64" s="63"/>
      <c r="Z64" s="63"/>
      <c r="AB64" s="62"/>
      <c r="AC64" s="62"/>
      <c r="AD64" s="62"/>
      <c r="AE64" s="62"/>
      <c r="AF64" s="62"/>
      <c r="AG64" s="62"/>
      <c r="AH64" s="62"/>
      <c r="AI64" s="62"/>
      <c r="AJ64" s="62"/>
      <c r="AK64" s="62"/>
      <c r="AL64" s="62"/>
      <c r="AM64" s="62"/>
      <c r="AN64" s="63"/>
      <c r="AO64" s="63"/>
      <c r="AP64" s="63"/>
      <c r="AQ64" s="1"/>
      <c r="AR64" s="1">
        <f>Constants!B$25</f>
        <v>2.2917410000000001E-6</v>
      </c>
      <c r="AS64" s="1">
        <f t="shared" si="31"/>
        <v>0</v>
      </c>
      <c r="AT64" s="1">
        <f t="shared" si="32"/>
        <v>9.9999999999999995E-7</v>
      </c>
      <c r="AU64" s="1" t="e">
        <f t="shared" si="42"/>
        <v>#NUM!</v>
      </c>
      <c r="AV64" s="1" t="e">
        <f t="shared" si="33"/>
        <v>#DIV/0!</v>
      </c>
      <c r="AW64" s="1" t="e">
        <f t="shared" si="43"/>
        <v>#NUM!</v>
      </c>
      <c r="AX64" s="1">
        <f t="shared" si="34"/>
        <v>0</v>
      </c>
      <c r="AY64" t="e">
        <f t="shared" si="25"/>
        <v>#DIV/0!</v>
      </c>
      <c r="AZ64" s="1" t="e">
        <f t="shared" si="35"/>
        <v>#DIV/0!</v>
      </c>
      <c r="BA64" s="1" t="e">
        <f t="shared" si="44"/>
        <v>#NUM!</v>
      </c>
      <c r="BB64" s="1" t="e">
        <f t="shared" si="36"/>
        <v>#NUM!</v>
      </c>
      <c r="BC64" s="1" t="e">
        <f t="shared" si="45"/>
        <v>#NUM!</v>
      </c>
      <c r="BD64" t="e">
        <f t="shared" si="37"/>
        <v>#NUM!</v>
      </c>
      <c r="BE64" s="1"/>
      <c r="BF64" s="32" t="e">
        <f t="shared" si="47"/>
        <v>#DIV/0!</v>
      </c>
      <c r="BG64" s="1" t="e">
        <f t="shared" si="48"/>
        <v>#DIV/0!</v>
      </c>
      <c r="BH64" s="1" t="e">
        <f t="shared" si="49"/>
        <v>#DIV/0!</v>
      </c>
      <c r="BI64" s="1" t="e">
        <f t="shared" si="50"/>
        <v>#NUM!</v>
      </c>
      <c r="BJ64" s="1" t="e">
        <f t="shared" si="51"/>
        <v>#NUM!</v>
      </c>
      <c r="BK64" s="1"/>
      <c r="BL64" s="1"/>
      <c r="BM64" s="1"/>
      <c r="BN64" s="1"/>
      <c r="BO64" s="1" t="e">
        <f t="shared" si="38"/>
        <v>#NUM!</v>
      </c>
      <c r="BP64" s="33" t="e">
        <f t="shared" si="39"/>
        <v>#NUM!</v>
      </c>
      <c r="BQ64" s="1"/>
      <c r="BR64" s="1"/>
      <c r="BS64" s="1" t="e">
        <f t="shared" si="40"/>
        <v>#DIV/0!</v>
      </c>
      <c r="BT64" s="1" t="e">
        <f t="shared" si="41"/>
        <v>#DIV/0!</v>
      </c>
      <c r="BU64" s="1"/>
      <c r="BV64" s="1"/>
      <c r="BW64" s="1"/>
      <c r="BX64" s="1"/>
      <c r="BY64" s="1"/>
      <c r="BZ64" s="1"/>
      <c r="CA64" s="1"/>
      <c r="CB64" s="1"/>
      <c r="CC64" t="e">
        <f>(Constants!$C$18/BO64)^(1/LN(Constants!$B$2/Constants!$B$4))</f>
        <v>#NUM!</v>
      </c>
      <c r="CD64" t="e">
        <f>ABS((Constants!$C$18/BO64)^(1/LN(Constants!$B$2/Constants!$B$4))-(Constants!$C$18/(BO64+BP64))^(1/LN(Constants!$B$2/Constants!$B$4)))</f>
        <v>#NUM!</v>
      </c>
      <c r="CK64" t="e">
        <f>BS64*$CC64^(LN(Constants!$B$2/Constants!$B$5))</f>
        <v>#DIV/0!</v>
      </c>
      <c r="CL64" s="33" t="e">
        <f>CK64*SQRT((BT64/BS64)^2+((BS64*($CC64+$CD64)^(LN(Constants!$B$2/Constants!$B$5))-CK64)/CK64)^2)</f>
        <v>#DIV/0!</v>
      </c>
    </row>
    <row r="65" spans="1:109">
      <c r="A65" s="73">
        <f t="shared" si="46"/>
        <v>0</v>
      </c>
      <c r="B65" t="str">
        <f>IF(NOT(ISBLANK($J65)),IF($T65&lt;Constants!$B$32,"low spike","OK"),"")</f>
        <v/>
      </c>
      <c r="C65" t="str">
        <f>IF(NOT(ISBLANK($J65)), IF((ABS($L64-$L66)/$L64)&gt;Constants!$B$33,"variable mass bias","OK"), "")</f>
        <v/>
      </c>
      <c r="D65" t="str">
        <f>IF(NOT(ISBLANK($J65)), IF((ABS($P64-$P66)/$P64)&gt;Constants!$B$34,"variable IC yield","OK"),"")</f>
        <v/>
      </c>
      <c r="E65" s="34" t="e">
        <f>CE65</f>
        <v>#DIV/0!</v>
      </c>
      <c r="F65" s="34" t="e">
        <f>CF65</f>
        <v>#DIV/0!</v>
      </c>
      <c r="G65" s="34" t="e">
        <f>CM65</f>
        <v>#DIV/0!</v>
      </c>
      <c r="H65" s="48" t="e">
        <f>CN65</f>
        <v>#DIV/0!</v>
      </c>
      <c r="I65" s="33"/>
      <c r="J65" s="62"/>
      <c r="K65" s="62"/>
      <c r="L65" s="62"/>
      <c r="M65" s="62"/>
      <c r="N65" s="62"/>
      <c r="O65" s="62"/>
      <c r="P65" s="62"/>
      <c r="Q65" s="62"/>
      <c r="R65" s="62"/>
      <c r="S65" s="62"/>
      <c r="T65" s="62"/>
      <c r="U65" s="62"/>
      <c r="V65" s="62"/>
      <c r="W65" s="62"/>
      <c r="X65" s="63"/>
      <c r="Y65" s="63"/>
      <c r="Z65" s="63"/>
      <c r="AB65" s="1">
        <f>R65</f>
        <v>0</v>
      </c>
      <c r="AC65" s="1">
        <f>S65</f>
        <v>0</v>
      </c>
      <c r="AD65" s="1">
        <f>T65</f>
        <v>0</v>
      </c>
      <c r="AE65" s="1">
        <f>U65</f>
        <v>0</v>
      </c>
      <c r="AF65" s="1" t="e">
        <f>AVERAGE(AF64/$AB64,AF66/$AB66)*$AB65</f>
        <v>#DIV/0!</v>
      </c>
      <c r="AG65" s="1" t="e">
        <f>AVERAGE(AG64/AF64,AG66/AF66)*AF65</f>
        <v>#DIV/0!</v>
      </c>
      <c r="AH65" s="1" t="e">
        <f>AVERAGE(AH64/$AB64,AH66/$AB66)*$AB65</f>
        <v>#DIV/0!</v>
      </c>
      <c r="AI65" s="1" t="e">
        <f>AVERAGE(AI64/AH64,AI66/AH66)*AH65</f>
        <v>#DIV/0!</v>
      </c>
      <c r="AJ65" s="1" t="e">
        <f>AVERAGE(AJ64/$AB64,AJ66/$AB66)*$AB65</f>
        <v>#DIV/0!</v>
      </c>
      <c r="AK65" s="1" t="e">
        <f>AVERAGE(AK64/AJ64,AK66/AJ66)*AJ65</f>
        <v>#DIV/0!</v>
      </c>
      <c r="AL65" s="1" t="e">
        <f>AVERAGE(AL64/$AB64,AL66/$AB66)*$AB65</f>
        <v>#DIV/0!</v>
      </c>
      <c r="AM65" s="1" t="e">
        <f>AVERAGE(AM64/AL64,AM66/AL66)*AL65</f>
        <v>#DIV/0!</v>
      </c>
      <c r="AR65" s="1">
        <f>Constants!B$25</f>
        <v>2.2917410000000001E-6</v>
      </c>
      <c r="AS65" s="1">
        <f t="shared" si="31"/>
        <v>0</v>
      </c>
      <c r="AT65" s="1">
        <f t="shared" si="32"/>
        <v>9.9999999999999995E-7</v>
      </c>
      <c r="AU65" s="1" t="e">
        <f t="shared" si="42"/>
        <v>#DIV/0!</v>
      </c>
      <c r="AV65" s="1" t="e">
        <f t="shared" si="33"/>
        <v>#DIV/0!</v>
      </c>
      <c r="AW65" s="1" t="e">
        <f t="shared" si="43"/>
        <v>#DIV/0!</v>
      </c>
      <c r="AX65" s="1">
        <f t="shared" si="34"/>
        <v>0</v>
      </c>
      <c r="AY65" t="e">
        <f t="shared" si="25"/>
        <v>#DIV/0!</v>
      </c>
      <c r="AZ65" s="1" t="e">
        <f t="shared" si="35"/>
        <v>#DIV/0!</v>
      </c>
      <c r="BA65" s="1" t="e">
        <f t="shared" si="44"/>
        <v>#DIV/0!</v>
      </c>
      <c r="BB65" s="1" t="e">
        <f t="shared" si="36"/>
        <v>#DIV/0!</v>
      </c>
      <c r="BC65" s="1" t="e">
        <f t="shared" si="26"/>
        <v>#DIV/0!</v>
      </c>
      <c r="BD65" t="e">
        <f t="shared" si="37"/>
        <v>#DIV/0!</v>
      </c>
      <c r="BF65" s="32" t="e">
        <f t="shared" si="47"/>
        <v>#DIV/0!</v>
      </c>
      <c r="BG65" s="1" t="e">
        <f t="shared" si="48"/>
        <v>#DIV/0!</v>
      </c>
      <c r="BH65" s="1" t="e">
        <f t="shared" si="49"/>
        <v>#DIV/0!</v>
      </c>
      <c r="BI65" s="1" t="e">
        <f t="shared" si="50"/>
        <v>#DIV/0!</v>
      </c>
      <c r="BJ65" s="1" t="e">
        <f t="shared" si="51"/>
        <v>#DIV/0!</v>
      </c>
      <c r="BK65" s="1" t="e">
        <f>AU65/AT65/62415093</f>
        <v>#DIV/0!</v>
      </c>
      <c r="BL65" s="1" t="e">
        <f>BK65*0.1</f>
        <v>#DIV/0!</v>
      </c>
      <c r="BM65" s="1" t="e">
        <f>J65/(1-(AU65/62415093)/AT65)</f>
        <v>#DIV/0!</v>
      </c>
      <c r="BN65" s="33" t="e">
        <f>SQRT((K65/(1-BK65))^2+(BL65*J65/(1-BK65)^2)^2)</f>
        <v>#DIV/0!</v>
      </c>
      <c r="BO65" s="1" t="e">
        <f t="shared" si="38"/>
        <v>#DIV/0!</v>
      </c>
      <c r="BP65" s="33" t="e">
        <f t="shared" si="39"/>
        <v>#DIV/0!</v>
      </c>
      <c r="BQ65" s="1" t="e">
        <f>N65*(1-BK65)</f>
        <v>#DIV/0!</v>
      </c>
      <c r="BR65" t="e">
        <f>SQRT(O65^2+BL65^2)</f>
        <v>#DIV/0!</v>
      </c>
      <c r="BS65" s="1" t="e">
        <f t="shared" si="40"/>
        <v>#DIV/0!</v>
      </c>
      <c r="BT65" s="1" t="e">
        <f t="shared" si="41"/>
        <v>#DIV/0!</v>
      </c>
      <c r="BU65" t="e">
        <f>(Constants!$C$19/$BQ65)^(1/LN(Constants!$B$3/Constants!$B$6))</f>
        <v>#DIV/0!</v>
      </c>
      <c r="BV65" t="e">
        <f>(Constants!$C$19/($BQ65-BR65))^(1/LN(Constants!$B$3/Constants!$B$6))-BU65</f>
        <v>#DIV/0!</v>
      </c>
      <c r="BW65" t="e">
        <f>$BM65*BU65^(LN(Constants!$B$2/Constants!$B$3))</f>
        <v>#DIV/0!</v>
      </c>
      <c r="BX65" s="33" t="e">
        <f>BW65*SQRT((BN65/BM65)^2+(((BM65*($BU65+$BV65)^LN(Constants!$B$2/Constants!$B$3))-BW65)/BW65)^2)</f>
        <v>#DIV/0!</v>
      </c>
      <c r="BY65" t="e">
        <f>BO65*BU65^(LN(Constants!$B$2/Constants!$B$4))</f>
        <v>#DIV/0!</v>
      </c>
      <c r="BZ65" s="33" t="e">
        <f>BY65*SQRT((BP65/BO65)^2+(((BO65*($BU65+$BV65)^LN(Constants!$B$2/Constants!$B$4))-BY65)/BY65)^2)</f>
        <v>#DIV/0!</v>
      </c>
      <c r="CA65" t="e">
        <f>BS65*BU65^(LN(Constants!$B$2/Constants!$B$5))</f>
        <v>#DIV/0!</v>
      </c>
      <c r="CB65" s="33" t="e">
        <f>CA65*SQRT((BT65/BS65)^2+(((BS65*($BU65+$BV65)^LN(Constants!$B$2/Constants!$B$5))-CA65)/CA65)^2)</f>
        <v>#DIV/0!</v>
      </c>
      <c r="CC65" t="e">
        <f>(Constants!$C$18/AVERAGE(BO64,BO66))^(1/LN(Constants!$B$2/Constants!$B$4))</f>
        <v>#NUM!</v>
      </c>
      <c r="CD65" t="e">
        <f>MAX(ABS((Constants!$C$18/BO64)^(1/LN(Constants!$B$2/Constants!$B$4))-(Constants!$C$18/BO66)^(1/LN(Constants!$B$2/Constants!$B$4))),CD64,CD66)</f>
        <v>#NUM!</v>
      </c>
      <c r="CE65" t="e">
        <f>$BM65*CC65^(LN(Constants!$B$2/Constants!$B$3))</f>
        <v>#DIV/0!</v>
      </c>
      <c r="CF65" s="33" t="e">
        <f>CE65*SQRT((BN65/BM65)^2+(($BM65*($CC65+$CD65)^(LN(Constants!$B$2/Constants!$B$3))-CE65)/CE65)^2)</f>
        <v>#DIV/0!</v>
      </c>
      <c r="CG65" t="e">
        <f>BO65*CC65^(LN(Constants!$B$2/Constants!$B$4))</f>
        <v>#DIV/0!</v>
      </c>
      <c r="CH65" s="33" t="e">
        <f>CG65*SQRT((BP65/BO65)^2+((BO65*($CC65+$CD65)^(LN(Constants!$B$2/Constants!$B$4))-CG65)/CG65)^2)</f>
        <v>#DIV/0!</v>
      </c>
      <c r="CI65" t="e">
        <f>BQ65*$CC65^(LN(Constants!$B$3/Constants!$B$6))</f>
        <v>#DIV/0!</v>
      </c>
      <c r="CJ65" s="33" t="e">
        <f>CI65*SQRT((BR65/BQ65)^2+((BQ65*($CC65+$CD65)^(LN(Constants!$B$3/Constants!$B$6))-CI65)/CI65)^2)</f>
        <v>#DIV/0!</v>
      </c>
      <c r="CK65" t="e">
        <f>BS65*CC65^(LN(Constants!$B$2/Constants!$B$5))</f>
        <v>#DIV/0!</v>
      </c>
      <c r="CL65" s="33" t="e">
        <f>CK65*SQRT((BT65/BS65)^2+((BS65*($CC65+$CD65)^(LN(Constants!$B$2/Constants!$B$5))-CK65)/CK65)^2)</f>
        <v>#DIV/0!</v>
      </c>
      <c r="CM65" t="e">
        <f>CK65*Constants!$C$17/AVERAGE(CK64,CK66)</f>
        <v>#DIV/0!</v>
      </c>
      <c r="CN65" t="e">
        <f>CM65*SQRT(((CK64-CK66)/CK66/4)^2+(CL65/CK65)^2+AVERAGE(CL64/CK64,CL66/CK66)^2)</f>
        <v>#DIV/0!</v>
      </c>
      <c r="CO65" t="e">
        <f>1/CM65*CE65*CI65</f>
        <v>#DIV/0!</v>
      </c>
      <c r="CQ65" t="e">
        <f>$K65/$J65</f>
        <v>#DIV/0!</v>
      </c>
      <c r="CR65" t="e">
        <f>$BN65/$BM65</f>
        <v>#DIV/0!</v>
      </c>
      <c r="CS65" t="e">
        <f>$CF65/$CE65</f>
        <v>#DIV/0!</v>
      </c>
      <c r="CT65" t="e">
        <f>$Q65/$P65</f>
        <v>#DIV/0!</v>
      </c>
      <c r="CU65" t="e">
        <f>$BT65/$BS65</f>
        <v>#DIV/0!</v>
      </c>
      <c r="CV65" t="e">
        <f>$CL65/$CK65</f>
        <v>#DIV/0!</v>
      </c>
      <c r="CW65" t="e">
        <f>$CN65/$CM65</f>
        <v>#DIV/0!</v>
      </c>
      <c r="CY65" s="82" t="e">
        <f>$CQ65/$CS65</f>
        <v>#DIV/0!</v>
      </c>
      <c r="CZ65" s="82" t="e">
        <f>$CR65/$CS65-$CY65</f>
        <v>#DIV/0!</v>
      </c>
      <c r="DA65" s="82" t="e">
        <f>$CS65/$CS65-$CZ65-$CY65</f>
        <v>#DIV/0!</v>
      </c>
      <c r="DB65" s="82" t="e">
        <f>$CT65/$CW65</f>
        <v>#DIV/0!</v>
      </c>
      <c r="DC65" s="82" t="e">
        <f>$CU65/$CW65-$DB65</f>
        <v>#DIV/0!</v>
      </c>
      <c r="DD65" s="82" t="e">
        <f>$CV65/$CW65-$DC65-$DB65</f>
        <v>#DIV/0!</v>
      </c>
      <c r="DE65" s="82" t="e">
        <f>$CW65/$CW65-$DD65-$DC65-$DB65</f>
        <v>#DIV/0!</v>
      </c>
    </row>
    <row r="66" spans="1:109">
      <c r="A66" s="73">
        <f t="shared" si="46"/>
        <v>0</v>
      </c>
      <c r="B66" s="73"/>
      <c r="C66" s="73"/>
      <c r="J66" s="62"/>
      <c r="K66" s="62"/>
      <c r="L66" s="62"/>
      <c r="M66" s="62"/>
      <c r="N66" s="62"/>
      <c r="O66" s="62"/>
      <c r="P66" s="62"/>
      <c r="Q66" s="62"/>
      <c r="R66" s="62"/>
      <c r="S66" s="62"/>
      <c r="T66" s="62"/>
      <c r="U66" s="62"/>
      <c r="V66" s="62"/>
      <c r="W66" s="62"/>
      <c r="X66" s="63"/>
      <c r="Y66" s="63"/>
      <c r="Z66" s="63"/>
      <c r="AB66" s="62"/>
      <c r="AC66" s="62"/>
      <c r="AD66" s="62"/>
      <c r="AE66" s="62"/>
      <c r="AF66" s="62"/>
      <c r="AG66" s="62"/>
      <c r="AH66" s="62"/>
      <c r="AI66" s="62"/>
      <c r="AJ66" s="62"/>
      <c r="AK66" s="62"/>
      <c r="AL66" s="62"/>
      <c r="AM66" s="62"/>
      <c r="AN66" s="63"/>
      <c r="AO66" s="63"/>
      <c r="AP66" s="63"/>
      <c r="AQ66" s="1"/>
      <c r="AR66" s="1">
        <f>Constants!B$25</f>
        <v>2.2917410000000001E-6</v>
      </c>
      <c r="AS66" s="1">
        <f t="shared" si="31"/>
        <v>0</v>
      </c>
      <c r="AT66" s="1">
        <f t="shared" si="32"/>
        <v>9.9999999999999995E-7</v>
      </c>
      <c r="AU66" s="1" t="e">
        <f t="shared" si="42"/>
        <v>#NUM!</v>
      </c>
      <c r="AV66" s="1" t="e">
        <f t="shared" si="33"/>
        <v>#DIV/0!</v>
      </c>
      <c r="AW66" s="1" t="e">
        <f t="shared" si="43"/>
        <v>#NUM!</v>
      </c>
      <c r="AX66" s="1">
        <f t="shared" si="34"/>
        <v>0</v>
      </c>
      <c r="AY66" t="e">
        <f t="shared" si="25"/>
        <v>#DIV/0!</v>
      </c>
      <c r="AZ66" s="1" t="e">
        <f t="shared" si="35"/>
        <v>#DIV/0!</v>
      </c>
      <c r="BA66" s="1" t="e">
        <f t="shared" si="44"/>
        <v>#NUM!</v>
      </c>
      <c r="BB66" s="1" t="e">
        <f t="shared" si="36"/>
        <v>#NUM!</v>
      </c>
      <c r="BC66" s="1" t="e">
        <f t="shared" si="45"/>
        <v>#NUM!</v>
      </c>
      <c r="BD66" t="e">
        <f t="shared" si="37"/>
        <v>#NUM!</v>
      </c>
      <c r="BE66" s="1"/>
      <c r="BF66" s="32" t="e">
        <f t="shared" si="47"/>
        <v>#DIV/0!</v>
      </c>
      <c r="BG66" s="1" t="e">
        <f t="shared" si="48"/>
        <v>#DIV/0!</v>
      </c>
      <c r="BH66" s="1" t="e">
        <f t="shared" si="49"/>
        <v>#DIV/0!</v>
      </c>
      <c r="BI66" s="1" t="e">
        <f t="shared" si="50"/>
        <v>#NUM!</v>
      </c>
      <c r="BJ66" s="1" t="e">
        <f t="shared" si="51"/>
        <v>#NUM!</v>
      </c>
      <c r="BK66" s="1"/>
      <c r="BL66" s="1"/>
      <c r="BM66" s="1"/>
      <c r="BN66" s="1"/>
      <c r="BO66" s="1" t="e">
        <f t="shared" si="38"/>
        <v>#NUM!</v>
      </c>
      <c r="BP66" s="33" t="e">
        <f t="shared" si="39"/>
        <v>#NUM!</v>
      </c>
      <c r="BQ66" s="1"/>
      <c r="BR66" s="1"/>
      <c r="BS66" s="1" t="e">
        <f t="shared" si="40"/>
        <v>#DIV/0!</v>
      </c>
      <c r="BT66" s="1" t="e">
        <f t="shared" si="41"/>
        <v>#DIV/0!</v>
      </c>
      <c r="BU66" s="1"/>
      <c r="BV66" s="1"/>
      <c r="BW66" s="1"/>
      <c r="BX66" s="1"/>
      <c r="BY66" s="1"/>
      <c r="BZ66" s="1"/>
      <c r="CA66" s="1"/>
      <c r="CB66" s="1"/>
      <c r="CC66" t="e">
        <f>(Constants!$C$18/BO66)^(1/LN(Constants!$B$2/Constants!$B$4))</f>
        <v>#NUM!</v>
      </c>
      <c r="CD66" t="e">
        <f>ABS((Constants!$C$18/BO66)^(1/LN(Constants!$B$2/Constants!$B$4))-(Constants!$C$18/(BO66+BP66))^(1/LN(Constants!$B$2/Constants!$B$4)))</f>
        <v>#NUM!</v>
      </c>
      <c r="CK66" t="e">
        <f>BS66*$CC66^(LN(Constants!$B$2/Constants!$B$5))</f>
        <v>#DIV/0!</v>
      </c>
      <c r="CL66" s="33" t="e">
        <f>CK66*SQRT((BT66/BS66)^2+((BS66*($CC66+$CD66)^(LN(Constants!$B$2/Constants!$B$5))-CK66)/CK66)^2)</f>
        <v>#DIV/0!</v>
      </c>
    </row>
    <row r="67" spans="1:109">
      <c r="A67" s="73">
        <f t="shared" si="46"/>
        <v>0</v>
      </c>
      <c r="B67" t="str">
        <f>IF(NOT(ISBLANK($J67)),IF($T67&lt;Constants!$B$32,"low spike","OK"),"")</f>
        <v/>
      </c>
      <c r="C67" t="str">
        <f>IF(NOT(ISBLANK($J67)), IF((ABS($L66-$L68)/$L66)&gt;Constants!$B$33,"variable mass bias","OK"), "")</f>
        <v/>
      </c>
      <c r="D67" t="str">
        <f>IF(NOT(ISBLANK($J67)), IF((ABS($P66-$P68)/$P66)&gt;Constants!$B$34,"variable IC yield","OK"),"")</f>
        <v/>
      </c>
      <c r="E67" s="34" t="e">
        <f>CE67</f>
        <v>#DIV/0!</v>
      </c>
      <c r="F67" s="34" t="e">
        <f>CF67</f>
        <v>#DIV/0!</v>
      </c>
      <c r="G67" s="34" t="e">
        <f>CM67</f>
        <v>#DIV/0!</v>
      </c>
      <c r="H67" s="48" t="e">
        <f>CN67</f>
        <v>#DIV/0!</v>
      </c>
      <c r="I67" s="33"/>
      <c r="J67" s="62"/>
      <c r="K67" s="62"/>
      <c r="L67" s="62"/>
      <c r="M67" s="62"/>
      <c r="N67" s="62"/>
      <c r="O67" s="62"/>
      <c r="P67" s="62"/>
      <c r="Q67" s="62"/>
      <c r="R67" s="62"/>
      <c r="S67" s="62"/>
      <c r="T67" s="62"/>
      <c r="U67" s="62"/>
      <c r="V67" s="62"/>
      <c r="W67" s="62"/>
      <c r="X67" s="63"/>
      <c r="Y67" s="63"/>
      <c r="Z67" s="63"/>
      <c r="AB67" s="1">
        <f>R67</f>
        <v>0</v>
      </c>
      <c r="AC67" s="1">
        <f>S67</f>
        <v>0</v>
      </c>
      <c r="AD67" s="1">
        <f>T67</f>
        <v>0</v>
      </c>
      <c r="AE67" s="1">
        <f>U67</f>
        <v>0</v>
      </c>
      <c r="AF67" s="1" t="e">
        <f>AVERAGE(AF66/$AB66,AF68/$AB68)*$AB67</f>
        <v>#DIV/0!</v>
      </c>
      <c r="AG67" s="1" t="e">
        <f>AVERAGE(AG66/AF66,AG68/AF68)*AF67</f>
        <v>#DIV/0!</v>
      </c>
      <c r="AH67" s="1" t="e">
        <f>AVERAGE(AH66/$AB66,AH68/$AB68)*$AB67</f>
        <v>#DIV/0!</v>
      </c>
      <c r="AI67" s="1" t="e">
        <f>AVERAGE(AI66/AH66,AI68/AH68)*AH67</f>
        <v>#DIV/0!</v>
      </c>
      <c r="AJ67" s="1" t="e">
        <f>AVERAGE(AJ66/$AB66,AJ68/$AB68)*$AB67</f>
        <v>#DIV/0!</v>
      </c>
      <c r="AK67" s="1" t="e">
        <f>AVERAGE(AK66/AJ66,AK68/AJ68)*AJ67</f>
        <v>#DIV/0!</v>
      </c>
      <c r="AL67" s="1" t="e">
        <f>AVERAGE(AL66/$AB66,AL68/$AB68)*$AB67</f>
        <v>#DIV/0!</v>
      </c>
      <c r="AM67" s="1" t="e">
        <f>AVERAGE(AM66/AL66,AM68/AL68)*AL67</f>
        <v>#DIV/0!</v>
      </c>
      <c r="AR67" s="1">
        <f>Constants!B$25</f>
        <v>2.2917410000000001E-6</v>
      </c>
      <c r="AS67" s="1">
        <f t="shared" si="31"/>
        <v>0</v>
      </c>
      <c r="AT67" s="1">
        <f t="shared" si="32"/>
        <v>9.9999999999999995E-7</v>
      </c>
      <c r="AU67" s="1" t="e">
        <f t="shared" si="42"/>
        <v>#DIV/0!</v>
      </c>
      <c r="AV67" s="1" t="e">
        <f t="shared" si="33"/>
        <v>#DIV/0!</v>
      </c>
      <c r="AW67" s="1" t="e">
        <f t="shared" si="43"/>
        <v>#DIV/0!</v>
      </c>
      <c r="AX67" s="1">
        <f t="shared" si="34"/>
        <v>0</v>
      </c>
      <c r="AY67" t="e">
        <f t="shared" si="25"/>
        <v>#DIV/0!</v>
      </c>
      <c r="AZ67" s="1" t="e">
        <f t="shared" si="35"/>
        <v>#DIV/0!</v>
      </c>
      <c r="BA67" s="1" t="e">
        <f t="shared" si="44"/>
        <v>#DIV/0!</v>
      </c>
      <c r="BB67" s="1" t="e">
        <f t="shared" si="36"/>
        <v>#DIV/0!</v>
      </c>
      <c r="BC67" s="1" t="e">
        <f t="shared" si="26"/>
        <v>#DIV/0!</v>
      </c>
      <c r="BD67" t="e">
        <f t="shared" si="37"/>
        <v>#DIV/0!</v>
      </c>
      <c r="BF67" s="32" t="e">
        <f t="shared" si="47"/>
        <v>#DIV/0!</v>
      </c>
      <c r="BG67" s="1" t="e">
        <f t="shared" si="48"/>
        <v>#DIV/0!</v>
      </c>
      <c r="BH67" s="1" t="e">
        <f t="shared" si="49"/>
        <v>#DIV/0!</v>
      </c>
      <c r="BI67" s="1" t="e">
        <f t="shared" si="50"/>
        <v>#DIV/0!</v>
      </c>
      <c r="BJ67" s="1" t="e">
        <f t="shared" si="51"/>
        <v>#DIV/0!</v>
      </c>
      <c r="BK67" s="1" t="e">
        <f>AU67/AT67/62415093</f>
        <v>#DIV/0!</v>
      </c>
      <c r="BL67" s="1" t="e">
        <f>BK67*0.1</f>
        <v>#DIV/0!</v>
      </c>
      <c r="BM67" s="1" t="e">
        <f>J67/(1-(AU67/62415093)/AT67)</f>
        <v>#DIV/0!</v>
      </c>
      <c r="BN67" s="33" t="e">
        <f>SQRT((K67/(1-BK67))^2+(BL67*J67/(1-BK67)^2)^2)</f>
        <v>#DIV/0!</v>
      </c>
      <c r="BO67" s="1" t="e">
        <f t="shared" si="38"/>
        <v>#DIV/0!</v>
      </c>
      <c r="BP67" s="33" t="e">
        <f t="shared" si="39"/>
        <v>#DIV/0!</v>
      </c>
      <c r="BQ67" s="1" t="e">
        <f>N67*(1-BK67)</f>
        <v>#DIV/0!</v>
      </c>
      <c r="BR67" t="e">
        <f>SQRT(O67^2+BL67^2)</f>
        <v>#DIV/0!</v>
      </c>
      <c r="BS67" s="1" t="e">
        <f t="shared" si="40"/>
        <v>#DIV/0!</v>
      </c>
      <c r="BT67" s="1" t="e">
        <f t="shared" si="41"/>
        <v>#DIV/0!</v>
      </c>
      <c r="BU67" t="e">
        <f>(Constants!$C$19/$BQ67)^(1/LN(Constants!$B$3/Constants!$B$6))</f>
        <v>#DIV/0!</v>
      </c>
      <c r="BV67" t="e">
        <f>(Constants!$C$19/($BQ67-BR67))^(1/LN(Constants!$B$3/Constants!$B$6))-BU67</f>
        <v>#DIV/0!</v>
      </c>
      <c r="BW67" t="e">
        <f>$BM67*BU67^(LN(Constants!$B$2/Constants!$B$3))</f>
        <v>#DIV/0!</v>
      </c>
      <c r="BX67" s="33" t="e">
        <f>BW67*SQRT((BN67/BM67)^2+(((BM67*($BU67+$BV67)^LN(Constants!$B$2/Constants!$B$3))-BW67)/BW67)^2)</f>
        <v>#DIV/0!</v>
      </c>
      <c r="BY67" t="e">
        <f>BO67*BU67^(LN(Constants!$B$2/Constants!$B$4))</f>
        <v>#DIV/0!</v>
      </c>
      <c r="BZ67" s="33" t="e">
        <f>BY67*SQRT((BP67/BO67)^2+(((BO67*($BU67+$BV67)^LN(Constants!$B$2/Constants!$B$4))-BY67)/BY67)^2)</f>
        <v>#DIV/0!</v>
      </c>
      <c r="CA67" t="e">
        <f>BS67*BU67^(LN(Constants!$B$2/Constants!$B$5))</f>
        <v>#DIV/0!</v>
      </c>
      <c r="CB67" s="33" t="e">
        <f>CA67*SQRT((BT67/BS67)^2+(((BS67*($BU67+$BV67)^LN(Constants!$B$2/Constants!$B$5))-CA67)/CA67)^2)</f>
        <v>#DIV/0!</v>
      </c>
      <c r="CC67" t="e">
        <f>(Constants!$C$18/AVERAGE(BO66,BO68))^(1/LN(Constants!$B$2/Constants!$B$4))</f>
        <v>#NUM!</v>
      </c>
      <c r="CD67" t="e">
        <f>MAX(ABS((Constants!$C$18/BO66)^(1/LN(Constants!$B$2/Constants!$B$4))-(Constants!$C$18/BO68)^(1/LN(Constants!$B$2/Constants!$B$4))),CD66,CD68)</f>
        <v>#NUM!</v>
      </c>
      <c r="CE67" t="e">
        <f>$BM67*CC67^(LN(Constants!$B$2/Constants!$B$3))</f>
        <v>#DIV/0!</v>
      </c>
      <c r="CF67" s="33" t="e">
        <f>CE67*SQRT((BN67/BM67)^2+(($BM67*($CC67+$CD67)^(LN(Constants!$B$2/Constants!$B$3))-CE67)/CE67)^2)</f>
        <v>#DIV/0!</v>
      </c>
      <c r="CG67" t="e">
        <f>BO67*CC67^(LN(Constants!$B$2/Constants!$B$4))</f>
        <v>#DIV/0!</v>
      </c>
      <c r="CH67" s="33" t="e">
        <f>CG67*SQRT((BP67/BO67)^2+((BO67*($CC67+$CD67)^(LN(Constants!$B$2/Constants!$B$4))-CG67)/CG67)^2)</f>
        <v>#DIV/0!</v>
      </c>
      <c r="CI67" t="e">
        <f>BQ67*$CC67^(LN(Constants!$B$3/Constants!$B$6))</f>
        <v>#DIV/0!</v>
      </c>
      <c r="CJ67" s="33" t="e">
        <f>CI67*SQRT((BR67/BQ67)^2+((BQ67*($CC67+$CD67)^(LN(Constants!$B$3/Constants!$B$6))-CI67)/CI67)^2)</f>
        <v>#DIV/0!</v>
      </c>
      <c r="CK67" t="e">
        <f>BS67*CC67^(LN(Constants!$B$2/Constants!$B$5))</f>
        <v>#DIV/0!</v>
      </c>
      <c r="CL67" s="33" t="e">
        <f>CK67*SQRT((BT67/BS67)^2+((BS67*($CC67+$CD67)^(LN(Constants!$B$2/Constants!$B$5))-CK67)/CK67)^2)</f>
        <v>#DIV/0!</v>
      </c>
      <c r="CM67" t="e">
        <f>CK67*Constants!$C$17/AVERAGE(CK66,CK68)</f>
        <v>#DIV/0!</v>
      </c>
      <c r="CN67" t="e">
        <f>CM67*SQRT(((CK66-CK68)/CK68/4)^2+(CL67/CK67)^2+AVERAGE(CL66/CK66,CL68/CK68)^2)</f>
        <v>#DIV/0!</v>
      </c>
      <c r="CO67" t="e">
        <f>1/CM67*CE67*CI67</f>
        <v>#DIV/0!</v>
      </c>
      <c r="CQ67" t="e">
        <f>$K67/$J67</f>
        <v>#DIV/0!</v>
      </c>
      <c r="CR67" t="e">
        <f>$BN67/$BM67</f>
        <v>#DIV/0!</v>
      </c>
      <c r="CS67" t="e">
        <f>$CF67/$CE67</f>
        <v>#DIV/0!</v>
      </c>
      <c r="CT67" t="e">
        <f>$Q67/$P67</f>
        <v>#DIV/0!</v>
      </c>
      <c r="CU67" t="e">
        <f>$BT67/$BS67</f>
        <v>#DIV/0!</v>
      </c>
      <c r="CV67" t="e">
        <f>$CL67/$CK67</f>
        <v>#DIV/0!</v>
      </c>
      <c r="CW67" t="e">
        <f>$CN67/$CM67</f>
        <v>#DIV/0!</v>
      </c>
      <c r="CY67" s="82" t="e">
        <f>$CQ67/$CS67</f>
        <v>#DIV/0!</v>
      </c>
      <c r="CZ67" s="82" t="e">
        <f>$CR67/$CS67-$CY67</f>
        <v>#DIV/0!</v>
      </c>
      <c r="DA67" s="82" t="e">
        <f>$CS67/$CS67-$CZ67-$CY67</f>
        <v>#DIV/0!</v>
      </c>
      <c r="DB67" s="82" t="e">
        <f>$CT67/$CW67</f>
        <v>#DIV/0!</v>
      </c>
      <c r="DC67" s="82" t="e">
        <f>$CU67/$CW67-$DB67</f>
        <v>#DIV/0!</v>
      </c>
      <c r="DD67" s="82" t="e">
        <f>$CV67/$CW67-$DC67-$DB67</f>
        <v>#DIV/0!</v>
      </c>
      <c r="DE67" s="82" t="e">
        <f>$CW67/$CW67-$DD67-$DC67-$DB67</f>
        <v>#DIV/0!</v>
      </c>
    </row>
    <row r="68" spans="1:109">
      <c r="A68" s="73">
        <f t="shared" si="46"/>
        <v>0</v>
      </c>
      <c r="B68" s="73"/>
      <c r="C68" s="73"/>
      <c r="J68" s="62"/>
      <c r="K68" s="62"/>
      <c r="L68" s="62"/>
      <c r="M68" s="62"/>
      <c r="N68" s="62"/>
      <c r="O68" s="62"/>
      <c r="P68" s="62"/>
      <c r="Q68" s="62"/>
      <c r="R68" s="62"/>
      <c r="S68" s="62"/>
      <c r="T68" s="62"/>
      <c r="U68" s="62"/>
      <c r="V68" s="62"/>
      <c r="W68" s="62"/>
      <c r="X68" s="63"/>
      <c r="Y68" s="63"/>
      <c r="Z68" s="63"/>
      <c r="AB68" s="62"/>
      <c r="AC68" s="62"/>
      <c r="AD68" s="62"/>
      <c r="AE68" s="62"/>
      <c r="AF68" s="62"/>
      <c r="AG68" s="62"/>
      <c r="AH68" s="62"/>
      <c r="AI68" s="62"/>
      <c r="AJ68" s="62"/>
      <c r="AK68" s="62"/>
      <c r="AL68" s="62"/>
      <c r="AM68" s="62"/>
      <c r="AN68" s="63"/>
      <c r="AO68" s="63"/>
      <c r="AP68" s="63"/>
      <c r="AQ68" s="1"/>
      <c r="AR68" s="1">
        <f>Constants!B$25</f>
        <v>2.2917410000000001E-6</v>
      </c>
      <c r="AS68" s="1">
        <f t="shared" ref="AS68:AS90" si="52">R68</f>
        <v>0</v>
      </c>
      <c r="AT68" s="1">
        <f t="shared" ref="AT68:AT90" si="53">MAX(0.000001,T68)</f>
        <v>9.9999999999999995E-7</v>
      </c>
      <c r="AU68" s="1" t="e">
        <f t="shared" si="42"/>
        <v>#NUM!</v>
      </c>
      <c r="AV68" s="1" t="e">
        <f t="shared" ref="AV68:AV90" si="54">AS68/L68</f>
        <v>#DIV/0!</v>
      </c>
      <c r="AW68" s="1" t="e">
        <f t="shared" si="43"/>
        <v>#NUM!</v>
      </c>
      <c r="AX68" s="1">
        <f t="shared" ref="AX68:AX90" si="55">V68</f>
        <v>0</v>
      </c>
      <c r="AY68" t="e">
        <f t="shared" si="25"/>
        <v>#DIV/0!</v>
      </c>
      <c r="AZ68" s="1" t="e">
        <f t="shared" ref="AZ68:AZ90" si="56">AT68/N68</f>
        <v>#DIV/0!</v>
      </c>
      <c r="BA68" s="1" t="e">
        <f t="shared" si="44"/>
        <v>#NUM!</v>
      </c>
      <c r="BB68" s="1" t="e">
        <f t="shared" ref="BB68:BB90" si="57">AL68-BC68</f>
        <v>#NUM!</v>
      </c>
      <c r="BC68" s="1" t="e">
        <f t="shared" si="45"/>
        <v>#NUM!</v>
      </c>
      <c r="BD68" t="e">
        <f t="shared" ref="BD68:BD90" si="58">(LN(AF68)-LN(AH68))/(LN(238-236.5))</f>
        <v>#NUM!</v>
      </c>
      <c r="BE68" s="1"/>
      <c r="BF68" s="32" t="e">
        <f t="shared" si="47"/>
        <v>#DIV/0!</v>
      </c>
      <c r="BG68" s="1" t="e">
        <f t="shared" si="48"/>
        <v>#DIV/0!</v>
      </c>
      <c r="BH68" s="1" t="e">
        <f t="shared" si="49"/>
        <v>#DIV/0!</v>
      </c>
      <c r="BI68" s="1" t="e">
        <f t="shared" si="50"/>
        <v>#NUM!</v>
      </c>
      <c r="BJ68" s="1" t="e">
        <f t="shared" si="51"/>
        <v>#NUM!</v>
      </c>
      <c r="BK68" s="1"/>
      <c r="BL68" s="1"/>
      <c r="BM68" s="1"/>
      <c r="BN68" s="1"/>
      <c r="BO68" s="1" t="e">
        <f t="shared" ref="BO68:BO90" si="59">L68/(1-AW68/62415093/AV68)</f>
        <v>#NUM!</v>
      </c>
      <c r="BP68" s="33" t="e">
        <f t="shared" ref="BP68:BP90" si="60">SQRT((M68/(1-BI68))^2+(BJ68*L68/(1-BI68)^2)^2)</f>
        <v>#NUM!</v>
      </c>
      <c r="BQ68" s="1"/>
      <c r="BR68" s="1"/>
      <c r="BS68" s="1" t="e">
        <f t="shared" ref="BS68:BS90" si="61">P68/(1-BG68)</f>
        <v>#DIV/0!</v>
      </c>
      <c r="BT68" s="1" t="e">
        <f t="shared" ref="BT68:BT90" si="62">SQRT((Q68/(1-BG68))^2+(BH68*P68/(1-BG68)^2)^2)</f>
        <v>#DIV/0!</v>
      </c>
      <c r="BU68" s="1"/>
      <c r="BV68" s="1"/>
      <c r="BW68" s="1"/>
      <c r="BX68" s="1"/>
      <c r="BY68" s="1"/>
      <c r="BZ68" s="1"/>
      <c r="CA68" s="1"/>
      <c r="CB68" s="1"/>
      <c r="CC68" t="e">
        <f>(Constants!$C$18/BO68)^(1/LN(Constants!$B$2/Constants!$B$4))</f>
        <v>#NUM!</v>
      </c>
      <c r="CD68" t="e">
        <f>ABS((Constants!$C$18/BO68)^(1/LN(Constants!$B$2/Constants!$B$4))-(Constants!$C$18/(BO68+BP68))^(1/LN(Constants!$B$2/Constants!$B$4)))</f>
        <v>#NUM!</v>
      </c>
      <c r="CK68" t="e">
        <f>BS68*$CC68^(LN(Constants!$B$2/Constants!$B$5))</f>
        <v>#DIV/0!</v>
      </c>
      <c r="CL68" s="33" t="e">
        <f>CK68*SQRT((BT68/BS68)^2+((BS68*($CC68+$CD68)^(LN(Constants!$B$2/Constants!$B$5))-CK68)/CK68)^2)</f>
        <v>#DIV/0!</v>
      </c>
      <c r="CR68" s="1"/>
      <c r="CS68" s="1"/>
      <c r="CU68" s="1"/>
      <c r="CV68" s="1"/>
      <c r="CW68" s="1"/>
    </row>
    <row r="69" spans="1:109">
      <c r="A69" s="73">
        <f t="shared" si="46"/>
        <v>0</v>
      </c>
      <c r="B69" t="str">
        <f>IF(NOT(ISBLANK($J69)),IF($T69&lt;Constants!$B$32,"low spike","OK"),"")</f>
        <v/>
      </c>
      <c r="C69" t="str">
        <f>IF(NOT(ISBLANK($J69)), IF((ABS($L68-$L70)/$L68)&gt;Constants!$B$33,"variable mass bias","OK"), "")</f>
        <v/>
      </c>
      <c r="D69" t="str">
        <f>IF(NOT(ISBLANK($J69)), IF((ABS($P68-$P70)/$P68)&gt;Constants!$B$34,"variable IC yield","OK"),"")</f>
        <v/>
      </c>
      <c r="E69" s="34" t="e">
        <f>CE69</f>
        <v>#DIV/0!</v>
      </c>
      <c r="F69" s="34" t="e">
        <f>CF69</f>
        <v>#DIV/0!</v>
      </c>
      <c r="G69" s="34" t="e">
        <f>CM69</f>
        <v>#DIV/0!</v>
      </c>
      <c r="H69" s="48" t="e">
        <f>CN69</f>
        <v>#DIV/0!</v>
      </c>
      <c r="I69" s="33"/>
      <c r="J69" s="62"/>
      <c r="K69" s="62"/>
      <c r="L69" s="62"/>
      <c r="M69" s="62"/>
      <c r="N69" s="62"/>
      <c r="O69" s="62"/>
      <c r="P69" s="62"/>
      <c r="Q69" s="62"/>
      <c r="R69" s="62"/>
      <c r="S69" s="62"/>
      <c r="T69" s="62"/>
      <c r="U69" s="62"/>
      <c r="V69" s="62"/>
      <c r="W69" s="62"/>
      <c r="X69" s="63"/>
      <c r="Y69" s="63"/>
      <c r="Z69" s="63"/>
      <c r="AB69" s="1">
        <f>R69</f>
        <v>0</v>
      </c>
      <c r="AC69" s="1">
        <f>S69</f>
        <v>0</v>
      </c>
      <c r="AD69" s="1">
        <f>T69</f>
        <v>0</v>
      </c>
      <c r="AE69" s="1">
        <f>U69</f>
        <v>0</v>
      </c>
      <c r="AF69" s="1" t="e">
        <f>AVERAGE(AF68/$AB68,AF70/$AB70)*$AB69</f>
        <v>#DIV/0!</v>
      </c>
      <c r="AG69" s="1" t="e">
        <f>AVERAGE(AG68/AF68,AG70/AF70)*AF69</f>
        <v>#DIV/0!</v>
      </c>
      <c r="AH69" s="1" t="e">
        <f>AVERAGE(AH68/$AB68,AH70/$AB70)*$AB69</f>
        <v>#DIV/0!</v>
      </c>
      <c r="AI69" s="1" t="e">
        <f>AVERAGE(AI68/AH68,AI70/AH70)*AH69</f>
        <v>#DIV/0!</v>
      </c>
      <c r="AJ69" s="1" t="e">
        <f>AVERAGE(AJ68/$AB68,AJ70/$AB70)*$AB69</f>
        <v>#DIV/0!</v>
      </c>
      <c r="AK69" s="1" t="e">
        <f>AVERAGE(AK68/AJ68,AK70/AJ70)*AJ69</f>
        <v>#DIV/0!</v>
      </c>
      <c r="AL69" s="1" t="e">
        <f>AVERAGE(AL68/$AB68,AL70/$AB70)*$AB69</f>
        <v>#DIV/0!</v>
      </c>
      <c r="AM69" s="1" t="e">
        <f>AVERAGE(AM68/AL68,AM70/AL70)*AL69</f>
        <v>#DIV/0!</v>
      </c>
      <c r="AR69" s="1">
        <f>Constants!B$25</f>
        <v>2.2917410000000001E-6</v>
      </c>
      <c r="AS69" s="1">
        <f t="shared" si="52"/>
        <v>0</v>
      </c>
      <c r="AT69" s="1">
        <f t="shared" si="53"/>
        <v>9.9999999999999995E-7</v>
      </c>
      <c r="AU69" s="1" t="e">
        <f t="shared" si="42"/>
        <v>#DIV/0!</v>
      </c>
      <c r="AV69" s="1" t="e">
        <f t="shared" si="54"/>
        <v>#DIV/0!</v>
      </c>
      <c r="AW69" s="1" t="e">
        <f t="shared" si="43"/>
        <v>#DIV/0!</v>
      </c>
      <c r="AX69" s="1">
        <f t="shared" si="55"/>
        <v>0</v>
      </c>
      <c r="AY69" t="e">
        <f t="shared" si="25"/>
        <v>#DIV/0!</v>
      </c>
      <c r="AZ69" s="1" t="e">
        <f t="shared" si="56"/>
        <v>#DIV/0!</v>
      </c>
      <c r="BA69" s="1" t="e">
        <f t="shared" si="44"/>
        <v>#DIV/0!</v>
      </c>
      <c r="BB69" s="1" t="e">
        <f t="shared" si="57"/>
        <v>#DIV/0!</v>
      </c>
      <c r="BC69" s="1" t="e">
        <f t="shared" si="26"/>
        <v>#DIV/0!</v>
      </c>
      <c r="BD69" t="e">
        <f t="shared" si="58"/>
        <v>#DIV/0!</v>
      </c>
      <c r="BF69" s="32" t="e">
        <f t="shared" si="47"/>
        <v>#DIV/0!</v>
      </c>
      <c r="BG69" s="1" t="e">
        <f t="shared" si="48"/>
        <v>#DIV/0!</v>
      </c>
      <c r="BH69" s="1" t="e">
        <f t="shared" si="49"/>
        <v>#DIV/0!</v>
      </c>
      <c r="BI69" s="1" t="e">
        <f t="shared" si="50"/>
        <v>#DIV/0!</v>
      </c>
      <c r="BJ69" s="1" t="e">
        <f t="shared" si="51"/>
        <v>#DIV/0!</v>
      </c>
      <c r="BK69" s="1" t="e">
        <f>AU69/AT69/62415093</f>
        <v>#DIV/0!</v>
      </c>
      <c r="BL69" s="1" t="e">
        <f>BK69*0.1</f>
        <v>#DIV/0!</v>
      </c>
      <c r="BM69" s="1" t="e">
        <f>J69/(1-(AU69/62415093)/AT69)</f>
        <v>#DIV/0!</v>
      </c>
      <c r="BN69" s="33" t="e">
        <f>SQRT((K69/(1-BK69))^2+(BL69*J69/(1-BK69)^2)^2)</f>
        <v>#DIV/0!</v>
      </c>
      <c r="BO69" s="1" t="e">
        <f t="shared" si="59"/>
        <v>#DIV/0!</v>
      </c>
      <c r="BP69" s="33" t="e">
        <f t="shared" si="60"/>
        <v>#DIV/0!</v>
      </c>
      <c r="BQ69" s="1" t="e">
        <f>N69*(1-BK69)</f>
        <v>#DIV/0!</v>
      </c>
      <c r="BR69" t="e">
        <f>SQRT(O69^2+BL69^2)</f>
        <v>#DIV/0!</v>
      </c>
      <c r="BS69" s="1" t="e">
        <f t="shared" si="61"/>
        <v>#DIV/0!</v>
      </c>
      <c r="BT69" s="1" t="e">
        <f t="shared" si="62"/>
        <v>#DIV/0!</v>
      </c>
      <c r="BU69" t="e">
        <f>(Constants!$C$19/$BQ69)^(1/LN(Constants!$B$3/Constants!$B$6))</f>
        <v>#DIV/0!</v>
      </c>
      <c r="BV69" t="e">
        <f>(Constants!$C$19/($BQ69-BR69))^(1/LN(Constants!$B$3/Constants!$B$6))-BU69</f>
        <v>#DIV/0!</v>
      </c>
      <c r="BW69" t="e">
        <f>$BM69*BU69^(LN(Constants!$B$2/Constants!$B$3))</f>
        <v>#DIV/0!</v>
      </c>
      <c r="BX69" s="33" t="e">
        <f>BW69*SQRT((BN69/BM69)^2+(((BM69*($BU69+$BV69)^LN(Constants!$B$2/Constants!$B$3))-BW69)/BW69)^2)</f>
        <v>#DIV/0!</v>
      </c>
      <c r="BY69" t="e">
        <f>BO69*BU69^(LN(Constants!$B$2/Constants!$B$4))</f>
        <v>#DIV/0!</v>
      </c>
      <c r="BZ69" s="33" t="e">
        <f>BY69*SQRT((BP69/BO69)^2+(((BO69*($BU69+$BV69)^LN(Constants!$B$2/Constants!$B$4))-BY69)/BY69)^2)</f>
        <v>#DIV/0!</v>
      </c>
      <c r="CA69" t="e">
        <f>BS69*BU69^(LN(Constants!$B$2/Constants!$B$5))</f>
        <v>#DIV/0!</v>
      </c>
      <c r="CB69" s="33" t="e">
        <f>CA69*SQRT((BT69/BS69)^2+(((BS69*($BU69+$BV69)^LN(Constants!$B$2/Constants!$B$5))-CA69)/CA69)^2)</f>
        <v>#DIV/0!</v>
      </c>
      <c r="CC69" t="e">
        <f>(Constants!$C$18/AVERAGE(BO68,BO70))^(1/LN(Constants!$B$2/Constants!$B$4))</f>
        <v>#NUM!</v>
      </c>
      <c r="CD69" t="e">
        <f>MAX(ABS((Constants!$C$18/BO68)^(1/LN(Constants!$B$2/Constants!$B$4))-(Constants!$C$18/BO70)^(1/LN(Constants!$B$2/Constants!$B$4))),CD68,CD70)</f>
        <v>#NUM!</v>
      </c>
      <c r="CE69" t="e">
        <f>$BM69*CC69^(LN(Constants!$B$2/Constants!$B$3))</f>
        <v>#DIV/0!</v>
      </c>
      <c r="CF69" s="33" t="e">
        <f>CE69*SQRT((BN69/BM69)^2+(($BM69*($CC69+$CD69)^(LN(Constants!$B$2/Constants!$B$3))-CE69)/CE69)^2)</f>
        <v>#DIV/0!</v>
      </c>
      <c r="CG69" t="e">
        <f>BO69*CC69^(LN(Constants!$B$2/Constants!$B$4))</f>
        <v>#DIV/0!</v>
      </c>
      <c r="CH69" s="33" t="e">
        <f>CG69*SQRT((BP69/BO69)^2+((BO69*($CC69+$CD69)^(LN(Constants!$B$2/Constants!$B$4))-CG69)/CG69)^2)</f>
        <v>#DIV/0!</v>
      </c>
      <c r="CI69" t="e">
        <f>BQ69*$CC69^(LN(Constants!$B$3/Constants!$B$6))</f>
        <v>#DIV/0!</v>
      </c>
      <c r="CJ69" s="33" t="e">
        <f>CI69*SQRT((BR69/BQ69)^2+((BQ69*($CC69+$CD69)^(LN(Constants!$B$3/Constants!$B$6))-CI69)/CI69)^2)</f>
        <v>#DIV/0!</v>
      </c>
      <c r="CK69" t="e">
        <f>BS69*CC69^(LN(Constants!$B$2/Constants!$B$5))</f>
        <v>#DIV/0!</v>
      </c>
      <c r="CL69" s="33" t="e">
        <f>CK69*SQRT((BT69/BS69)^2+((BS69*($CC69+$CD69)^(LN(Constants!$B$2/Constants!$B$5))-CK69)/CK69)^2)</f>
        <v>#DIV/0!</v>
      </c>
      <c r="CM69" t="e">
        <f>CK69*Constants!$C$17/AVERAGE(CK68,CK70)</f>
        <v>#DIV/0!</v>
      </c>
      <c r="CN69" t="e">
        <f>CM69*SQRT(((CK68-CK70)/CK70/4)^2+(CL69/CK69)^2+AVERAGE(CL68/CK68,CL70/CK70)^2)</f>
        <v>#DIV/0!</v>
      </c>
      <c r="CO69" t="e">
        <f>1/CM69*CE69*CI69</f>
        <v>#DIV/0!</v>
      </c>
      <c r="CQ69" t="e">
        <f>$K69/$J69</f>
        <v>#DIV/0!</v>
      </c>
      <c r="CR69" t="e">
        <f>$BN69/$BM69</f>
        <v>#DIV/0!</v>
      </c>
      <c r="CS69" t="e">
        <f>$CF69/$CE69</f>
        <v>#DIV/0!</v>
      </c>
      <c r="CT69" t="e">
        <f>$Q69/$P69</f>
        <v>#DIV/0!</v>
      </c>
      <c r="CU69" t="e">
        <f>$BT69/$BS69</f>
        <v>#DIV/0!</v>
      </c>
      <c r="CV69" t="e">
        <f>$CL69/$CK69</f>
        <v>#DIV/0!</v>
      </c>
      <c r="CW69" t="e">
        <f>$CN69/$CM69</f>
        <v>#DIV/0!</v>
      </c>
      <c r="CY69" s="82" t="e">
        <f>$CQ69/$CS69</f>
        <v>#DIV/0!</v>
      </c>
      <c r="CZ69" s="82" t="e">
        <f>$CR69/$CS69-$CY69</f>
        <v>#DIV/0!</v>
      </c>
      <c r="DA69" s="82" t="e">
        <f>$CS69/$CS69-$CZ69-$CY69</f>
        <v>#DIV/0!</v>
      </c>
      <c r="DB69" s="82" t="e">
        <f>$CT69/$CW69</f>
        <v>#DIV/0!</v>
      </c>
      <c r="DC69" s="82" t="e">
        <f>$CU69/$CW69-$DB69</f>
        <v>#DIV/0!</v>
      </c>
      <c r="DD69" s="82" t="e">
        <f>$CV69/$CW69-$DC69-$DB69</f>
        <v>#DIV/0!</v>
      </c>
      <c r="DE69" s="82" t="e">
        <f>$CW69/$CW69-$DD69-$DC69-$DB69</f>
        <v>#DIV/0!</v>
      </c>
    </row>
    <row r="70" spans="1:109">
      <c r="A70" s="73">
        <f t="shared" ref="A70:A90" si="63">X70</f>
        <v>0</v>
      </c>
      <c r="B70" s="73"/>
      <c r="C70" s="73"/>
      <c r="J70" s="62"/>
      <c r="K70" s="62"/>
      <c r="L70" s="62"/>
      <c r="M70" s="62"/>
      <c r="N70" s="62"/>
      <c r="O70" s="62"/>
      <c r="P70" s="62"/>
      <c r="Q70" s="62"/>
      <c r="R70" s="62"/>
      <c r="S70" s="62"/>
      <c r="T70" s="62"/>
      <c r="U70" s="62"/>
      <c r="V70" s="62"/>
      <c r="W70" s="62"/>
      <c r="X70" s="63"/>
      <c r="Y70" s="63"/>
      <c r="Z70" s="63"/>
      <c r="AB70" s="1"/>
      <c r="AC70" s="1"/>
      <c r="AD70" s="1"/>
      <c r="AE70" s="1"/>
      <c r="AF70" s="1"/>
      <c r="AG70" s="1"/>
      <c r="AH70" s="1"/>
      <c r="AI70" s="1"/>
      <c r="AJ70" s="1"/>
      <c r="AK70" s="1"/>
      <c r="AL70" s="1"/>
      <c r="AM70" s="1"/>
      <c r="AQ70" s="1"/>
      <c r="AR70" s="1">
        <f>Constants!B$25</f>
        <v>2.2917410000000001E-6</v>
      </c>
      <c r="AS70" s="1">
        <f t="shared" si="52"/>
        <v>0</v>
      </c>
      <c r="AT70" s="1">
        <f t="shared" si="53"/>
        <v>9.9999999999999995E-7</v>
      </c>
      <c r="AU70" s="1" t="e">
        <f t="shared" ref="AU70:AU90" si="64">EXP(-$BD70*LN(238-236)+LN(AF70))</f>
        <v>#NUM!</v>
      </c>
      <c r="AV70" s="1" t="e">
        <f t="shared" si="54"/>
        <v>#DIV/0!</v>
      </c>
      <c r="AW70" s="1" t="e">
        <f t="shared" ref="AW70:AW90" si="65">EXP(-BD70*LN(238-235)+LN(AF70))+EXP(-BD70*LN(236-235)+LN(AF70/AS70*AT70))</f>
        <v>#NUM!</v>
      </c>
      <c r="AX70" s="1">
        <f t="shared" si="55"/>
        <v>0</v>
      </c>
      <c r="AY70" t="e">
        <f t="shared" si="25"/>
        <v>#DIV/0!</v>
      </c>
      <c r="AZ70" s="1" t="e">
        <f t="shared" si="56"/>
        <v>#DIV/0!</v>
      </c>
      <c r="BA70" s="1" t="e">
        <f t="shared" ref="BA70:BA90" si="66">EXP(-BD70*LN(238-233)+LN(AF70))+EXP(-BD70*LN(236-233)+LN(AF70/AS70*AT70))+EXP(-BD70*LN(235-233)+LN(AF70/AS70*AV70))</f>
        <v>#NUM!</v>
      </c>
      <c r="BB70" s="1" t="e">
        <f t="shared" si="57"/>
        <v>#NUM!</v>
      </c>
      <c r="BC70" s="1" t="e">
        <f t="shared" ref="BC70:BC90" si="67">EXP(-$BD70*LN(238-233.5)+LN($AF70))+EXP(-$BD70*LN(236-233.5)+LN($AF70/$AS70*$AT70))+EXP(-$BD70*LN(235-233.5)+LN($AF70/$AS70*$AV70))</f>
        <v>#NUM!</v>
      </c>
      <c r="BD70" t="e">
        <f t="shared" si="58"/>
        <v>#NUM!</v>
      </c>
      <c r="BE70" s="1"/>
      <c r="BF70" s="32" t="e">
        <f t="shared" si="47"/>
        <v>#DIV/0!</v>
      </c>
      <c r="BG70" s="1" t="e">
        <f t="shared" si="48"/>
        <v>#DIV/0!</v>
      </c>
      <c r="BH70" s="1" t="e">
        <f t="shared" si="49"/>
        <v>#DIV/0!</v>
      </c>
      <c r="BI70" s="1" t="e">
        <f t="shared" si="50"/>
        <v>#NUM!</v>
      </c>
      <c r="BJ70" s="1" t="e">
        <f t="shared" si="51"/>
        <v>#NUM!</v>
      </c>
      <c r="BK70" s="1"/>
      <c r="BL70" s="1"/>
      <c r="BM70" s="1"/>
      <c r="BN70" s="1"/>
      <c r="BO70" s="1" t="e">
        <f t="shared" si="59"/>
        <v>#NUM!</v>
      </c>
      <c r="BP70" s="33" t="e">
        <f t="shared" si="60"/>
        <v>#NUM!</v>
      </c>
      <c r="BQ70" s="1"/>
      <c r="BR70" s="1"/>
      <c r="BS70" s="1" t="e">
        <f t="shared" si="61"/>
        <v>#DIV/0!</v>
      </c>
      <c r="BT70" s="1" t="e">
        <f t="shared" si="62"/>
        <v>#DIV/0!</v>
      </c>
      <c r="BU70" s="1"/>
      <c r="BV70" s="1"/>
      <c r="BW70" s="1"/>
      <c r="BX70" s="1"/>
      <c r="BY70" s="1"/>
      <c r="BZ70" s="1"/>
      <c r="CA70" s="1"/>
      <c r="CB70" s="1"/>
      <c r="CC70" t="e">
        <f>(Constants!$C$18/BO70)^(1/LN(Constants!$B$2/Constants!$B$4))</f>
        <v>#NUM!</v>
      </c>
      <c r="CD70" t="e">
        <f>ABS((Constants!$C$18/BO70)^(1/LN(Constants!$B$2/Constants!$B$4))-(Constants!$C$18/(BO70+BP70))^(1/LN(Constants!$B$2/Constants!$B$4)))</f>
        <v>#NUM!</v>
      </c>
      <c r="CK70" t="e">
        <f>BS70*$CC70^(LN(Constants!$B$2/Constants!$B$5))</f>
        <v>#DIV/0!</v>
      </c>
      <c r="CL70" s="33" t="e">
        <f>CK70*SQRT((BT70/BS70)^2+((BS70*($CC70+$CD70)^(LN(Constants!$B$2/Constants!$B$5))-CK70)/CK70)^2)</f>
        <v>#DIV/0!</v>
      </c>
    </row>
    <row r="71" spans="1:109">
      <c r="A71" s="73">
        <f t="shared" si="63"/>
        <v>0</v>
      </c>
      <c r="B71" t="str">
        <f>IF(NOT(ISBLANK($J71)),IF($T71&lt;Constants!$B$32,"low spike","OK"),"")</f>
        <v/>
      </c>
      <c r="C71" t="str">
        <f>IF(NOT(ISBLANK($J71)), IF((ABS($L70-$L72)/$L70)&gt;Constants!$B$33,"variable mass bias","OK"), "")</f>
        <v/>
      </c>
      <c r="D71" t="str">
        <f>IF(NOT(ISBLANK($J71)), IF((ABS($P70-$P72)/$P70)&gt;Constants!$B$34,"variable IC yield","OK"),"")</f>
        <v/>
      </c>
      <c r="E71" s="34" t="e">
        <f>CE71</f>
        <v>#DIV/0!</v>
      </c>
      <c r="F71" s="34" t="e">
        <f>CF71</f>
        <v>#DIV/0!</v>
      </c>
      <c r="G71" s="34" t="e">
        <f>CM71</f>
        <v>#DIV/0!</v>
      </c>
      <c r="H71" s="48" t="e">
        <f>CN71</f>
        <v>#DIV/0!</v>
      </c>
      <c r="I71" s="33"/>
      <c r="J71" s="62"/>
      <c r="K71" s="62"/>
      <c r="L71" s="62"/>
      <c r="M71" s="62"/>
      <c r="N71" s="62"/>
      <c r="O71" s="62"/>
      <c r="P71" s="62"/>
      <c r="Q71" s="62"/>
      <c r="R71" s="62"/>
      <c r="S71" s="62"/>
      <c r="T71" s="62"/>
      <c r="U71" s="62"/>
      <c r="V71" s="62"/>
      <c r="W71" s="62"/>
      <c r="X71" s="63"/>
      <c r="Y71" s="63"/>
      <c r="Z71" s="63"/>
      <c r="AB71" s="1">
        <f>R71</f>
        <v>0</v>
      </c>
      <c r="AC71" s="1">
        <f>S71</f>
        <v>0</v>
      </c>
      <c r="AD71" s="1">
        <f>T71</f>
        <v>0</v>
      </c>
      <c r="AE71" s="1">
        <f>U71</f>
        <v>0</v>
      </c>
      <c r="AF71" s="1" t="e">
        <f>AVERAGE(AF70/$AB70,AF72/$AB72)*$AB71</f>
        <v>#DIV/0!</v>
      </c>
      <c r="AG71" s="1" t="e">
        <f>AVERAGE(AG70/AF70,AG72/AF72)*AF71</f>
        <v>#DIV/0!</v>
      </c>
      <c r="AH71" s="1" t="e">
        <f>AVERAGE(AH70/$AB70,AH72/$AB72)*$AB71</f>
        <v>#DIV/0!</v>
      </c>
      <c r="AI71" s="1" t="e">
        <f>AVERAGE(AI70/AH70,AI72/AH72)*AH71</f>
        <v>#DIV/0!</v>
      </c>
      <c r="AJ71" s="1" t="e">
        <f>AVERAGE(AJ70/$AB70,AJ72/$AB72)*$AB71</f>
        <v>#DIV/0!</v>
      </c>
      <c r="AK71" s="1" t="e">
        <f>AVERAGE(AK70/AJ70,AK72/AJ72)*AJ71</f>
        <v>#DIV/0!</v>
      </c>
      <c r="AL71" s="1" t="e">
        <f>AVERAGE(AL70/$AB70,AL72/$AB72)*$AB71</f>
        <v>#DIV/0!</v>
      </c>
      <c r="AM71" s="1" t="e">
        <f>AVERAGE(AM70/AL70,AM72/AL72)*AL71</f>
        <v>#DIV/0!</v>
      </c>
      <c r="AR71" s="1">
        <f>Constants!B$25</f>
        <v>2.2917410000000001E-6</v>
      </c>
      <c r="AS71" s="1">
        <f t="shared" si="52"/>
        <v>0</v>
      </c>
      <c r="AT71" s="1">
        <f t="shared" si="53"/>
        <v>9.9999999999999995E-7</v>
      </c>
      <c r="AU71" s="1" t="e">
        <f t="shared" si="64"/>
        <v>#DIV/0!</v>
      </c>
      <c r="AV71" s="1" t="e">
        <f t="shared" si="54"/>
        <v>#DIV/0!</v>
      </c>
      <c r="AW71" s="1" t="e">
        <f t="shared" si="65"/>
        <v>#DIV/0!</v>
      </c>
      <c r="AX71" s="1">
        <f t="shared" si="55"/>
        <v>0</v>
      </c>
      <c r="AY71" t="e">
        <f t="shared" ref="AY71:AY90" si="68">$AZ71*$AR71*62415093+EXP(-$BD71*LN(238-234)+LN($AF71))+EXP(-$BD71*LN(236-234)+LN($AF71/$AS71*$AT71))+EXP(-$BD71*LN(235-234)+LN($AF71/$AS71*$AV71))+BB71</f>
        <v>#DIV/0!</v>
      </c>
      <c r="AZ71" s="1" t="e">
        <f t="shared" si="56"/>
        <v>#DIV/0!</v>
      </c>
      <c r="BA71" s="1" t="e">
        <f t="shared" si="66"/>
        <v>#DIV/0!</v>
      </c>
      <c r="BB71" s="1" t="e">
        <f t="shared" si="57"/>
        <v>#DIV/0!</v>
      </c>
      <c r="BC71" s="1" t="e">
        <f t="shared" si="26"/>
        <v>#DIV/0!</v>
      </c>
      <c r="BD71" t="e">
        <f t="shared" si="58"/>
        <v>#DIV/0!</v>
      </c>
      <c r="BF71" s="32" t="e">
        <f t="shared" si="47"/>
        <v>#DIV/0!</v>
      </c>
      <c r="BG71" s="1" t="e">
        <f t="shared" si="48"/>
        <v>#DIV/0!</v>
      </c>
      <c r="BH71" s="1" t="e">
        <f t="shared" si="49"/>
        <v>#DIV/0!</v>
      </c>
      <c r="BI71" s="1" t="e">
        <f t="shared" si="50"/>
        <v>#DIV/0!</v>
      </c>
      <c r="BJ71" s="1" t="e">
        <f t="shared" si="51"/>
        <v>#DIV/0!</v>
      </c>
      <c r="BK71" s="1" t="e">
        <f>AU71/AT71/62415093</f>
        <v>#DIV/0!</v>
      </c>
      <c r="BL71" s="1" t="e">
        <f>BK71*0.1</f>
        <v>#DIV/0!</v>
      </c>
      <c r="BM71" s="1" t="e">
        <f>J71/(1-(AU71/62415093)/AT71)</f>
        <v>#DIV/0!</v>
      </c>
      <c r="BN71" s="33" t="e">
        <f>SQRT((K71/(1-BK71))^2+(BL71*J71/(1-BK71)^2)^2)</f>
        <v>#DIV/0!</v>
      </c>
      <c r="BO71" s="1" t="e">
        <f t="shared" si="59"/>
        <v>#DIV/0!</v>
      </c>
      <c r="BP71" s="33" t="e">
        <f t="shared" si="60"/>
        <v>#DIV/0!</v>
      </c>
      <c r="BQ71" s="1" t="e">
        <f>N71*(1-BK71)</f>
        <v>#DIV/0!</v>
      </c>
      <c r="BR71" t="e">
        <f>SQRT(O71^2+BL71^2)</f>
        <v>#DIV/0!</v>
      </c>
      <c r="BS71" s="1" t="e">
        <f t="shared" si="61"/>
        <v>#DIV/0!</v>
      </c>
      <c r="BT71" s="1" t="e">
        <f t="shared" si="62"/>
        <v>#DIV/0!</v>
      </c>
      <c r="BU71" t="e">
        <f>(Constants!$C$19/$BQ71)^(1/LN(Constants!$B$3/Constants!$B$6))</f>
        <v>#DIV/0!</v>
      </c>
      <c r="BV71" t="e">
        <f>(Constants!$C$19/($BQ71-BR71))^(1/LN(Constants!$B$3/Constants!$B$6))-BU71</f>
        <v>#DIV/0!</v>
      </c>
      <c r="BW71" t="e">
        <f>$BM71*BU71^(LN(Constants!$B$2/Constants!$B$3))</f>
        <v>#DIV/0!</v>
      </c>
      <c r="BX71" s="33" t="e">
        <f>BW71*SQRT((BN71/BM71)^2+(((BM71*($BU71+$BV71)^LN(Constants!$B$2/Constants!$B$3))-BW71)/BW71)^2)</f>
        <v>#DIV/0!</v>
      </c>
      <c r="BY71" t="e">
        <f>BO71*BU71^(LN(Constants!$B$2/Constants!$B$4))</f>
        <v>#DIV/0!</v>
      </c>
      <c r="BZ71" s="33" t="e">
        <f>BY71*SQRT((BP71/BO71)^2+(((BO71*($BU71+$BV71)^LN(Constants!$B$2/Constants!$B$4))-BY71)/BY71)^2)</f>
        <v>#DIV/0!</v>
      </c>
      <c r="CA71" t="e">
        <f>BS71*BU71^(LN(Constants!$B$2/Constants!$B$5))</f>
        <v>#DIV/0!</v>
      </c>
      <c r="CB71" s="33" t="e">
        <f>CA71*SQRT((BT71/BS71)^2+(((BS71*($BU71+$BV71)^LN(Constants!$B$2/Constants!$B$5))-CA71)/CA71)^2)</f>
        <v>#DIV/0!</v>
      </c>
      <c r="CC71" t="e">
        <f>(Constants!$C$18/AVERAGE(BO70,BO72))^(1/LN(Constants!$B$2/Constants!$B$4))</f>
        <v>#NUM!</v>
      </c>
      <c r="CD71" t="e">
        <f>MAX(ABS((Constants!$C$18/BO70)^(1/LN(Constants!$B$2/Constants!$B$4))-(Constants!$C$18/BO72)^(1/LN(Constants!$B$2/Constants!$B$4))),CD70,CD72)</f>
        <v>#NUM!</v>
      </c>
      <c r="CE71" t="e">
        <f>$BM71*CC71^(LN(Constants!$B$2/Constants!$B$3))</f>
        <v>#DIV/0!</v>
      </c>
      <c r="CF71" s="33" t="e">
        <f>CE71*SQRT((BN71/BM71)^2+(($BM71*($CC71+$CD71)^(LN(Constants!$B$2/Constants!$B$3))-CE71)/CE71)^2)</f>
        <v>#DIV/0!</v>
      </c>
      <c r="CG71" t="e">
        <f>BO71*CC71^(LN(Constants!$B$2/Constants!$B$4))</f>
        <v>#DIV/0!</v>
      </c>
      <c r="CH71" s="33" t="e">
        <f>CG71*SQRT((BP71/BO71)^2+((BO71*($CC71+$CD71)^(LN(Constants!$B$2/Constants!$B$4))-CG71)/CG71)^2)</f>
        <v>#DIV/0!</v>
      </c>
      <c r="CI71" t="e">
        <f>BQ71*$CC71^(LN(Constants!$B$3/Constants!$B$6))</f>
        <v>#DIV/0!</v>
      </c>
      <c r="CJ71" s="33" t="e">
        <f>CI71*SQRT((BR71/BQ71)^2+((BQ71*($CC71+$CD71)^(LN(Constants!$B$3/Constants!$B$6))-CI71)/CI71)^2)</f>
        <v>#DIV/0!</v>
      </c>
      <c r="CK71" t="e">
        <f>BS71*CC71^(LN(Constants!$B$2/Constants!$B$5))</f>
        <v>#DIV/0!</v>
      </c>
      <c r="CL71" s="33" t="e">
        <f>CK71*SQRT((BT71/BS71)^2+((BS71*($CC71+$CD71)^(LN(Constants!$B$2/Constants!$B$5))-CK71)/CK71)^2)</f>
        <v>#DIV/0!</v>
      </c>
      <c r="CM71" t="e">
        <f>CK71*Constants!$C$17/AVERAGE(CK70,CK72)</f>
        <v>#DIV/0!</v>
      </c>
      <c r="CN71" t="e">
        <f>CM71*SQRT(((CK70-CK72)/CK72/4)^2+(CL71/CK71)^2+AVERAGE(CL70/CK70,CL72/CK72)^2)</f>
        <v>#DIV/0!</v>
      </c>
      <c r="CO71" t="e">
        <f>1/CM71*CE71*CI71</f>
        <v>#DIV/0!</v>
      </c>
      <c r="CQ71" t="e">
        <f>$K71/$J71</f>
        <v>#DIV/0!</v>
      </c>
      <c r="CR71" t="e">
        <f>$BN71/$BM71</f>
        <v>#DIV/0!</v>
      </c>
      <c r="CS71" t="e">
        <f>$CF71/$CE71</f>
        <v>#DIV/0!</v>
      </c>
      <c r="CT71" t="e">
        <f>$Q71/$P71</f>
        <v>#DIV/0!</v>
      </c>
      <c r="CU71" t="e">
        <f>$BT71/$BS71</f>
        <v>#DIV/0!</v>
      </c>
      <c r="CV71" t="e">
        <f>$CL71/$CK71</f>
        <v>#DIV/0!</v>
      </c>
      <c r="CW71" t="e">
        <f>$CN71/$CM71</f>
        <v>#DIV/0!</v>
      </c>
      <c r="CY71" s="82" t="e">
        <f>$CQ71/$CS71</f>
        <v>#DIV/0!</v>
      </c>
      <c r="CZ71" s="82" t="e">
        <f>$CR71/$CS71-$CY71</f>
        <v>#DIV/0!</v>
      </c>
      <c r="DA71" s="82" t="e">
        <f>$CS71/$CS71-$CZ71-$CY71</f>
        <v>#DIV/0!</v>
      </c>
      <c r="DB71" s="82" t="e">
        <f>$CT71/$CW71</f>
        <v>#DIV/0!</v>
      </c>
      <c r="DC71" s="82" t="e">
        <f>$CU71/$CW71-$DB71</f>
        <v>#DIV/0!</v>
      </c>
      <c r="DD71" s="82" t="e">
        <f>$CV71/$CW71-$DC71-$DB71</f>
        <v>#DIV/0!</v>
      </c>
      <c r="DE71" s="82" t="e">
        <f>$CW71/$CW71-$DD71-$DC71-$DB71</f>
        <v>#DIV/0!</v>
      </c>
    </row>
    <row r="72" spans="1:109">
      <c r="A72" s="73">
        <f t="shared" si="63"/>
        <v>0</v>
      </c>
      <c r="B72" s="73"/>
      <c r="C72" s="73"/>
      <c r="J72" s="62"/>
      <c r="K72" s="62"/>
      <c r="L72" s="62"/>
      <c r="M72" s="62"/>
      <c r="N72" s="62"/>
      <c r="O72" s="62"/>
      <c r="P72" s="62"/>
      <c r="Q72" s="62"/>
      <c r="R72" s="62"/>
      <c r="S72" s="62"/>
      <c r="T72" s="62"/>
      <c r="U72" s="62"/>
      <c r="V72" s="62"/>
      <c r="W72" s="62"/>
      <c r="X72" s="63"/>
      <c r="Y72" s="63"/>
      <c r="Z72" s="63"/>
      <c r="AB72" s="1"/>
      <c r="AC72" s="1"/>
      <c r="AD72" s="1"/>
      <c r="AE72" s="1"/>
      <c r="AF72" s="1"/>
      <c r="AG72" s="1"/>
      <c r="AH72" s="1"/>
      <c r="AI72" s="1"/>
      <c r="AJ72" s="1"/>
      <c r="AK72" s="1"/>
      <c r="AL72" s="1"/>
      <c r="AM72" s="1"/>
      <c r="AQ72" s="1"/>
      <c r="AR72" s="1">
        <f>Constants!B$25</f>
        <v>2.2917410000000001E-6</v>
      </c>
      <c r="AS72" s="1">
        <f t="shared" si="52"/>
        <v>0</v>
      </c>
      <c r="AT72" s="1">
        <f t="shared" si="53"/>
        <v>9.9999999999999995E-7</v>
      </c>
      <c r="AU72" s="1" t="e">
        <f t="shared" si="64"/>
        <v>#NUM!</v>
      </c>
      <c r="AV72" s="1" t="e">
        <f t="shared" si="54"/>
        <v>#DIV/0!</v>
      </c>
      <c r="AW72" s="1" t="e">
        <f t="shared" si="65"/>
        <v>#NUM!</v>
      </c>
      <c r="AX72" s="1">
        <f t="shared" si="55"/>
        <v>0</v>
      </c>
      <c r="AY72" t="e">
        <f t="shared" si="68"/>
        <v>#DIV/0!</v>
      </c>
      <c r="AZ72" s="1" t="e">
        <f t="shared" si="56"/>
        <v>#DIV/0!</v>
      </c>
      <c r="BA72" s="1" t="e">
        <f t="shared" si="66"/>
        <v>#NUM!</v>
      </c>
      <c r="BB72" s="1" t="e">
        <f t="shared" si="57"/>
        <v>#NUM!</v>
      </c>
      <c r="BC72" s="1" t="e">
        <f t="shared" si="67"/>
        <v>#NUM!</v>
      </c>
      <c r="BD72" t="e">
        <f t="shared" si="58"/>
        <v>#NUM!</v>
      </c>
      <c r="BE72" s="1"/>
      <c r="BF72" s="32" t="e">
        <f t="shared" si="47"/>
        <v>#DIV/0!</v>
      </c>
      <c r="BG72" s="1" t="e">
        <f t="shared" si="48"/>
        <v>#DIV/0!</v>
      </c>
      <c r="BH72" s="1" t="e">
        <f t="shared" si="49"/>
        <v>#DIV/0!</v>
      </c>
      <c r="BI72" s="1" t="e">
        <f t="shared" si="50"/>
        <v>#NUM!</v>
      </c>
      <c r="BJ72" s="1" t="e">
        <f t="shared" si="51"/>
        <v>#NUM!</v>
      </c>
      <c r="BK72" s="1"/>
      <c r="BL72" s="1"/>
      <c r="BM72" s="1"/>
      <c r="BN72" s="1"/>
      <c r="BO72" s="1" t="e">
        <f t="shared" si="59"/>
        <v>#NUM!</v>
      </c>
      <c r="BP72" s="33" t="e">
        <f t="shared" si="60"/>
        <v>#NUM!</v>
      </c>
      <c r="BQ72" s="1"/>
      <c r="BR72" s="1"/>
      <c r="BS72" s="1" t="e">
        <f t="shared" si="61"/>
        <v>#DIV/0!</v>
      </c>
      <c r="BT72" s="1" t="e">
        <f t="shared" si="62"/>
        <v>#DIV/0!</v>
      </c>
      <c r="BU72" s="1"/>
      <c r="BV72" s="1"/>
      <c r="BW72" s="1"/>
      <c r="BX72" s="1"/>
      <c r="BY72" s="1"/>
      <c r="BZ72" s="1"/>
      <c r="CA72" s="1"/>
      <c r="CB72" s="1"/>
      <c r="CC72" t="e">
        <f>(Constants!$C$18/BO72)^(1/LN(Constants!$B$2/Constants!$B$4))</f>
        <v>#NUM!</v>
      </c>
      <c r="CD72" t="e">
        <f>ABS((Constants!$C$18/BO72)^(1/LN(Constants!$B$2/Constants!$B$4))-(Constants!$C$18/(BO72+BP72))^(1/LN(Constants!$B$2/Constants!$B$4)))</f>
        <v>#NUM!</v>
      </c>
      <c r="CK72" t="e">
        <f>BS72*$CC72^(LN(Constants!$B$2/Constants!$B$5))</f>
        <v>#DIV/0!</v>
      </c>
      <c r="CL72" s="33" t="e">
        <f>CK72*SQRT((BT72/BS72)^2+((BS72*($CC72+$CD72)^(LN(Constants!$B$2/Constants!$B$5))-CK72)/CK72)^2)</f>
        <v>#DIV/0!</v>
      </c>
    </row>
    <row r="73" spans="1:109">
      <c r="A73" s="73">
        <f t="shared" si="63"/>
        <v>0</v>
      </c>
      <c r="B73" t="str">
        <f>IF(NOT(ISBLANK($J73)),IF($T73&lt;Constants!$B$32,"low spike","OK"),"")</f>
        <v/>
      </c>
      <c r="C73" t="str">
        <f>IF(NOT(ISBLANK($J73)), IF((ABS($L72-$L74)/$L72)&gt;Constants!$B$33,"variable mass bias","OK"), "")</f>
        <v/>
      </c>
      <c r="D73" t="str">
        <f>IF(NOT(ISBLANK($J73)), IF((ABS($P72-$P74)/$P72)&gt;Constants!$B$34,"variable IC yield","OK"),"")</f>
        <v/>
      </c>
      <c r="E73" s="34" t="e">
        <f>CE73</f>
        <v>#DIV/0!</v>
      </c>
      <c r="F73" s="34" t="e">
        <f>CF73</f>
        <v>#DIV/0!</v>
      </c>
      <c r="G73" s="34" t="e">
        <f>CM73</f>
        <v>#DIV/0!</v>
      </c>
      <c r="H73" s="48" t="e">
        <f>CN73</f>
        <v>#DIV/0!</v>
      </c>
      <c r="I73" s="33"/>
      <c r="J73" s="62"/>
      <c r="K73" s="62"/>
      <c r="L73" s="62"/>
      <c r="M73" s="62"/>
      <c r="N73" s="62"/>
      <c r="O73" s="62"/>
      <c r="P73" s="62"/>
      <c r="Q73" s="62"/>
      <c r="R73" s="62"/>
      <c r="S73" s="62"/>
      <c r="T73" s="62"/>
      <c r="U73" s="62"/>
      <c r="V73" s="62"/>
      <c r="W73" s="62"/>
      <c r="X73" s="63"/>
      <c r="Y73" s="63"/>
      <c r="Z73" s="63"/>
      <c r="AB73" s="1">
        <f>R73</f>
        <v>0</v>
      </c>
      <c r="AC73" s="1">
        <f>S73</f>
        <v>0</v>
      </c>
      <c r="AD73" s="1">
        <f>T73</f>
        <v>0</v>
      </c>
      <c r="AE73" s="1">
        <f>U73</f>
        <v>0</v>
      </c>
      <c r="AF73" s="1" t="e">
        <f>AVERAGE(AF72/$AB72,AF74/$AB74)*$AB73</f>
        <v>#DIV/0!</v>
      </c>
      <c r="AG73" s="1" t="e">
        <f>AVERAGE(AG72/AF72,AG74/AF74)*AF73</f>
        <v>#DIV/0!</v>
      </c>
      <c r="AH73" s="1" t="e">
        <f>AVERAGE(AH72/$AB72,AH74/$AB74)*$AB73</f>
        <v>#DIV/0!</v>
      </c>
      <c r="AI73" s="1" t="e">
        <f>AVERAGE(AI72/AH72,AI74/AH74)*AH73</f>
        <v>#DIV/0!</v>
      </c>
      <c r="AJ73" s="1" t="e">
        <f>AVERAGE(AJ72/$AB72,AJ74/$AB74)*$AB73</f>
        <v>#DIV/0!</v>
      </c>
      <c r="AK73" s="1" t="e">
        <f>AVERAGE(AK72/AJ72,AK74/AJ74)*AJ73</f>
        <v>#DIV/0!</v>
      </c>
      <c r="AL73" s="1" t="e">
        <f>AVERAGE(AL72/$AB72,AL74/$AB74)*$AB73</f>
        <v>#DIV/0!</v>
      </c>
      <c r="AM73" s="1" t="e">
        <f>AVERAGE(AM72/AL72,AM74/AL74)*AL73</f>
        <v>#DIV/0!</v>
      </c>
      <c r="AR73" s="1">
        <f>Constants!B$25</f>
        <v>2.2917410000000001E-6</v>
      </c>
      <c r="AS73" s="1">
        <f t="shared" si="52"/>
        <v>0</v>
      </c>
      <c r="AT73" s="1">
        <f t="shared" si="53"/>
        <v>9.9999999999999995E-7</v>
      </c>
      <c r="AU73" s="1" t="e">
        <f t="shared" si="64"/>
        <v>#DIV/0!</v>
      </c>
      <c r="AV73" s="1" t="e">
        <f t="shared" si="54"/>
        <v>#DIV/0!</v>
      </c>
      <c r="AW73" s="1" t="e">
        <f t="shared" si="65"/>
        <v>#DIV/0!</v>
      </c>
      <c r="AX73" s="1">
        <f t="shared" si="55"/>
        <v>0</v>
      </c>
      <c r="AY73" t="e">
        <f t="shared" si="68"/>
        <v>#DIV/0!</v>
      </c>
      <c r="AZ73" s="1" t="e">
        <f t="shared" si="56"/>
        <v>#DIV/0!</v>
      </c>
      <c r="BA73" s="1" t="e">
        <f t="shared" si="66"/>
        <v>#DIV/0!</v>
      </c>
      <c r="BB73" s="1" t="e">
        <f t="shared" si="57"/>
        <v>#DIV/0!</v>
      </c>
      <c r="BC73" s="1" t="e">
        <f t="shared" si="26"/>
        <v>#DIV/0!</v>
      </c>
      <c r="BD73" t="e">
        <f t="shared" si="58"/>
        <v>#DIV/0!</v>
      </c>
      <c r="BF73" s="32" t="e">
        <f t="shared" si="47"/>
        <v>#DIV/0!</v>
      </c>
      <c r="BG73" s="1" t="e">
        <f t="shared" si="48"/>
        <v>#DIV/0!</v>
      </c>
      <c r="BH73" s="1" t="e">
        <f t="shared" si="49"/>
        <v>#DIV/0!</v>
      </c>
      <c r="BI73" s="1" t="e">
        <f t="shared" si="50"/>
        <v>#DIV/0!</v>
      </c>
      <c r="BJ73" s="1" t="e">
        <f t="shared" si="51"/>
        <v>#DIV/0!</v>
      </c>
      <c r="BK73" s="1" t="e">
        <f>AU73/AT73/62415093</f>
        <v>#DIV/0!</v>
      </c>
      <c r="BL73" s="1" t="e">
        <f>BK73*0.1</f>
        <v>#DIV/0!</v>
      </c>
      <c r="BM73" s="1" t="e">
        <f>J73/(1-(AU73/62415093)/AT73)</f>
        <v>#DIV/0!</v>
      </c>
      <c r="BN73" s="33" t="e">
        <f>SQRT((K73/(1-BK73))^2+(BL73*J73/(1-BK73)^2)^2)</f>
        <v>#DIV/0!</v>
      </c>
      <c r="BO73" s="1" t="e">
        <f t="shared" si="59"/>
        <v>#DIV/0!</v>
      </c>
      <c r="BP73" s="33" t="e">
        <f t="shared" si="60"/>
        <v>#DIV/0!</v>
      </c>
      <c r="BQ73" s="1" t="e">
        <f>N73*(1-BK73)</f>
        <v>#DIV/0!</v>
      </c>
      <c r="BR73" t="e">
        <f>SQRT(O73^2+BL73^2)</f>
        <v>#DIV/0!</v>
      </c>
      <c r="BS73" s="1" t="e">
        <f t="shared" si="61"/>
        <v>#DIV/0!</v>
      </c>
      <c r="BT73" s="1" t="e">
        <f t="shared" si="62"/>
        <v>#DIV/0!</v>
      </c>
      <c r="BU73" t="e">
        <f>(Constants!$C$19/$BQ73)^(1/LN(Constants!$B$3/Constants!$B$6))</f>
        <v>#DIV/0!</v>
      </c>
      <c r="BV73" t="e">
        <f>(Constants!$C$19/($BQ73-BR73))^(1/LN(Constants!$B$3/Constants!$B$6))-BU73</f>
        <v>#DIV/0!</v>
      </c>
      <c r="BW73" t="e">
        <f>$BM73*BU73^(LN(Constants!$B$2/Constants!$B$3))</f>
        <v>#DIV/0!</v>
      </c>
      <c r="BX73" s="33" t="e">
        <f>BW73*SQRT((BN73/BM73)^2+(((BM73*($BU73+$BV73)^LN(Constants!$B$2/Constants!$B$3))-BW73)/BW73)^2)</f>
        <v>#DIV/0!</v>
      </c>
      <c r="BY73" t="e">
        <f>BO73*BU73^(LN(Constants!$B$2/Constants!$B$4))</f>
        <v>#DIV/0!</v>
      </c>
      <c r="BZ73" s="33" t="e">
        <f>BY73*SQRT((BP73/BO73)^2+(((BO73*($BU73+$BV73)^LN(Constants!$B$2/Constants!$B$4))-BY73)/BY73)^2)</f>
        <v>#DIV/0!</v>
      </c>
      <c r="CA73" t="e">
        <f>BS73*BU73^(LN(Constants!$B$2/Constants!$B$5))</f>
        <v>#DIV/0!</v>
      </c>
      <c r="CB73" s="33" t="e">
        <f>CA73*SQRT((BT73/BS73)^2+(((BS73*($BU73+$BV73)^LN(Constants!$B$2/Constants!$B$5))-CA73)/CA73)^2)</f>
        <v>#DIV/0!</v>
      </c>
      <c r="CC73" t="e">
        <f>(Constants!$C$18/AVERAGE(BO72,BO74))^(1/LN(Constants!$B$2/Constants!$B$4))</f>
        <v>#NUM!</v>
      </c>
      <c r="CD73" t="e">
        <f>MAX(ABS((Constants!$C$18/BO72)^(1/LN(Constants!$B$2/Constants!$B$4))-(Constants!$C$18/BO74)^(1/LN(Constants!$B$2/Constants!$B$4))),CD72,CD74)</f>
        <v>#NUM!</v>
      </c>
      <c r="CE73" t="e">
        <f>$BM73*CC73^(LN(Constants!$B$2/Constants!$B$3))</f>
        <v>#DIV/0!</v>
      </c>
      <c r="CF73" s="33" t="e">
        <f>CE73*SQRT((BN73/BM73)^2+(($BM73*($CC73+$CD73)^(LN(Constants!$B$2/Constants!$B$3))-CE73)/CE73)^2)</f>
        <v>#DIV/0!</v>
      </c>
      <c r="CG73" t="e">
        <f>BO73*CC73^(LN(Constants!$B$2/Constants!$B$4))</f>
        <v>#DIV/0!</v>
      </c>
      <c r="CH73" s="33" t="e">
        <f>CG73*SQRT((BP73/BO73)^2+((BO73*($CC73+$CD73)^(LN(Constants!$B$2/Constants!$B$4))-CG73)/CG73)^2)</f>
        <v>#DIV/0!</v>
      </c>
      <c r="CI73" t="e">
        <f>BQ73*$CC73^(LN(Constants!$B$3/Constants!$B$6))</f>
        <v>#DIV/0!</v>
      </c>
      <c r="CJ73" s="33" t="e">
        <f>CI73*SQRT((BR73/BQ73)^2+((BQ73*($CC73+$CD73)^(LN(Constants!$B$3/Constants!$B$6))-CI73)/CI73)^2)</f>
        <v>#DIV/0!</v>
      </c>
      <c r="CK73" t="e">
        <f>BS73*CC73^(LN(Constants!$B$2/Constants!$B$5))</f>
        <v>#DIV/0!</v>
      </c>
      <c r="CL73" s="33" t="e">
        <f>CK73*SQRT((BT73/BS73)^2+((BS73*($CC73+$CD73)^(LN(Constants!$B$2/Constants!$B$5))-CK73)/CK73)^2)</f>
        <v>#DIV/0!</v>
      </c>
      <c r="CM73" t="e">
        <f>CK73*Constants!$C$17/AVERAGE(CK72,CK74)</f>
        <v>#DIV/0!</v>
      </c>
      <c r="CN73" t="e">
        <f>CM73*SQRT(((CK72-CK74)/CK74/4)^2+(CL73/CK73)^2+AVERAGE(CL72/CK72,CL74/CK74)^2)</f>
        <v>#DIV/0!</v>
      </c>
      <c r="CO73" t="e">
        <f>1/CM73*CE73*CI73</f>
        <v>#DIV/0!</v>
      </c>
      <c r="CQ73" t="e">
        <f>$K73/$J73</f>
        <v>#DIV/0!</v>
      </c>
      <c r="CR73" t="e">
        <f>$BN73/$BM73</f>
        <v>#DIV/0!</v>
      </c>
      <c r="CS73" t="e">
        <f>$CF73/$CE73</f>
        <v>#DIV/0!</v>
      </c>
      <c r="CT73" t="e">
        <f>$Q73/$P73</f>
        <v>#DIV/0!</v>
      </c>
      <c r="CU73" t="e">
        <f>$BT73/$BS73</f>
        <v>#DIV/0!</v>
      </c>
      <c r="CV73" t="e">
        <f>$CL73/$CK73</f>
        <v>#DIV/0!</v>
      </c>
      <c r="CW73" t="e">
        <f>$CN73/$CM73</f>
        <v>#DIV/0!</v>
      </c>
      <c r="CY73" s="82" t="e">
        <f>$CQ73/$CS73</f>
        <v>#DIV/0!</v>
      </c>
      <c r="CZ73" s="82" t="e">
        <f>$CR73/$CS73-$CY73</f>
        <v>#DIV/0!</v>
      </c>
      <c r="DA73" s="82" t="e">
        <f>$CS73/$CS73-$CZ73-$CY73</f>
        <v>#DIV/0!</v>
      </c>
      <c r="DB73" s="82" t="e">
        <f>$CT73/$CW73</f>
        <v>#DIV/0!</v>
      </c>
      <c r="DC73" s="82" t="e">
        <f>$CU73/$CW73-$DB73</f>
        <v>#DIV/0!</v>
      </c>
      <c r="DD73" s="82" t="e">
        <f>$CV73/$CW73-$DC73-$DB73</f>
        <v>#DIV/0!</v>
      </c>
      <c r="DE73" s="82" t="e">
        <f>$CW73/$CW73-$DD73-$DC73-$DB73</f>
        <v>#DIV/0!</v>
      </c>
    </row>
    <row r="74" spans="1:109">
      <c r="A74" s="73">
        <f t="shared" si="63"/>
        <v>0</v>
      </c>
      <c r="B74" s="73"/>
      <c r="C74" s="73"/>
      <c r="J74" s="62"/>
      <c r="K74" s="62"/>
      <c r="L74" s="62"/>
      <c r="M74" s="62"/>
      <c r="N74" s="62"/>
      <c r="O74" s="62"/>
      <c r="P74" s="62"/>
      <c r="Q74" s="62"/>
      <c r="R74" s="62"/>
      <c r="S74" s="62"/>
      <c r="T74" s="62"/>
      <c r="U74" s="62"/>
      <c r="V74" s="62"/>
      <c r="W74" s="62"/>
      <c r="X74" s="63"/>
      <c r="Y74" s="63"/>
      <c r="Z74" s="63"/>
      <c r="AB74" s="1"/>
      <c r="AC74" s="1"/>
      <c r="AD74" s="1"/>
      <c r="AE74" s="1"/>
      <c r="AF74" s="1"/>
      <c r="AG74" s="1"/>
      <c r="AH74" s="1"/>
      <c r="AI74" s="1"/>
      <c r="AJ74" s="1"/>
      <c r="AK74" s="1"/>
      <c r="AL74" s="1"/>
      <c r="AM74" s="1"/>
      <c r="AQ74" s="1"/>
      <c r="AR74" s="1">
        <f>Constants!B$25</f>
        <v>2.2917410000000001E-6</v>
      </c>
      <c r="AS74" s="1">
        <f t="shared" si="52"/>
        <v>0</v>
      </c>
      <c r="AT74" s="1">
        <f t="shared" si="53"/>
        <v>9.9999999999999995E-7</v>
      </c>
      <c r="AU74" s="1" t="e">
        <f t="shared" si="64"/>
        <v>#NUM!</v>
      </c>
      <c r="AV74" s="1" t="e">
        <f t="shared" si="54"/>
        <v>#DIV/0!</v>
      </c>
      <c r="AW74" s="1" t="e">
        <f t="shared" si="65"/>
        <v>#NUM!</v>
      </c>
      <c r="AX74" s="1">
        <f t="shared" si="55"/>
        <v>0</v>
      </c>
      <c r="AY74" t="e">
        <f t="shared" si="68"/>
        <v>#DIV/0!</v>
      </c>
      <c r="AZ74" s="1" t="e">
        <f t="shared" si="56"/>
        <v>#DIV/0!</v>
      </c>
      <c r="BA74" s="1" t="e">
        <f t="shared" si="66"/>
        <v>#NUM!</v>
      </c>
      <c r="BB74" s="1" t="e">
        <f t="shared" si="57"/>
        <v>#NUM!</v>
      </c>
      <c r="BC74" s="1" t="e">
        <f t="shared" si="67"/>
        <v>#NUM!</v>
      </c>
      <c r="BD74" t="e">
        <f t="shared" si="58"/>
        <v>#NUM!</v>
      </c>
      <c r="BE74" s="1"/>
      <c r="BF74" s="32" t="e">
        <f t="shared" si="47"/>
        <v>#DIV/0!</v>
      </c>
      <c r="BG74" s="1" t="e">
        <f t="shared" si="48"/>
        <v>#DIV/0!</v>
      </c>
      <c r="BH74" s="1" t="e">
        <f t="shared" si="49"/>
        <v>#DIV/0!</v>
      </c>
      <c r="BI74" s="1" t="e">
        <f t="shared" si="50"/>
        <v>#NUM!</v>
      </c>
      <c r="BJ74" s="1" t="e">
        <f t="shared" si="51"/>
        <v>#NUM!</v>
      </c>
      <c r="BK74" s="1"/>
      <c r="BL74" s="1"/>
      <c r="BM74" s="1"/>
      <c r="BN74" s="1"/>
      <c r="BO74" s="1" t="e">
        <f t="shared" si="59"/>
        <v>#NUM!</v>
      </c>
      <c r="BP74" s="33" t="e">
        <f t="shared" si="60"/>
        <v>#NUM!</v>
      </c>
      <c r="BQ74" s="1"/>
      <c r="BR74" s="1"/>
      <c r="BS74" s="1" t="e">
        <f t="shared" si="61"/>
        <v>#DIV/0!</v>
      </c>
      <c r="BT74" s="1" t="e">
        <f t="shared" si="62"/>
        <v>#DIV/0!</v>
      </c>
      <c r="BU74" s="1"/>
      <c r="BV74" s="1"/>
      <c r="BW74" s="1"/>
      <c r="BX74" s="1"/>
      <c r="BY74" s="1"/>
      <c r="BZ74" s="1"/>
      <c r="CA74" s="1"/>
      <c r="CB74" s="1"/>
      <c r="CC74" t="e">
        <f>(Constants!$C$18/BO74)^(1/LN(Constants!$B$2/Constants!$B$4))</f>
        <v>#NUM!</v>
      </c>
      <c r="CD74" t="e">
        <f>ABS((Constants!$C$18/BO74)^(1/LN(Constants!$B$2/Constants!$B$4))-(Constants!$C$18/(BO74+BP74))^(1/LN(Constants!$B$2/Constants!$B$4)))</f>
        <v>#NUM!</v>
      </c>
      <c r="CK74" t="e">
        <f>BS74*$CC74^(LN(Constants!$B$2/Constants!$B$5))</f>
        <v>#DIV/0!</v>
      </c>
      <c r="CL74" s="33" t="e">
        <f>CK74*SQRT((BT74/BS74)^2+((BS74*($CC74+$CD74)^(LN(Constants!$B$2/Constants!$B$5))-CK74)/CK74)^2)</f>
        <v>#DIV/0!</v>
      </c>
    </row>
    <row r="75" spans="1:109">
      <c r="A75" s="73">
        <f t="shared" si="63"/>
        <v>0</v>
      </c>
      <c r="B75" t="str">
        <f>IF(NOT(ISBLANK($J75)),IF($T75&lt;Constants!$B$32,"low spike","OK"),"")</f>
        <v/>
      </c>
      <c r="C75" t="str">
        <f>IF(NOT(ISBLANK($J75)), IF((ABS($L74-$L76)/$L74)&gt;Constants!$B$33,"variable mass bias","OK"), "")</f>
        <v/>
      </c>
      <c r="D75" t="str">
        <f>IF(NOT(ISBLANK($J75)), IF((ABS($P74-$P76)/$P74)&gt;Constants!$B$34,"variable IC yield","OK"),"")</f>
        <v/>
      </c>
      <c r="E75" s="34" t="e">
        <f>CE75</f>
        <v>#DIV/0!</v>
      </c>
      <c r="F75" s="34" t="e">
        <f>CF75</f>
        <v>#DIV/0!</v>
      </c>
      <c r="G75" s="34" t="e">
        <f>CM75</f>
        <v>#DIV/0!</v>
      </c>
      <c r="H75" s="48" t="e">
        <f>CN75</f>
        <v>#DIV/0!</v>
      </c>
      <c r="I75" s="33"/>
      <c r="J75" s="62"/>
      <c r="K75" s="62"/>
      <c r="L75" s="62"/>
      <c r="M75" s="62"/>
      <c r="N75" s="62"/>
      <c r="O75" s="62"/>
      <c r="P75" s="62"/>
      <c r="Q75" s="62"/>
      <c r="R75" s="62"/>
      <c r="S75" s="62"/>
      <c r="T75" s="62"/>
      <c r="U75" s="62"/>
      <c r="V75" s="62"/>
      <c r="W75" s="62"/>
      <c r="X75" s="63"/>
      <c r="Y75" s="63"/>
      <c r="Z75" s="63"/>
      <c r="AB75" s="1">
        <f>R75</f>
        <v>0</v>
      </c>
      <c r="AC75" s="1">
        <f>S75</f>
        <v>0</v>
      </c>
      <c r="AD75" s="1">
        <f>T75</f>
        <v>0</v>
      </c>
      <c r="AE75" s="1">
        <f>U75</f>
        <v>0</v>
      </c>
      <c r="AF75" s="1" t="e">
        <f>AVERAGE(AF74/$AB74,AF76/$AB76)*$AB75</f>
        <v>#DIV/0!</v>
      </c>
      <c r="AG75" s="1" t="e">
        <f>AVERAGE(AG74/AF74,AG76/AF76)*AF75</f>
        <v>#DIV/0!</v>
      </c>
      <c r="AH75" s="1" t="e">
        <f>AVERAGE(AH74/$AB74,AH76/$AB76)*$AB75</f>
        <v>#DIV/0!</v>
      </c>
      <c r="AI75" s="1" t="e">
        <f>AVERAGE(AI74/AH74,AI76/AH76)*AH75</f>
        <v>#DIV/0!</v>
      </c>
      <c r="AJ75" s="1" t="e">
        <f>AVERAGE(AJ74/$AB74,AJ76/$AB76)*$AB75</f>
        <v>#DIV/0!</v>
      </c>
      <c r="AK75" s="1" t="e">
        <f>AVERAGE(AK74/AJ74,AK76/AJ76)*AJ75</f>
        <v>#DIV/0!</v>
      </c>
      <c r="AL75" s="1" t="e">
        <f>AVERAGE(AL74/$AB74,AL76/$AB76)*$AB75</f>
        <v>#DIV/0!</v>
      </c>
      <c r="AM75" s="1" t="e">
        <f>AVERAGE(AM74/AL74,AM76/AL76)*AL75</f>
        <v>#DIV/0!</v>
      </c>
      <c r="AR75" s="1">
        <f>Constants!B$25</f>
        <v>2.2917410000000001E-6</v>
      </c>
      <c r="AS75" s="1">
        <f t="shared" si="52"/>
        <v>0</v>
      </c>
      <c r="AT75" s="1">
        <f t="shared" si="53"/>
        <v>9.9999999999999995E-7</v>
      </c>
      <c r="AU75" s="1" t="e">
        <f t="shared" si="64"/>
        <v>#DIV/0!</v>
      </c>
      <c r="AV75" s="1" t="e">
        <f t="shared" si="54"/>
        <v>#DIV/0!</v>
      </c>
      <c r="AW75" s="1" t="e">
        <f t="shared" si="65"/>
        <v>#DIV/0!</v>
      </c>
      <c r="AX75" s="1">
        <f t="shared" si="55"/>
        <v>0</v>
      </c>
      <c r="AY75" t="e">
        <f t="shared" si="68"/>
        <v>#DIV/0!</v>
      </c>
      <c r="AZ75" s="1" t="e">
        <f t="shared" si="56"/>
        <v>#DIV/0!</v>
      </c>
      <c r="BA75" s="1" t="e">
        <f t="shared" si="66"/>
        <v>#DIV/0!</v>
      </c>
      <c r="BB75" s="1" t="e">
        <f t="shared" si="57"/>
        <v>#DIV/0!</v>
      </c>
      <c r="BC75" s="1" t="e">
        <f t="shared" si="26"/>
        <v>#DIV/0!</v>
      </c>
      <c r="BD75" t="e">
        <f t="shared" si="58"/>
        <v>#DIV/0!</v>
      </c>
      <c r="BF75" s="32" t="e">
        <f t="shared" si="47"/>
        <v>#DIV/0!</v>
      </c>
      <c r="BG75" s="1" t="e">
        <f t="shared" si="48"/>
        <v>#DIV/0!</v>
      </c>
      <c r="BH75" s="1" t="e">
        <f t="shared" si="49"/>
        <v>#DIV/0!</v>
      </c>
      <c r="BI75" s="1" t="e">
        <f t="shared" si="50"/>
        <v>#DIV/0!</v>
      </c>
      <c r="BJ75" s="1" t="e">
        <f t="shared" si="51"/>
        <v>#DIV/0!</v>
      </c>
      <c r="BK75" s="1" t="e">
        <f>AU75/AT75/62415093</f>
        <v>#DIV/0!</v>
      </c>
      <c r="BL75" s="1" t="e">
        <f>BK75*0.1</f>
        <v>#DIV/0!</v>
      </c>
      <c r="BM75" s="1" t="e">
        <f>J75/(1-(AU75/62415093)/AT75)</f>
        <v>#DIV/0!</v>
      </c>
      <c r="BN75" s="33" t="e">
        <f>SQRT((K75/(1-BK75))^2+(BL75*J75/(1-BK75)^2)^2)</f>
        <v>#DIV/0!</v>
      </c>
      <c r="BO75" s="1" t="e">
        <f t="shared" si="59"/>
        <v>#DIV/0!</v>
      </c>
      <c r="BP75" s="33" t="e">
        <f t="shared" si="60"/>
        <v>#DIV/0!</v>
      </c>
      <c r="BQ75" s="1" t="e">
        <f>N75*(1-BK75)</f>
        <v>#DIV/0!</v>
      </c>
      <c r="BR75" t="e">
        <f>SQRT(O75^2+BL75^2)</f>
        <v>#DIV/0!</v>
      </c>
      <c r="BS75" s="1" t="e">
        <f t="shared" si="61"/>
        <v>#DIV/0!</v>
      </c>
      <c r="BT75" s="1" t="e">
        <f t="shared" si="62"/>
        <v>#DIV/0!</v>
      </c>
      <c r="BU75" t="e">
        <f>(Constants!$C$19/$BQ75)^(1/LN(Constants!$B$3/Constants!$B$6))</f>
        <v>#DIV/0!</v>
      </c>
      <c r="BV75" t="e">
        <f>(Constants!$C$19/($BQ75-BR75))^(1/LN(Constants!$B$3/Constants!$B$6))-BU75</f>
        <v>#DIV/0!</v>
      </c>
      <c r="BW75" t="e">
        <f>$BM75*BU75^(LN(Constants!$B$2/Constants!$B$3))</f>
        <v>#DIV/0!</v>
      </c>
      <c r="BX75" s="33" t="e">
        <f>BW75*SQRT((BN75/BM75)^2+(((BM75*($BU75+$BV75)^LN(Constants!$B$2/Constants!$B$3))-BW75)/BW75)^2)</f>
        <v>#DIV/0!</v>
      </c>
      <c r="BY75" t="e">
        <f>BO75*BU75^(LN(Constants!$B$2/Constants!$B$4))</f>
        <v>#DIV/0!</v>
      </c>
      <c r="BZ75" s="33" t="e">
        <f>BY75*SQRT((BP75/BO75)^2+(((BO75*($BU75+$BV75)^LN(Constants!$B$2/Constants!$B$4))-BY75)/BY75)^2)</f>
        <v>#DIV/0!</v>
      </c>
      <c r="CA75" t="e">
        <f>BS75*BU75^(LN(Constants!$B$2/Constants!$B$5))</f>
        <v>#DIV/0!</v>
      </c>
      <c r="CB75" s="33" t="e">
        <f>CA75*SQRT((BT75/BS75)^2+(((BS75*($BU75+$BV75)^LN(Constants!$B$2/Constants!$B$5))-CA75)/CA75)^2)</f>
        <v>#DIV/0!</v>
      </c>
      <c r="CC75" t="e">
        <f>(Constants!$C$18/AVERAGE(BO74,BO76))^(1/LN(Constants!$B$2/Constants!$B$4))</f>
        <v>#NUM!</v>
      </c>
      <c r="CD75" t="e">
        <f>MAX(ABS((Constants!$C$18/BO74)^(1/LN(Constants!$B$2/Constants!$B$4))-(Constants!$C$18/BO76)^(1/LN(Constants!$B$2/Constants!$B$4))),CD74,CD76)</f>
        <v>#NUM!</v>
      </c>
      <c r="CE75" t="e">
        <f>$BM75*CC75^(LN(Constants!$B$2/Constants!$B$3))</f>
        <v>#DIV/0!</v>
      </c>
      <c r="CF75" s="33" t="e">
        <f>CE75*SQRT((BN75/BM75)^2+(($BM75*($CC75+$CD75)^(LN(Constants!$B$2/Constants!$B$3))-CE75)/CE75)^2)</f>
        <v>#DIV/0!</v>
      </c>
      <c r="CG75" t="e">
        <f>BO75*CC75^(LN(Constants!$B$2/Constants!$B$4))</f>
        <v>#DIV/0!</v>
      </c>
      <c r="CH75" s="33" t="e">
        <f>CG75*SQRT((BP75/BO75)^2+((BO75*($CC75+$CD75)^(LN(Constants!$B$2/Constants!$B$4))-CG75)/CG75)^2)</f>
        <v>#DIV/0!</v>
      </c>
      <c r="CI75" t="e">
        <f>BQ75*$CC75^(LN(Constants!$B$3/Constants!$B$6))</f>
        <v>#DIV/0!</v>
      </c>
      <c r="CJ75" s="33" t="e">
        <f>CI75*SQRT((BR75/BQ75)^2+((BQ75*($CC75+$CD75)^(LN(Constants!$B$3/Constants!$B$6))-CI75)/CI75)^2)</f>
        <v>#DIV/0!</v>
      </c>
      <c r="CK75" t="e">
        <f>BS75*CC75^(LN(Constants!$B$2/Constants!$B$5))</f>
        <v>#DIV/0!</v>
      </c>
      <c r="CL75" s="33" t="e">
        <f>CK75*SQRT((BT75/BS75)^2+((BS75*($CC75+$CD75)^(LN(Constants!$B$2/Constants!$B$5))-CK75)/CK75)^2)</f>
        <v>#DIV/0!</v>
      </c>
      <c r="CM75" t="e">
        <f>CK75*Constants!$C$17/AVERAGE(CK74,CK76)</f>
        <v>#DIV/0!</v>
      </c>
      <c r="CN75" t="e">
        <f>CM75*SQRT(((CK74-CK76)/CK76/4)^2+(CL75/CK75)^2+AVERAGE(CL74/CK74,CL76/CK76)^2)</f>
        <v>#DIV/0!</v>
      </c>
      <c r="CO75" t="e">
        <f>1/CM75*CE75*CI75</f>
        <v>#DIV/0!</v>
      </c>
      <c r="CQ75" t="e">
        <f>$K75/$J75</f>
        <v>#DIV/0!</v>
      </c>
      <c r="CR75" t="e">
        <f>$BN75/$BM75</f>
        <v>#DIV/0!</v>
      </c>
      <c r="CS75" t="e">
        <f>$CF75/$CE75</f>
        <v>#DIV/0!</v>
      </c>
      <c r="CT75" t="e">
        <f>$Q75/$P75</f>
        <v>#DIV/0!</v>
      </c>
      <c r="CU75" t="e">
        <f>$BT75/$BS75</f>
        <v>#DIV/0!</v>
      </c>
      <c r="CV75" t="e">
        <f>$CL75/$CK75</f>
        <v>#DIV/0!</v>
      </c>
      <c r="CW75" t="e">
        <f>$CN75/$CM75</f>
        <v>#DIV/0!</v>
      </c>
      <c r="CY75" s="82" t="e">
        <f>$CQ75/$CS75</f>
        <v>#DIV/0!</v>
      </c>
      <c r="CZ75" s="82" t="e">
        <f>$CR75/$CS75-$CY75</f>
        <v>#DIV/0!</v>
      </c>
      <c r="DA75" s="82" t="e">
        <f>$CS75/$CS75-$CZ75-$CY75</f>
        <v>#DIV/0!</v>
      </c>
      <c r="DB75" s="82" t="e">
        <f>$CT75/$CW75</f>
        <v>#DIV/0!</v>
      </c>
      <c r="DC75" s="82" t="e">
        <f>$CU75/$CW75-$DB75</f>
        <v>#DIV/0!</v>
      </c>
      <c r="DD75" s="82" t="e">
        <f>$CV75/$CW75-$DC75-$DB75</f>
        <v>#DIV/0!</v>
      </c>
      <c r="DE75" s="82" t="e">
        <f>$CW75/$CW75-$DD75-$DC75-$DB75</f>
        <v>#DIV/0!</v>
      </c>
    </row>
    <row r="76" spans="1:109">
      <c r="A76" s="73">
        <f t="shared" si="63"/>
        <v>0</v>
      </c>
      <c r="B76" s="73"/>
      <c r="C76" s="73"/>
      <c r="J76" s="62"/>
      <c r="K76" s="62"/>
      <c r="L76" s="62"/>
      <c r="M76" s="62"/>
      <c r="N76" s="62"/>
      <c r="O76" s="62"/>
      <c r="P76" s="62"/>
      <c r="Q76" s="62"/>
      <c r="R76" s="62"/>
      <c r="S76" s="62"/>
      <c r="T76" s="62"/>
      <c r="U76" s="62"/>
      <c r="V76" s="62"/>
      <c r="W76" s="62"/>
      <c r="X76" s="63"/>
      <c r="Y76" s="63"/>
      <c r="Z76" s="63"/>
      <c r="AB76" s="1"/>
      <c r="AC76" s="1"/>
      <c r="AD76" s="1"/>
      <c r="AE76" s="1"/>
      <c r="AF76" s="1"/>
      <c r="AG76" s="1"/>
      <c r="AH76" s="1"/>
      <c r="AI76" s="1"/>
      <c r="AJ76" s="1"/>
      <c r="AK76" s="1"/>
      <c r="AL76" s="1"/>
      <c r="AM76" s="1"/>
      <c r="AQ76" s="1"/>
      <c r="AR76" s="1">
        <f>Constants!B$25</f>
        <v>2.2917410000000001E-6</v>
      </c>
      <c r="AS76" s="1">
        <f t="shared" si="52"/>
        <v>0</v>
      </c>
      <c r="AT76" s="1">
        <f t="shared" si="53"/>
        <v>9.9999999999999995E-7</v>
      </c>
      <c r="AU76" s="1" t="e">
        <f t="shared" si="64"/>
        <v>#NUM!</v>
      </c>
      <c r="AV76" s="1" t="e">
        <f t="shared" si="54"/>
        <v>#DIV/0!</v>
      </c>
      <c r="AW76" s="1" t="e">
        <f t="shared" si="65"/>
        <v>#NUM!</v>
      </c>
      <c r="AX76" s="1">
        <f t="shared" si="55"/>
        <v>0</v>
      </c>
      <c r="AY76" t="e">
        <f t="shared" si="68"/>
        <v>#DIV/0!</v>
      </c>
      <c r="AZ76" s="1" t="e">
        <f t="shared" si="56"/>
        <v>#DIV/0!</v>
      </c>
      <c r="BA76" s="1" t="e">
        <f t="shared" si="66"/>
        <v>#NUM!</v>
      </c>
      <c r="BB76" s="1" t="e">
        <f t="shared" si="57"/>
        <v>#NUM!</v>
      </c>
      <c r="BC76" s="1" t="e">
        <f t="shared" si="67"/>
        <v>#NUM!</v>
      </c>
      <c r="BD76" t="e">
        <f t="shared" si="58"/>
        <v>#NUM!</v>
      </c>
      <c r="BE76" s="1"/>
      <c r="BF76" s="32" t="e">
        <f t="shared" si="47"/>
        <v>#DIV/0!</v>
      </c>
      <c r="BG76" s="1" t="e">
        <f t="shared" si="48"/>
        <v>#DIV/0!</v>
      </c>
      <c r="BH76" s="1" t="e">
        <f t="shared" si="49"/>
        <v>#DIV/0!</v>
      </c>
      <c r="BI76" s="1" t="e">
        <f t="shared" si="50"/>
        <v>#NUM!</v>
      </c>
      <c r="BJ76" s="1" t="e">
        <f t="shared" si="51"/>
        <v>#NUM!</v>
      </c>
      <c r="BK76" s="1"/>
      <c r="BL76" s="1"/>
      <c r="BM76" s="1"/>
      <c r="BN76" s="1"/>
      <c r="BO76" s="1" t="e">
        <f t="shared" si="59"/>
        <v>#NUM!</v>
      </c>
      <c r="BP76" s="33" t="e">
        <f t="shared" si="60"/>
        <v>#NUM!</v>
      </c>
      <c r="BQ76" s="1"/>
      <c r="BR76" s="1"/>
      <c r="BS76" s="1" t="e">
        <f t="shared" si="61"/>
        <v>#DIV/0!</v>
      </c>
      <c r="BT76" s="1" t="e">
        <f t="shared" si="62"/>
        <v>#DIV/0!</v>
      </c>
      <c r="BU76" s="1"/>
      <c r="BV76" s="1"/>
      <c r="BW76" s="1"/>
      <c r="BX76" s="1"/>
      <c r="BY76" s="1"/>
      <c r="BZ76" s="1"/>
      <c r="CA76" s="1"/>
      <c r="CB76" s="1"/>
      <c r="CC76" t="e">
        <f>(Constants!$C$18/BO76)^(1/LN(Constants!$B$2/Constants!$B$4))</f>
        <v>#NUM!</v>
      </c>
      <c r="CD76" t="e">
        <f>ABS((Constants!$C$18/BO76)^(1/LN(Constants!$B$2/Constants!$B$4))-(Constants!$C$18/(BO76+BP76))^(1/LN(Constants!$B$2/Constants!$B$4)))</f>
        <v>#NUM!</v>
      </c>
      <c r="CK76" t="e">
        <f>BS76*$CC76^(LN(Constants!$B$2/Constants!$B$5))</f>
        <v>#DIV/0!</v>
      </c>
      <c r="CL76" s="33" t="e">
        <f>CK76*SQRT((BT76/BS76)^2+((BS76*($CC76+$CD76)^(LN(Constants!$B$2/Constants!$B$5))-CK76)/CK76)^2)</f>
        <v>#DIV/0!</v>
      </c>
      <c r="CR76" s="1"/>
      <c r="CS76" s="1"/>
      <c r="CU76" s="1"/>
      <c r="CV76" s="1"/>
      <c r="CW76" s="1"/>
    </row>
    <row r="77" spans="1:109">
      <c r="A77" s="73">
        <f t="shared" si="63"/>
        <v>0</v>
      </c>
      <c r="B77" t="str">
        <f>IF(NOT(ISBLANK($J77)),IF($T77&lt;Constants!$B$32,"low spike","OK"),"")</f>
        <v/>
      </c>
      <c r="C77" t="str">
        <f>IF(NOT(ISBLANK($J77)), IF((ABS($L76-$L78)/$L76)&gt;Constants!$B$33,"variable mass bias","OK"), "")</f>
        <v/>
      </c>
      <c r="D77" t="str">
        <f>IF(NOT(ISBLANK($J77)), IF((ABS($P76-$P78)/$P76)&gt;Constants!$B$34,"variable IC yield","OK"),"")</f>
        <v/>
      </c>
      <c r="E77" s="34" t="e">
        <f>CE77</f>
        <v>#DIV/0!</v>
      </c>
      <c r="F77" s="34" t="e">
        <f>CF77</f>
        <v>#DIV/0!</v>
      </c>
      <c r="G77" s="34" t="e">
        <f>CM77</f>
        <v>#DIV/0!</v>
      </c>
      <c r="H77" s="48" t="e">
        <f>CN77</f>
        <v>#DIV/0!</v>
      </c>
      <c r="I77" s="33"/>
      <c r="J77" s="62"/>
      <c r="K77" s="62"/>
      <c r="L77" s="62"/>
      <c r="M77" s="62"/>
      <c r="N77" s="62"/>
      <c r="O77" s="62"/>
      <c r="P77" s="62"/>
      <c r="Q77" s="62"/>
      <c r="R77" s="62"/>
      <c r="S77" s="62"/>
      <c r="T77" s="62"/>
      <c r="U77" s="62"/>
      <c r="V77" s="62"/>
      <c r="W77" s="62"/>
      <c r="X77" s="63"/>
      <c r="Y77" s="63"/>
      <c r="Z77" s="63"/>
      <c r="AB77" s="1">
        <f>R77</f>
        <v>0</v>
      </c>
      <c r="AC77" s="1">
        <f>S77</f>
        <v>0</v>
      </c>
      <c r="AD77" s="1">
        <f>T77</f>
        <v>0</v>
      </c>
      <c r="AE77" s="1">
        <f>U77</f>
        <v>0</v>
      </c>
      <c r="AF77" s="1" t="e">
        <f>AVERAGE(AF76/$AB76,AF78/$AB78)*$AB77</f>
        <v>#DIV/0!</v>
      </c>
      <c r="AG77" s="1" t="e">
        <f>AVERAGE(AG76/AF76,AG78/AF78)*AF77</f>
        <v>#DIV/0!</v>
      </c>
      <c r="AH77" s="1" t="e">
        <f>AVERAGE(AH76/$AB76,AH78/$AB78)*$AB77</f>
        <v>#DIV/0!</v>
      </c>
      <c r="AI77" s="1" t="e">
        <f>AVERAGE(AI76/AH76,AI78/AH78)*AH77</f>
        <v>#DIV/0!</v>
      </c>
      <c r="AJ77" s="1" t="e">
        <f>AVERAGE(AJ76/$AB76,AJ78/$AB78)*$AB77</f>
        <v>#DIV/0!</v>
      </c>
      <c r="AK77" s="1" t="e">
        <f>AVERAGE(AK76/AJ76,AK78/AJ78)*AJ77</f>
        <v>#DIV/0!</v>
      </c>
      <c r="AL77" s="1" t="e">
        <f>AVERAGE(AL76/$AB76,AL78/$AB78)*$AB77</f>
        <v>#DIV/0!</v>
      </c>
      <c r="AM77" s="1" t="e">
        <f>AVERAGE(AM76/AL76,AM78/AL78)*AL77</f>
        <v>#DIV/0!</v>
      </c>
      <c r="AR77" s="1">
        <f>Constants!B$25</f>
        <v>2.2917410000000001E-6</v>
      </c>
      <c r="AS77" s="1">
        <f t="shared" si="52"/>
        <v>0</v>
      </c>
      <c r="AT77" s="1">
        <f t="shared" si="53"/>
        <v>9.9999999999999995E-7</v>
      </c>
      <c r="AU77" s="1" t="e">
        <f t="shared" si="64"/>
        <v>#DIV/0!</v>
      </c>
      <c r="AV77" s="1" t="e">
        <f t="shared" si="54"/>
        <v>#DIV/0!</v>
      </c>
      <c r="AW77" s="1" t="e">
        <f t="shared" si="65"/>
        <v>#DIV/0!</v>
      </c>
      <c r="AX77" s="1">
        <f t="shared" si="55"/>
        <v>0</v>
      </c>
      <c r="AY77" t="e">
        <f t="shared" si="68"/>
        <v>#DIV/0!</v>
      </c>
      <c r="AZ77" s="1" t="e">
        <f t="shared" si="56"/>
        <v>#DIV/0!</v>
      </c>
      <c r="BA77" s="1" t="e">
        <f t="shared" si="66"/>
        <v>#DIV/0!</v>
      </c>
      <c r="BB77" s="1" t="e">
        <f t="shared" si="57"/>
        <v>#DIV/0!</v>
      </c>
      <c r="BC77" s="1" t="e">
        <f t="shared" si="26"/>
        <v>#DIV/0!</v>
      </c>
      <c r="BD77" t="e">
        <f t="shared" si="58"/>
        <v>#DIV/0!</v>
      </c>
      <c r="BF77" s="32" t="e">
        <f t="shared" si="47"/>
        <v>#DIV/0!</v>
      </c>
      <c r="BG77" s="1" t="e">
        <f t="shared" si="48"/>
        <v>#DIV/0!</v>
      </c>
      <c r="BH77" s="1" t="e">
        <f t="shared" si="49"/>
        <v>#DIV/0!</v>
      </c>
      <c r="BI77" s="1" t="e">
        <f t="shared" si="50"/>
        <v>#DIV/0!</v>
      </c>
      <c r="BJ77" s="1" t="e">
        <f t="shared" si="51"/>
        <v>#DIV/0!</v>
      </c>
      <c r="BK77" s="1" t="e">
        <f>AU77/AT77/62415093</f>
        <v>#DIV/0!</v>
      </c>
      <c r="BL77" s="1" t="e">
        <f>BK77*0.1</f>
        <v>#DIV/0!</v>
      </c>
      <c r="BM77" s="1" t="e">
        <f>J77/(1-(AU77/62415093)/AT77)</f>
        <v>#DIV/0!</v>
      </c>
      <c r="BN77" s="33" t="e">
        <f>SQRT((K77/(1-BK77))^2+(BL77*J77/(1-BK77)^2)^2)</f>
        <v>#DIV/0!</v>
      </c>
      <c r="BO77" s="1" t="e">
        <f t="shared" si="59"/>
        <v>#DIV/0!</v>
      </c>
      <c r="BP77" s="33" t="e">
        <f t="shared" si="60"/>
        <v>#DIV/0!</v>
      </c>
      <c r="BQ77" s="1" t="e">
        <f>N77*(1-BK77)</f>
        <v>#DIV/0!</v>
      </c>
      <c r="BR77" t="e">
        <f>SQRT(O77^2+BL77^2)</f>
        <v>#DIV/0!</v>
      </c>
      <c r="BS77" s="1" t="e">
        <f t="shared" si="61"/>
        <v>#DIV/0!</v>
      </c>
      <c r="BT77" s="1" t="e">
        <f t="shared" si="62"/>
        <v>#DIV/0!</v>
      </c>
      <c r="BU77" t="e">
        <f>(Constants!$C$19/$BQ77)^(1/LN(Constants!$B$3/Constants!$B$6))</f>
        <v>#DIV/0!</v>
      </c>
      <c r="BV77" t="e">
        <f>(Constants!$C$19/($BQ77-BR77))^(1/LN(Constants!$B$3/Constants!$B$6))-BU77</f>
        <v>#DIV/0!</v>
      </c>
      <c r="BW77" t="e">
        <f>$BM77*BU77^(LN(Constants!$B$2/Constants!$B$3))</f>
        <v>#DIV/0!</v>
      </c>
      <c r="BX77" s="33" t="e">
        <f>BW77*SQRT((BN77/BM77)^2+(((BM77*($BU77+$BV77)^LN(Constants!$B$2/Constants!$B$3))-BW77)/BW77)^2)</f>
        <v>#DIV/0!</v>
      </c>
      <c r="BY77" t="e">
        <f>BO77*BU77^(LN(Constants!$B$2/Constants!$B$4))</f>
        <v>#DIV/0!</v>
      </c>
      <c r="BZ77" s="33" t="e">
        <f>BY77*SQRT((BP77/BO77)^2+(((BO77*($BU77+$BV77)^LN(Constants!$B$2/Constants!$B$4))-BY77)/BY77)^2)</f>
        <v>#DIV/0!</v>
      </c>
      <c r="CA77" t="e">
        <f>BS77*BU77^(LN(Constants!$B$2/Constants!$B$5))</f>
        <v>#DIV/0!</v>
      </c>
      <c r="CB77" s="33" t="e">
        <f>CA77*SQRT((BT77/BS77)^2+(((BS77*($BU77+$BV77)^LN(Constants!$B$2/Constants!$B$5))-CA77)/CA77)^2)</f>
        <v>#DIV/0!</v>
      </c>
      <c r="CC77" t="e">
        <f>(Constants!$C$18/AVERAGE(BO76,BO78))^(1/LN(Constants!$B$2/Constants!$B$4))</f>
        <v>#NUM!</v>
      </c>
      <c r="CD77" t="e">
        <f>MAX(ABS((Constants!$C$18/BO76)^(1/LN(Constants!$B$2/Constants!$B$4))-(Constants!$C$18/BO78)^(1/LN(Constants!$B$2/Constants!$B$4))),CD76,CD78)</f>
        <v>#NUM!</v>
      </c>
      <c r="CE77" t="e">
        <f>$BM77*CC77^(LN(Constants!$B$2/Constants!$B$3))</f>
        <v>#DIV/0!</v>
      </c>
      <c r="CF77" s="33" t="e">
        <f>CE77*SQRT((BN77/BM77)^2+(($BM77*($CC77+$CD77)^(LN(Constants!$B$2/Constants!$B$3))-CE77)/CE77)^2)</f>
        <v>#DIV/0!</v>
      </c>
      <c r="CG77" t="e">
        <f>BO77*CC77^(LN(Constants!$B$2/Constants!$B$4))</f>
        <v>#DIV/0!</v>
      </c>
      <c r="CH77" s="33" t="e">
        <f>CG77*SQRT((BP77/BO77)^2+((BO77*($CC77+$CD77)^(LN(Constants!$B$2/Constants!$B$4))-CG77)/CG77)^2)</f>
        <v>#DIV/0!</v>
      </c>
      <c r="CI77" t="e">
        <f>BQ77*$CC77^(LN(Constants!$B$3/Constants!$B$6))</f>
        <v>#DIV/0!</v>
      </c>
      <c r="CJ77" s="33" t="e">
        <f>CI77*SQRT((BR77/BQ77)^2+((BQ77*($CC77+$CD77)^(LN(Constants!$B$3/Constants!$B$6))-CI77)/CI77)^2)</f>
        <v>#DIV/0!</v>
      </c>
      <c r="CK77" t="e">
        <f>BS77*CC77^(LN(Constants!$B$2/Constants!$B$5))</f>
        <v>#DIV/0!</v>
      </c>
      <c r="CL77" s="33" t="e">
        <f>CK77*SQRT((BT77/BS77)^2+((BS77*($CC77+$CD77)^(LN(Constants!$B$2/Constants!$B$5))-CK77)/CK77)^2)</f>
        <v>#DIV/0!</v>
      </c>
      <c r="CM77" t="e">
        <f>CK77*Constants!$C$17/AVERAGE(CK76,CK78)</f>
        <v>#DIV/0!</v>
      </c>
      <c r="CN77" t="e">
        <f>CM77*SQRT(((CK76-CK78)/CK78/4)^2+(CL77/CK77)^2+AVERAGE(CL76/CK76,CL78/CK78)^2)</f>
        <v>#DIV/0!</v>
      </c>
      <c r="CO77" t="e">
        <f>1/CM77*CE77*CI77</f>
        <v>#DIV/0!</v>
      </c>
      <c r="CQ77" t="e">
        <f>$K77/$J77</f>
        <v>#DIV/0!</v>
      </c>
      <c r="CR77" t="e">
        <f>$BN77/$BM77</f>
        <v>#DIV/0!</v>
      </c>
      <c r="CS77" t="e">
        <f>$CF77/$CE77</f>
        <v>#DIV/0!</v>
      </c>
      <c r="CT77" t="e">
        <f>$Q77/$P77</f>
        <v>#DIV/0!</v>
      </c>
      <c r="CU77" t="e">
        <f>$BT77/$BS77</f>
        <v>#DIV/0!</v>
      </c>
      <c r="CV77" t="e">
        <f>$CL77/$CK77</f>
        <v>#DIV/0!</v>
      </c>
      <c r="CW77" t="e">
        <f>$CN77/$CM77</f>
        <v>#DIV/0!</v>
      </c>
      <c r="CY77" s="82" t="e">
        <f>$CQ77/$CS77</f>
        <v>#DIV/0!</v>
      </c>
      <c r="CZ77" s="82" t="e">
        <f>$CR77/$CS77-$CY77</f>
        <v>#DIV/0!</v>
      </c>
      <c r="DA77" s="82" t="e">
        <f>$CS77/$CS77-$CZ77-$CY77</f>
        <v>#DIV/0!</v>
      </c>
      <c r="DB77" s="82" t="e">
        <f>$CT77/$CW77</f>
        <v>#DIV/0!</v>
      </c>
      <c r="DC77" s="82" t="e">
        <f>$CU77/$CW77-$DB77</f>
        <v>#DIV/0!</v>
      </c>
      <c r="DD77" s="82" t="e">
        <f>$CV77/$CW77-$DC77-$DB77</f>
        <v>#DIV/0!</v>
      </c>
      <c r="DE77" s="82" t="e">
        <f>$CW77/$CW77-$DD77-$DC77-$DB77</f>
        <v>#DIV/0!</v>
      </c>
    </row>
    <row r="78" spans="1:109">
      <c r="A78" s="73">
        <f t="shared" si="63"/>
        <v>0</v>
      </c>
      <c r="B78" s="73"/>
      <c r="C78" s="73"/>
      <c r="J78" s="62"/>
      <c r="K78" s="62"/>
      <c r="L78" s="62"/>
      <c r="M78" s="62"/>
      <c r="N78" s="62"/>
      <c r="O78" s="62"/>
      <c r="P78" s="62"/>
      <c r="Q78" s="62"/>
      <c r="R78" s="62"/>
      <c r="S78" s="62"/>
      <c r="T78" s="62"/>
      <c r="U78" s="62"/>
      <c r="V78" s="62"/>
      <c r="W78" s="62"/>
      <c r="X78" s="63"/>
      <c r="Y78" s="63"/>
      <c r="Z78" s="63"/>
      <c r="AB78" s="1"/>
      <c r="AC78" s="1"/>
      <c r="AD78" s="1"/>
      <c r="AE78" s="1"/>
      <c r="AF78" s="1"/>
      <c r="AG78" s="1"/>
      <c r="AH78" s="1"/>
      <c r="AI78" s="1"/>
      <c r="AJ78" s="1"/>
      <c r="AK78" s="1"/>
      <c r="AL78" s="1"/>
      <c r="AM78" s="1"/>
      <c r="AQ78" s="1"/>
      <c r="AR78" s="1">
        <f>Constants!B$25</f>
        <v>2.2917410000000001E-6</v>
      </c>
      <c r="AS78" s="1">
        <f t="shared" si="52"/>
        <v>0</v>
      </c>
      <c r="AT78" s="1">
        <f t="shared" si="53"/>
        <v>9.9999999999999995E-7</v>
      </c>
      <c r="AU78" s="1" t="e">
        <f t="shared" si="64"/>
        <v>#NUM!</v>
      </c>
      <c r="AV78" s="1" t="e">
        <f t="shared" si="54"/>
        <v>#DIV/0!</v>
      </c>
      <c r="AW78" s="1" t="e">
        <f t="shared" si="65"/>
        <v>#NUM!</v>
      </c>
      <c r="AX78" s="1">
        <f t="shared" si="55"/>
        <v>0</v>
      </c>
      <c r="AY78" t="e">
        <f t="shared" si="68"/>
        <v>#DIV/0!</v>
      </c>
      <c r="AZ78" s="1" t="e">
        <f t="shared" si="56"/>
        <v>#DIV/0!</v>
      </c>
      <c r="BA78" s="1" t="e">
        <f t="shared" si="66"/>
        <v>#NUM!</v>
      </c>
      <c r="BB78" s="1" t="e">
        <f t="shared" si="57"/>
        <v>#NUM!</v>
      </c>
      <c r="BC78" s="1" t="e">
        <f t="shared" si="67"/>
        <v>#NUM!</v>
      </c>
      <c r="BD78" t="e">
        <f t="shared" si="58"/>
        <v>#NUM!</v>
      </c>
      <c r="BE78" s="1"/>
      <c r="BF78" s="32" t="e">
        <f t="shared" si="47"/>
        <v>#DIV/0!</v>
      </c>
      <c r="BG78" s="1" t="e">
        <f t="shared" si="48"/>
        <v>#DIV/0!</v>
      </c>
      <c r="BH78" s="1" t="e">
        <f t="shared" si="49"/>
        <v>#DIV/0!</v>
      </c>
      <c r="BI78" s="1" t="e">
        <f t="shared" si="50"/>
        <v>#NUM!</v>
      </c>
      <c r="BJ78" s="1" t="e">
        <f t="shared" si="51"/>
        <v>#NUM!</v>
      </c>
      <c r="BK78" s="1"/>
      <c r="BL78" s="1"/>
      <c r="BM78" s="1"/>
      <c r="BN78" s="1"/>
      <c r="BO78" s="1" t="e">
        <f t="shared" si="59"/>
        <v>#NUM!</v>
      </c>
      <c r="BP78" s="33" t="e">
        <f t="shared" si="60"/>
        <v>#NUM!</v>
      </c>
      <c r="BQ78" s="1"/>
      <c r="BR78" s="1"/>
      <c r="BS78" s="1" t="e">
        <f t="shared" si="61"/>
        <v>#DIV/0!</v>
      </c>
      <c r="BT78" s="1" t="e">
        <f t="shared" si="62"/>
        <v>#DIV/0!</v>
      </c>
      <c r="BU78" s="1"/>
      <c r="BV78" s="1"/>
      <c r="BW78" s="1"/>
      <c r="BX78" s="1"/>
      <c r="BY78" s="1"/>
      <c r="BZ78" s="1"/>
      <c r="CA78" s="1"/>
      <c r="CB78" s="1"/>
      <c r="CC78" t="e">
        <f>(Constants!$C$18/BO78)^(1/LN(Constants!$B$2/Constants!$B$4))</f>
        <v>#NUM!</v>
      </c>
      <c r="CD78" t="e">
        <f>ABS((Constants!$C$18/BO78)^(1/LN(Constants!$B$2/Constants!$B$4))-(Constants!$C$18/(BO78+BP78))^(1/LN(Constants!$B$2/Constants!$B$4)))</f>
        <v>#NUM!</v>
      </c>
      <c r="CK78" t="e">
        <f>BS78*$CC78^(LN(Constants!$B$2/Constants!$B$5))</f>
        <v>#DIV/0!</v>
      </c>
      <c r="CL78" s="33" t="e">
        <f>CK78*SQRT((BT78/BS78)^2+((BS78*($CC78+$CD78)^(LN(Constants!$B$2/Constants!$B$5))-CK78)/CK78)^2)</f>
        <v>#DIV/0!</v>
      </c>
    </row>
    <row r="79" spans="1:109">
      <c r="A79" s="73">
        <f t="shared" si="63"/>
        <v>0</v>
      </c>
      <c r="B79" t="str">
        <f>IF(NOT(ISBLANK($J79)),IF($T79&lt;Constants!$B$32,"low spike","OK"),"")</f>
        <v/>
      </c>
      <c r="C79" t="str">
        <f>IF(NOT(ISBLANK($J79)), IF((ABS($L78-$L80)/$L78)&gt;Constants!$B$33,"variable mass bias","OK"), "")</f>
        <v/>
      </c>
      <c r="D79" t="str">
        <f>IF(NOT(ISBLANK($J79)), IF((ABS($P78-$P80)/$P78)&gt;Constants!$B$34,"variable IC yield","OK"),"")</f>
        <v/>
      </c>
      <c r="E79" s="34" t="e">
        <f>CE79</f>
        <v>#DIV/0!</v>
      </c>
      <c r="F79" s="34" t="e">
        <f>CF79</f>
        <v>#DIV/0!</v>
      </c>
      <c r="G79" s="34" t="e">
        <f>CM79</f>
        <v>#DIV/0!</v>
      </c>
      <c r="H79" s="48" t="e">
        <f>CN79</f>
        <v>#DIV/0!</v>
      </c>
      <c r="I79" s="33"/>
      <c r="J79" s="62"/>
      <c r="K79" s="62"/>
      <c r="L79" s="62"/>
      <c r="M79" s="62"/>
      <c r="N79" s="62"/>
      <c r="O79" s="62"/>
      <c r="P79" s="62"/>
      <c r="Q79" s="62"/>
      <c r="R79" s="62"/>
      <c r="S79" s="62"/>
      <c r="T79" s="62"/>
      <c r="U79" s="62"/>
      <c r="V79" s="62"/>
      <c r="W79" s="62"/>
      <c r="X79" s="63"/>
      <c r="Y79" s="63"/>
      <c r="Z79" s="63"/>
      <c r="AB79" s="1">
        <f>R79</f>
        <v>0</v>
      </c>
      <c r="AC79" s="1">
        <f>S79</f>
        <v>0</v>
      </c>
      <c r="AD79" s="1">
        <f>T79</f>
        <v>0</v>
      </c>
      <c r="AE79" s="1">
        <f>U79</f>
        <v>0</v>
      </c>
      <c r="AF79" s="1" t="e">
        <f>AVERAGE(AF78/$AB78,AF80/$AB80)*$AB79</f>
        <v>#DIV/0!</v>
      </c>
      <c r="AG79" s="1" t="e">
        <f>AVERAGE(AG78/AF78,AG80/AF80)*AF79</f>
        <v>#DIV/0!</v>
      </c>
      <c r="AH79" s="1" t="e">
        <f>AVERAGE(AH78/$AB78,AH80/$AB80)*$AB79</f>
        <v>#DIV/0!</v>
      </c>
      <c r="AI79" s="1" t="e">
        <f>AVERAGE(AI78/AH78,AI80/AH80)*AH79</f>
        <v>#DIV/0!</v>
      </c>
      <c r="AJ79" s="1" t="e">
        <f>AVERAGE(AJ78/$AB78,AJ80/$AB80)*$AB79</f>
        <v>#DIV/0!</v>
      </c>
      <c r="AK79" s="1" t="e">
        <f>AVERAGE(AK78/AJ78,AK80/AJ80)*AJ79</f>
        <v>#DIV/0!</v>
      </c>
      <c r="AL79" s="1" t="e">
        <f>AVERAGE(AL78/$AB78,AL80/$AB80)*$AB79</f>
        <v>#DIV/0!</v>
      </c>
      <c r="AM79" s="1" t="e">
        <f>AVERAGE(AM78/AL78,AM80/AL80)*AL79</f>
        <v>#DIV/0!</v>
      </c>
      <c r="AR79" s="1">
        <f>Constants!B$25</f>
        <v>2.2917410000000001E-6</v>
      </c>
      <c r="AS79" s="1">
        <f t="shared" si="52"/>
        <v>0</v>
      </c>
      <c r="AT79" s="1">
        <f t="shared" si="53"/>
        <v>9.9999999999999995E-7</v>
      </c>
      <c r="AU79" s="1" t="e">
        <f t="shared" si="64"/>
        <v>#DIV/0!</v>
      </c>
      <c r="AV79" s="1" t="e">
        <f t="shared" si="54"/>
        <v>#DIV/0!</v>
      </c>
      <c r="AW79" s="1" t="e">
        <f t="shared" si="65"/>
        <v>#DIV/0!</v>
      </c>
      <c r="AX79" s="1">
        <f t="shared" si="55"/>
        <v>0</v>
      </c>
      <c r="AY79" t="e">
        <f t="shared" si="68"/>
        <v>#DIV/0!</v>
      </c>
      <c r="AZ79" s="1" t="e">
        <f t="shared" si="56"/>
        <v>#DIV/0!</v>
      </c>
      <c r="BA79" s="1" t="e">
        <f t="shared" si="66"/>
        <v>#DIV/0!</v>
      </c>
      <c r="BB79" s="1" t="e">
        <f t="shared" si="57"/>
        <v>#DIV/0!</v>
      </c>
      <c r="BC79" s="1" t="e">
        <f t="shared" si="26"/>
        <v>#DIV/0!</v>
      </c>
      <c r="BD79" t="e">
        <f t="shared" si="58"/>
        <v>#DIV/0!</v>
      </c>
      <c r="BF79" s="32" t="e">
        <f t="shared" si="47"/>
        <v>#DIV/0!</v>
      </c>
      <c r="BG79" s="1" t="e">
        <f t="shared" si="48"/>
        <v>#DIV/0!</v>
      </c>
      <c r="BH79" s="1" t="e">
        <f t="shared" si="49"/>
        <v>#DIV/0!</v>
      </c>
      <c r="BI79" s="1" t="e">
        <f t="shared" si="50"/>
        <v>#DIV/0!</v>
      </c>
      <c r="BJ79" s="1" t="e">
        <f t="shared" si="51"/>
        <v>#DIV/0!</v>
      </c>
      <c r="BK79" s="1" t="e">
        <f>AU79/AT79/62415093</f>
        <v>#DIV/0!</v>
      </c>
      <c r="BL79" s="1" t="e">
        <f>BK79*0.1</f>
        <v>#DIV/0!</v>
      </c>
      <c r="BM79" s="1" t="e">
        <f>J79/(1-(AU79/62415093)/AT79)</f>
        <v>#DIV/0!</v>
      </c>
      <c r="BN79" s="33" t="e">
        <f>SQRT((K79/(1-BK79))^2+(BL79*J79/(1-BK79)^2)^2)</f>
        <v>#DIV/0!</v>
      </c>
      <c r="BO79" s="1" t="e">
        <f t="shared" si="59"/>
        <v>#DIV/0!</v>
      </c>
      <c r="BP79" s="33" t="e">
        <f t="shared" si="60"/>
        <v>#DIV/0!</v>
      </c>
      <c r="BQ79" s="1" t="e">
        <f>N79*(1-BK79)</f>
        <v>#DIV/0!</v>
      </c>
      <c r="BR79" t="e">
        <f>SQRT(O79^2+BL79^2)</f>
        <v>#DIV/0!</v>
      </c>
      <c r="BS79" s="1" t="e">
        <f t="shared" si="61"/>
        <v>#DIV/0!</v>
      </c>
      <c r="BT79" s="1" t="e">
        <f t="shared" si="62"/>
        <v>#DIV/0!</v>
      </c>
      <c r="BU79" t="e">
        <f>(Constants!$C$19/$BQ79)^(1/LN(Constants!$B$3/Constants!$B$6))</f>
        <v>#DIV/0!</v>
      </c>
      <c r="BV79" t="e">
        <f>(Constants!$C$19/($BQ79-BR79))^(1/LN(Constants!$B$3/Constants!$B$6))-BU79</f>
        <v>#DIV/0!</v>
      </c>
      <c r="BW79" t="e">
        <f>$BM79*BU79^(LN(Constants!$B$2/Constants!$B$3))</f>
        <v>#DIV/0!</v>
      </c>
      <c r="BX79" s="33" t="e">
        <f>BW79*SQRT((BN79/BM79)^2+(((BM79*($BU79+$BV79)^LN(Constants!$B$2/Constants!$B$3))-BW79)/BW79)^2)</f>
        <v>#DIV/0!</v>
      </c>
      <c r="BY79" t="e">
        <f>BO79*BU79^(LN(Constants!$B$2/Constants!$B$4))</f>
        <v>#DIV/0!</v>
      </c>
      <c r="BZ79" s="33" t="e">
        <f>BY79*SQRT((BP79/BO79)^2+(((BO79*($BU79+$BV79)^LN(Constants!$B$2/Constants!$B$4))-BY79)/BY79)^2)</f>
        <v>#DIV/0!</v>
      </c>
      <c r="CA79" t="e">
        <f>BS79*BU79^(LN(Constants!$B$2/Constants!$B$5))</f>
        <v>#DIV/0!</v>
      </c>
      <c r="CB79" s="33" t="e">
        <f>CA79*SQRT((BT79/BS79)^2+(((BS79*($BU79+$BV79)^LN(Constants!$B$2/Constants!$B$5))-CA79)/CA79)^2)</f>
        <v>#DIV/0!</v>
      </c>
      <c r="CC79" t="e">
        <f>(Constants!$C$18/AVERAGE(BO78,BO80))^(1/LN(Constants!$B$2/Constants!$B$4))</f>
        <v>#NUM!</v>
      </c>
      <c r="CD79" t="e">
        <f>MAX(ABS((Constants!$C$18/BO78)^(1/LN(Constants!$B$2/Constants!$B$4))-(Constants!$C$18/BO80)^(1/LN(Constants!$B$2/Constants!$B$4))),CD78,CD80)</f>
        <v>#NUM!</v>
      </c>
      <c r="CE79" t="e">
        <f>$BM79*CC79^(LN(Constants!$B$2/Constants!$B$3))</f>
        <v>#DIV/0!</v>
      </c>
      <c r="CF79" s="33" t="e">
        <f>CE79*SQRT((BN79/BM79)^2+(($BM79*($CC79+$CD79)^(LN(Constants!$B$2/Constants!$B$3))-CE79)/CE79)^2)</f>
        <v>#DIV/0!</v>
      </c>
      <c r="CG79" t="e">
        <f>BO79*CC79^(LN(Constants!$B$2/Constants!$B$4))</f>
        <v>#DIV/0!</v>
      </c>
      <c r="CH79" s="33" t="e">
        <f>CG79*SQRT((BP79/BO79)^2+((BO79*($CC79+$CD79)^(LN(Constants!$B$2/Constants!$B$4))-CG79)/CG79)^2)</f>
        <v>#DIV/0!</v>
      </c>
      <c r="CI79" t="e">
        <f>BQ79*$CC79^(LN(Constants!$B$3/Constants!$B$6))</f>
        <v>#DIV/0!</v>
      </c>
      <c r="CJ79" s="33" t="e">
        <f>CI79*SQRT((BR79/BQ79)^2+((BQ79*($CC79+$CD79)^(LN(Constants!$B$3/Constants!$B$6))-CI79)/CI79)^2)</f>
        <v>#DIV/0!</v>
      </c>
      <c r="CK79" t="e">
        <f>BS79*CC79^(LN(Constants!$B$2/Constants!$B$5))</f>
        <v>#DIV/0!</v>
      </c>
      <c r="CL79" s="33" t="e">
        <f>CK79*SQRT((BT79/BS79)^2+((BS79*($CC79+$CD79)^(LN(Constants!$B$2/Constants!$B$5))-CK79)/CK79)^2)</f>
        <v>#DIV/0!</v>
      </c>
      <c r="CM79" t="e">
        <f>CK79*Constants!$C$17/AVERAGE(CK78,CK80)</f>
        <v>#DIV/0!</v>
      </c>
      <c r="CN79" t="e">
        <f>CM79*SQRT(((CK78-CK80)/CK80/4)^2+(CL79/CK79)^2+AVERAGE(CL78/CK78,CL80/CK80)^2)</f>
        <v>#DIV/0!</v>
      </c>
      <c r="CO79" t="e">
        <f>1/CM79*CE79*CI79</f>
        <v>#DIV/0!</v>
      </c>
      <c r="CQ79" t="e">
        <f>$K79/$J79</f>
        <v>#DIV/0!</v>
      </c>
      <c r="CR79" t="e">
        <f>$BN79/$BM79</f>
        <v>#DIV/0!</v>
      </c>
      <c r="CS79" t="e">
        <f>$CF79/$CE79</f>
        <v>#DIV/0!</v>
      </c>
      <c r="CT79" t="e">
        <f>$Q79/$P79</f>
        <v>#DIV/0!</v>
      </c>
      <c r="CU79" t="e">
        <f>$BT79/$BS79</f>
        <v>#DIV/0!</v>
      </c>
      <c r="CV79" t="e">
        <f>$CL79/$CK79</f>
        <v>#DIV/0!</v>
      </c>
      <c r="CW79" t="e">
        <f>$CN79/$CM79</f>
        <v>#DIV/0!</v>
      </c>
      <c r="CY79" s="82" t="e">
        <f>$CQ79/$CS79</f>
        <v>#DIV/0!</v>
      </c>
      <c r="CZ79" s="82" t="e">
        <f>$CR79/$CS79-$CY79</f>
        <v>#DIV/0!</v>
      </c>
      <c r="DA79" s="82" t="e">
        <f>$CS79/$CS79-$CZ79-$CY79</f>
        <v>#DIV/0!</v>
      </c>
      <c r="DB79" s="82" t="e">
        <f>$CT79/$CW79</f>
        <v>#DIV/0!</v>
      </c>
      <c r="DC79" s="82" t="e">
        <f>$CU79/$CW79-$DB79</f>
        <v>#DIV/0!</v>
      </c>
      <c r="DD79" s="82" t="e">
        <f>$CV79/$CW79-$DC79-$DB79</f>
        <v>#DIV/0!</v>
      </c>
      <c r="DE79" s="82" t="e">
        <f>$CW79/$CW79-$DD79-$DC79-$DB79</f>
        <v>#DIV/0!</v>
      </c>
    </row>
    <row r="80" spans="1:109">
      <c r="A80" s="73">
        <f t="shared" si="63"/>
        <v>0</v>
      </c>
      <c r="B80" s="73"/>
      <c r="C80" s="73"/>
      <c r="J80" s="62"/>
      <c r="K80" s="62"/>
      <c r="L80" s="62"/>
      <c r="M80" s="62"/>
      <c r="N80" s="62"/>
      <c r="O80" s="62"/>
      <c r="P80" s="62"/>
      <c r="Q80" s="62"/>
      <c r="R80" s="62"/>
      <c r="S80" s="62"/>
      <c r="T80" s="62"/>
      <c r="U80" s="62"/>
      <c r="V80" s="62"/>
      <c r="W80" s="62"/>
      <c r="X80" s="63"/>
      <c r="Y80" s="63"/>
      <c r="Z80" s="63"/>
      <c r="AB80" s="1"/>
      <c r="AC80" s="1"/>
      <c r="AD80" s="1"/>
      <c r="AE80" s="1"/>
      <c r="AF80" s="1"/>
      <c r="AG80" s="1"/>
      <c r="AH80" s="1"/>
      <c r="AI80" s="1"/>
      <c r="AJ80" s="1"/>
      <c r="AK80" s="1"/>
      <c r="AL80" s="1"/>
      <c r="AM80" s="1"/>
      <c r="AQ80" s="1"/>
      <c r="AR80" s="1">
        <f>Constants!B$25</f>
        <v>2.2917410000000001E-6</v>
      </c>
      <c r="AS80" s="1">
        <f t="shared" si="52"/>
        <v>0</v>
      </c>
      <c r="AT80" s="1">
        <f t="shared" si="53"/>
        <v>9.9999999999999995E-7</v>
      </c>
      <c r="AU80" s="1" t="e">
        <f t="shared" si="64"/>
        <v>#NUM!</v>
      </c>
      <c r="AV80" s="1" t="e">
        <f t="shared" si="54"/>
        <v>#DIV/0!</v>
      </c>
      <c r="AW80" s="1" t="e">
        <f t="shared" si="65"/>
        <v>#NUM!</v>
      </c>
      <c r="AX80" s="1">
        <f t="shared" si="55"/>
        <v>0</v>
      </c>
      <c r="AY80" t="e">
        <f t="shared" si="68"/>
        <v>#DIV/0!</v>
      </c>
      <c r="AZ80" s="1" t="e">
        <f t="shared" si="56"/>
        <v>#DIV/0!</v>
      </c>
      <c r="BA80" s="1" t="e">
        <f t="shared" si="66"/>
        <v>#NUM!</v>
      </c>
      <c r="BB80" s="1" t="e">
        <f t="shared" si="57"/>
        <v>#NUM!</v>
      </c>
      <c r="BC80" s="1" t="e">
        <f t="shared" si="67"/>
        <v>#NUM!</v>
      </c>
      <c r="BD80" t="e">
        <f t="shared" si="58"/>
        <v>#NUM!</v>
      </c>
      <c r="BE80" s="1"/>
      <c r="BF80" s="32" t="e">
        <f t="shared" si="47"/>
        <v>#DIV/0!</v>
      </c>
      <c r="BG80" s="1" t="e">
        <f t="shared" si="48"/>
        <v>#DIV/0!</v>
      </c>
      <c r="BH80" s="1" t="e">
        <f t="shared" si="49"/>
        <v>#DIV/0!</v>
      </c>
      <c r="BI80" s="1" t="e">
        <f t="shared" si="50"/>
        <v>#NUM!</v>
      </c>
      <c r="BJ80" s="1" t="e">
        <f t="shared" si="51"/>
        <v>#NUM!</v>
      </c>
      <c r="BK80" s="1"/>
      <c r="BL80" s="1"/>
      <c r="BM80" s="1"/>
      <c r="BN80" s="1"/>
      <c r="BO80" s="1" t="e">
        <f t="shared" si="59"/>
        <v>#NUM!</v>
      </c>
      <c r="BP80" s="33" t="e">
        <f t="shared" si="60"/>
        <v>#NUM!</v>
      </c>
      <c r="BQ80" s="1"/>
      <c r="BR80" s="1"/>
      <c r="BS80" s="1" t="e">
        <f t="shared" si="61"/>
        <v>#DIV/0!</v>
      </c>
      <c r="BT80" s="1" t="e">
        <f t="shared" si="62"/>
        <v>#DIV/0!</v>
      </c>
      <c r="BU80" s="1"/>
      <c r="BV80" s="1"/>
      <c r="BW80" s="1"/>
      <c r="BX80" s="1"/>
      <c r="BY80" s="1"/>
      <c r="BZ80" s="1"/>
      <c r="CA80" s="1"/>
      <c r="CB80" s="1"/>
      <c r="CC80" t="e">
        <f>(Constants!$C$18/BO80)^(1/LN(Constants!$B$2/Constants!$B$4))</f>
        <v>#NUM!</v>
      </c>
      <c r="CD80" t="e">
        <f>ABS((Constants!$C$18/BO80)^(1/LN(Constants!$B$2/Constants!$B$4))-(Constants!$C$18/(BO80+BP80))^(1/LN(Constants!$B$2/Constants!$B$4)))</f>
        <v>#NUM!</v>
      </c>
      <c r="CK80" t="e">
        <f>BS80*$CC80^(LN(Constants!$B$2/Constants!$B$5))</f>
        <v>#DIV/0!</v>
      </c>
      <c r="CL80" s="33" t="e">
        <f>CK80*SQRT((BT80/BS80)^2+((BS80*($CC80+$CD80)^(LN(Constants!$B$2/Constants!$B$5))-CK80)/CK80)^2)</f>
        <v>#DIV/0!</v>
      </c>
    </row>
    <row r="81" spans="1:109">
      <c r="A81" s="73">
        <f t="shared" si="63"/>
        <v>0</v>
      </c>
      <c r="B81" t="str">
        <f>IF(NOT(ISBLANK($J81)),IF($T81&lt;Constants!$B$32,"low spike","OK"),"")</f>
        <v/>
      </c>
      <c r="C81" t="str">
        <f>IF(NOT(ISBLANK($J81)), IF((ABS($L80-$L82)/$L80)&gt;Constants!$B$33,"variable mass bias","OK"), "")</f>
        <v/>
      </c>
      <c r="D81" t="str">
        <f>IF(NOT(ISBLANK($J81)), IF((ABS($P80-$P82)/$P80)&gt;Constants!$B$34,"variable IC yield","OK"),"")</f>
        <v/>
      </c>
      <c r="E81" s="34" t="e">
        <f>CE81</f>
        <v>#DIV/0!</v>
      </c>
      <c r="F81" s="34" t="e">
        <f>CF81</f>
        <v>#DIV/0!</v>
      </c>
      <c r="G81" s="34" t="e">
        <f>CM81</f>
        <v>#DIV/0!</v>
      </c>
      <c r="H81" s="48" t="e">
        <f>CN81</f>
        <v>#DIV/0!</v>
      </c>
      <c r="I81" s="33"/>
      <c r="J81" s="62"/>
      <c r="K81" s="62"/>
      <c r="L81" s="62"/>
      <c r="M81" s="62"/>
      <c r="N81" s="62"/>
      <c r="O81" s="62"/>
      <c r="P81" s="62"/>
      <c r="Q81" s="62"/>
      <c r="R81" s="62"/>
      <c r="S81" s="62"/>
      <c r="T81" s="62"/>
      <c r="U81" s="62"/>
      <c r="V81" s="62"/>
      <c r="W81" s="62"/>
      <c r="X81" s="63"/>
      <c r="Y81" s="63"/>
      <c r="Z81" s="63"/>
      <c r="AB81" s="1">
        <f>R81</f>
        <v>0</v>
      </c>
      <c r="AC81" s="1">
        <f>S81</f>
        <v>0</v>
      </c>
      <c r="AD81" s="1">
        <f>T81</f>
        <v>0</v>
      </c>
      <c r="AE81" s="1">
        <f>U81</f>
        <v>0</v>
      </c>
      <c r="AF81" s="1" t="e">
        <f>AVERAGE(AF80/$AB80,AF82/$AB82)*$AB81</f>
        <v>#DIV/0!</v>
      </c>
      <c r="AG81" s="1" t="e">
        <f>AVERAGE(AG80/AF80,AG82/AF82)*AF81</f>
        <v>#DIV/0!</v>
      </c>
      <c r="AH81" s="1" t="e">
        <f>AVERAGE(AH80/$AB80,AH82/$AB82)*$AB81</f>
        <v>#DIV/0!</v>
      </c>
      <c r="AI81" s="1" t="e">
        <f>AVERAGE(AI80/AH80,AI82/AH82)*AH81</f>
        <v>#DIV/0!</v>
      </c>
      <c r="AJ81" s="1" t="e">
        <f>AVERAGE(AJ80/$AB80,AJ82/$AB82)*$AB81</f>
        <v>#DIV/0!</v>
      </c>
      <c r="AK81" s="1" t="e">
        <f>AVERAGE(AK80/AJ80,AK82/AJ82)*AJ81</f>
        <v>#DIV/0!</v>
      </c>
      <c r="AL81" s="1" t="e">
        <f>AVERAGE(AL80/$AB80,AL82/$AB82)*$AB81</f>
        <v>#DIV/0!</v>
      </c>
      <c r="AM81" s="1" t="e">
        <f>AVERAGE(AM80/AL80,AM82/AL82)*AL81</f>
        <v>#DIV/0!</v>
      </c>
      <c r="AR81" s="1">
        <f>Constants!B$25</f>
        <v>2.2917410000000001E-6</v>
      </c>
      <c r="AS81" s="1">
        <f t="shared" si="52"/>
        <v>0</v>
      </c>
      <c r="AT81" s="1">
        <f t="shared" si="53"/>
        <v>9.9999999999999995E-7</v>
      </c>
      <c r="AU81" s="1" t="e">
        <f t="shared" si="64"/>
        <v>#DIV/0!</v>
      </c>
      <c r="AV81" s="1" t="e">
        <f t="shared" si="54"/>
        <v>#DIV/0!</v>
      </c>
      <c r="AW81" s="1" t="e">
        <f t="shared" si="65"/>
        <v>#DIV/0!</v>
      </c>
      <c r="AX81" s="1">
        <f t="shared" si="55"/>
        <v>0</v>
      </c>
      <c r="AY81" t="e">
        <f t="shared" si="68"/>
        <v>#DIV/0!</v>
      </c>
      <c r="AZ81" s="1" t="e">
        <f t="shared" si="56"/>
        <v>#DIV/0!</v>
      </c>
      <c r="BA81" s="1" t="e">
        <f t="shared" si="66"/>
        <v>#DIV/0!</v>
      </c>
      <c r="BB81" s="1" t="e">
        <f t="shared" si="57"/>
        <v>#DIV/0!</v>
      </c>
      <c r="BC81" s="1" t="e">
        <f t="shared" si="26"/>
        <v>#DIV/0!</v>
      </c>
      <c r="BD81" t="e">
        <f t="shared" si="58"/>
        <v>#DIV/0!</v>
      </c>
      <c r="BF81" s="32" t="e">
        <f t="shared" si="47"/>
        <v>#DIV/0!</v>
      </c>
      <c r="BG81" s="1" t="e">
        <f t="shared" si="48"/>
        <v>#DIV/0!</v>
      </c>
      <c r="BH81" s="1" t="e">
        <f t="shared" si="49"/>
        <v>#DIV/0!</v>
      </c>
      <c r="BI81" s="1" t="e">
        <f t="shared" si="50"/>
        <v>#DIV/0!</v>
      </c>
      <c r="BJ81" s="1" t="e">
        <f t="shared" si="51"/>
        <v>#DIV/0!</v>
      </c>
      <c r="BK81" s="1" t="e">
        <f>AU81/AT81/62415093</f>
        <v>#DIV/0!</v>
      </c>
      <c r="BL81" s="1" t="e">
        <f>BK81*0.1</f>
        <v>#DIV/0!</v>
      </c>
      <c r="BM81" s="1" t="e">
        <f>J81/(1-(AU81/62415093)/AT81)</f>
        <v>#DIV/0!</v>
      </c>
      <c r="BN81" s="33" t="e">
        <f>SQRT((K81/(1-BK81))^2+(BL81*J81/(1-BK81)^2)^2)</f>
        <v>#DIV/0!</v>
      </c>
      <c r="BO81" s="1" t="e">
        <f t="shared" si="59"/>
        <v>#DIV/0!</v>
      </c>
      <c r="BP81" s="33" t="e">
        <f t="shared" si="60"/>
        <v>#DIV/0!</v>
      </c>
      <c r="BQ81" s="1" t="e">
        <f>N81*(1-BK81)</f>
        <v>#DIV/0!</v>
      </c>
      <c r="BR81" t="e">
        <f>SQRT(O81^2+BL81^2)</f>
        <v>#DIV/0!</v>
      </c>
      <c r="BS81" s="1" t="e">
        <f t="shared" si="61"/>
        <v>#DIV/0!</v>
      </c>
      <c r="BT81" s="1" t="e">
        <f t="shared" si="62"/>
        <v>#DIV/0!</v>
      </c>
      <c r="BU81" t="e">
        <f>(Constants!$C$19/$BQ81)^(1/LN(Constants!$B$3/Constants!$B$6))</f>
        <v>#DIV/0!</v>
      </c>
      <c r="BV81" t="e">
        <f>(Constants!$C$19/($BQ81-BR81))^(1/LN(Constants!$B$3/Constants!$B$6))-BU81</f>
        <v>#DIV/0!</v>
      </c>
      <c r="BW81" t="e">
        <f>$BM81*BU81^(LN(Constants!$B$2/Constants!$B$3))</f>
        <v>#DIV/0!</v>
      </c>
      <c r="BX81" s="33" t="e">
        <f>BW81*SQRT((BN81/BM81)^2+(((BM81*($BU81+$BV81)^LN(Constants!$B$2/Constants!$B$3))-BW81)/BW81)^2)</f>
        <v>#DIV/0!</v>
      </c>
      <c r="BY81" t="e">
        <f>BO81*BU81^(LN(Constants!$B$2/Constants!$B$4))</f>
        <v>#DIV/0!</v>
      </c>
      <c r="BZ81" s="33" t="e">
        <f>BY81*SQRT((BP81/BO81)^2+(((BO81*($BU81+$BV81)^LN(Constants!$B$2/Constants!$B$4))-BY81)/BY81)^2)</f>
        <v>#DIV/0!</v>
      </c>
      <c r="CA81" t="e">
        <f>BS81*BU81^(LN(Constants!$B$2/Constants!$B$5))</f>
        <v>#DIV/0!</v>
      </c>
      <c r="CB81" s="33" t="e">
        <f>CA81*SQRT((BT81/BS81)^2+(((BS81*($BU81+$BV81)^LN(Constants!$B$2/Constants!$B$5))-CA81)/CA81)^2)</f>
        <v>#DIV/0!</v>
      </c>
      <c r="CC81" t="e">
        <f>(Constants!$C$18/AVERAGE(BO80,BO82))^(1/LN(Constants!$B$2/Constants!$B$4))</f>
        <v>#NUM!</v>
      </c>
      <c r="CD81" t="e">
        <f>MAX(ABS((Constants!$C$18/BO80)^(1/LN(Constants!$B$2/Constants!$B$4))-(Constants!$C$18/BO82)^(1/LN(Constants!$B$2/Constants!$B$4))),CD80,CD82)</f>
        <v>#NUM!</v>
      </c>
      <c r="CE81" t="e">
        <f>$BM81*CC81^(LN(Constants!$B$2/Constants!$B$3))</f>
        <v>#DIV/0!</v>
      </c>
      <c r="CF81" s="33" t="e">
        <f>CE81*SQRT((BN81/BM81)^2+(($BM81*($CC81+$CD81)^(LN(Constants!$B$2/Constants!$B$3))-CE81)/CE81)^2)</f>
        <v>#DIV/0!</v>
      </c>
      <c r="CG81" t="e">
        <f>BO81*CC81^(LN(Constants!$B$2/Constants!$B$4))</f>
        <v>#DIV/0!</v>
      </c>
      <c r="CH81" s="33" t="e">
        <f>CG81*SQRT((BP81/BO81)^2+((BO81*($CC81+$CD81)^(LN(Constants!$B$2/Constants!$B$4))-CG81)/CG81)^2)</f>
        <v>#DIV/0!</v>
      </c>
      <c r="CI81" t="e">
        <f>BQ81*$CC81^(LN(Constants!$B$3/Constants!$B$6))</f>
        <v>#DIV/0!</v>
      </c>
      <c r="CJ81" s="33" t="e">
        <f>CI81*SQRT((BR81/BQ81)^2+((BQ81*($CC81+$CD81)^(LN(Constants!$B$3/Constants!$B$6))-CI81)/CI81)^2)</f>
        <v>#DIV/0!</v>
      </c>
      <c r="CK81" t="e">
        <f>BS81*CC81^(LN(Constants!$B$2/Constants!$B$5))</f>
        <v>#DIV/0!</v>
      </c>
      <c r="CL81" s="33" t="e">
        <f>CK81*SQRT((BT81/BS81)^2+((BS81*($CC81+$CD81)^(LN(Constants!$B$2/Constants!$B$5))-CK81)/CK81)^2)</f>
        <v>#DIV/0!</v>
      </c>
      <c r="CM81" t="e">
        <f>CK81*Constants!$C$17/AVERAGE(CK80,CK82)</f>
        <v>#DIV/0!</v>
      </c>
      <c r="CN81" t="e">
        <f>CM81*SQRT(((CK80-CK82)/CK82/4)^2+(CL81/CK81)^2+AVERAGE(CL80/CK80,CL82/CK82)^2)</f>
        <v>#DIV/0!</v>
      </c>
      <c r="CO81" t="e">
        <f>1/CM81*CE81*CI81</f>
        <v>#DIV/0!</v>
      </c>
      <c r="CQ81" t="e">
        <f>$K81/$J81</f>
        <v>#DIV/0!</v>
      </c>
      <c r="CR81" t="e">
        <f>$BN81/$BM81</f>
        <v>#DIV/0!</v>
      </c>
      <c r="CS81" t="e">
        <f>$CF81/$CE81</f>
        <v>#DIV/0!</v>
      </c>
      <c r="CT81" t="e">
        <f>$Q81/$P81</f>
        <v>#DIV/0!</v>
      </c>
      <c r="CU81" t="e">
        <f>$BT81/$BS81</f>
        <v>#DIV/0!</v>
      </c>
      <c r="CV81" t="e">
        <f>$CL81/$CK81</f>
        <v>#DIV/0!</v>
      </c>
      <c r="CW81" t="e">
        <f>$CN81/$CM81</f>
        <v>#DIV/0!</v>
      </c>
      <c r="CY81" s="82" t="e">
        <f>$CQ81/$CS81</f>
        <v>#DIV/0!</v>
      </c>
      <c r="CZ81" s="82" t="e">
        <f>$CR81/$CS81-$CY81</f>
        <v>#DIV/0!</v>
      </c>
      <c r="DA81" s="82" t="e">
        <f>$CS81/$CS81-$CZ81-$CY81</f>
        <v>#DIV/0!</v>
      </c>
      <c r="DB81" s="82" t="e">
        <f>$CT81/$CW81</f>
        <v>#DIV/0!</v>
      </c>
      <c r="DC81" s="82" t="e">
        <f>$CU81/$CW81-$DB81</f>
        <v>#DIV/0!</v>
      </c>
      <c r="DD81" s="82" t="e">
        <f>$CV81/$CW81-$DC81-$DB81</f>
        <v>#DIV/0!</v>
      </c>
      <c r="DE81" s="82" t="e">
        <f>$CW81/$CW81-$DD81-$DC81-$DB81</f>
        <v>#DIV/0!</v>
      </c>
    </row>
    <row r="82" spans="1:109">
      <c r="A82" s="73">
        <f t="shared" si="63"/>
        <v>0</v>
      </c>
      <c r="B82" s="73"/>
      <c r="C82" s="73"/>
      <c r="J82" s="62"/>
      <c r="K82" s="62"/>
      <c r="L82" s="62"/>
      <c r="M82" s="62"/>
      <c r="N82" s="62"/>
      <c r="O82" s="62"/>
      <c r="P82" s="62"/>
      <c r="Q82" s="62"/>
      <c r="R82" s="62"/>
      <c r="S82" s="62"/>
      <c r="T82" s="62"/>
      <c r="U82" s="62"/>
      <c r="V82" s="62"/>
      <c r="W82" s="62"/>
      <c r="X82" s="63"/>
      <c r="Y82" s="63"/>
      <c r="Z82" s="63"/>
      <c r="AB82" s="1"/>
      <c r="AC82" s="1"/>
      <c r="AD82" s="1"/>
      <c r="AE82" s="1"/>
      <c r="AF82" s="1"/>
      <c r="AG82" s="1"/>
      <c r="AH82" s="1"/>
      <c r="AI82" s="1"/>
      <c r="AJ82" s="1"/>
      <c r="AK82" s="1"/>
      <c r="AL82" s="1"/>
      <c r="AM82" s="1"/>
      <c r="AQ82" s="1"/>
      <c r="AR82" s="1">
        <f>Constants!B$25</f>
        <v>2.2917410000000001E-6</v>
      </c>
      <c r="AS82" s="1">
        <f t="shared" si="52"/>
        <v>0</v>
      </c>
      <c r="AT82" s="1">
        <f t="shared" si="53"/>
        <v>9.9999999999999995E-7</v>
      </c>
      <c r="AU82" s="1" t="e">
        <f t="shared" si="64"/>
        <v>#NUM!</v>
      </c>
      <c r="AV82" s="1" t="e">
        <f t="shared" si="54"/>
        <v>#DIV/0!</v>
      </c>
      <c r="AW82" s="1" t="e">
        <f t="shared" si="65"/>
        <v>#NUM!</v>
      </c>
      <c r="AX82" s="1">
        <f t="shared" si="55"/>
        <v>0</v>
      </c>
      <c r="AY82" t="e">
        <f t="shared" si="68"/>
        <v>#DIV/0!</v>
      </c>
      <c r="AZ82" s="1" t="e">
        <f t="shared" si="56"/>
        <v>#DIV/0!</v>
      </c>
      <c r="BA82" s="1" t="e">
        <f t="shared" si="66"/>
        <v>#NUM!</v>
      </c>
      <c r="BB82" s="1" t="e">
        <f t="shared" si="57"/>
        <v>#NUM!</v>
      </c>
      <c r="BC82" s="1" t="e">
        <f t="shared" si="67"/>
        <v>#NUM!</v>
      </c>
      <c r="BD82" t="e">
        <f t="shared" si="58"/>
        <v>#NUM!</v>
      </c>
      <c r="BE82" s="1"/>
      <c r="BF82" s="32" t="e">
        <f t="shared" si="47"/>
        <v>#DIV/0!</v>
      </c>
      <c r="BG82" s="1" t="e">
        <f t="shared" si="48"/>
        <v>#DIV/0!</v>
      </c>
      <c r="BH82" s="1" t="e">
        <f t="shared" si="49"/>
        <v>#DIV/0!</v>
      </c>
      <c r="BI82" s="1" t="e">
        <f t="shared" si="50"/>
        <v>#NUM!</v>
      </c>
      <c r="BJ82" s="1" t="e">
        <f t="shared" si="51"/>
        <v>#NUM!</v>
      </c>
      <c r="BK82" s="1"/>
      <c r="BL82" s="1"/>
      <c r="BM82" s="1"/>
      <c r="BN82" s="1"/>
      <c r="BO82" s="1" t="e">
        <f t="shared" si="59"/>
        <v>#NUM!</v>
      </c>
      <c r="BP82" s="33" t="e">
        <f t="shared" si="60"/>
        <v>#NUM!</v>
      </c>
      <c r="BQ82" s="1"/>
      <c r="BR82" s="1"/>
      <c r="BS82" s="1" t="e">
        <f t="shared" si="61"/>
        <v>#DIV/0!</v>
      </c>
      <c r="BT82" s="1" t="e">
        <f t="shared" si="62"/>
        <v>#DIV/0!</v>
      </c>
      <c r="BU82" s="1"/>
      <c r="BV82" s="1"/>
      <c r="BW82" s="1"/>
      <c r="BX82" s="1"/>
      <c r="BY82" s="1"/>
      <c r="BZ82" s="1"/>
      <c r="CA82" s="1"/>
      <c r="CB82" s="1"/>
      <c r="CC82" t="e">
        <f>(Constants!$C$18/BO82)^(1/LN(Constants!$B$2/Constants!$B$4))</f>
        <v>#NUM!</v>
      </c>
      <c r="CD82" t="e">
        <f>ABS((Constants!$C$18/BO82)^(1/LN(Constants!$B$2/Constants!$B$4))-(Constants!$C$18/(BO82+BP82))^(1/LN(Constants!$B$2/Constants!$B$4)))</f>
        <v>#NUM!</v>
      </c>
      <c r="CK82" t="e">
        <f>BS82*$CC82^(LN(Constants!$B$2/Constants!$B$5))</f>
        <v>#DIV/0!</v>
      </c>
      <c r="CL82" s="33" t="e">
        <f>CK82*SQRT((BT82/BS82)^2+((BS82*($CC82+$CD82)^(LN(Constants!$B$2/Constants!$B$5))-CK82)/CK82)^2)</f>
        <v>#DIV/0!</v>
      </c>
    </row>
    <row r="83" spans="1:109">
      <c r="A83" s="73">
        <f t="shared" si="63"/>
        <v>0</v>
      </c>
      <c r="B83" t="str">
        <f>IF(NOT(ISBLANK($J83)),IF($T83&lt;Constants!$B$32,"low spike","OK"),"")</f>
        <v/>
      </c>
      <c r="C83" t="str">
        <f>IF(NOT(ISBLANK($J83)), IF((ABS($L82-$L84)/$L82)&gt;Constants!$B$33,"variable mass bias","OK"), "")</f>
        <v/>
      </c>
      <c r="D83" t="str">
        <f>IF(NOT(ISBLANK($J83)), IF((ABS($P82-$P84)/$P82)&gt;Constants!$B$34,"variable IC yield","OK"),"")</f>
        <v/>
      </c>
      <c r="E83" s="34" t="e">
        <f>CE83</f>
        <v>#DIV/0!</v>
      </c>
      <c r="F83" s="34" t="e">
        <f>CF83</f>
        <v>#DIV/0!</v>
      </c>
      <c r="G83" s="34" t="e">
        <f>CM83</f>
        <v>#DIV/0!</v>
      </c>
      <c r="H83" s="48" t="e">
        <f>CN83</f>
        <v>#DIV/0!</v>
      </c>
      <c r="I83" s="33"/>
      <c r="J83" s="62"/>
      <c r="K83" s="62"/>
      <c r="L83" s="62"/>
      <c r="M83" s="62"/>
      <c r="N83" s="62"/>
      <c r="O83" s="62"/>
      <c r="P83" s="62"/>
      <c r="Q83" s="62"/>
      <c r="R83" s="62"/>
      <c r="S83" s="62"/>
      <c r="T83" s="62"/>
      <c r="U83" s="62"/>
      <c r="V83" s="62"/>
      <c r="W83" s="62"/>
      <c r="X83" s="63"/>
      <c r="Y83" s="63"/>
      <c r="Z83" s="63"/>
      <c r="AB83" s="1">
        <f>R83</f>
        <v>0</v>
      </c>
      <c r="AC83" s="1">
        <f>S83</f>
        <v>0</v>
      </c>
      <c r="AD83" s="1">
        <f>T83</f>
        <v>0</v>
      </c>
      <c r="AE83" s="1">
        <f>U83</f>
        <v>0</v>
      </c>
      <c r="AF83" s="1" t="e">
        <f>AVERAGE(AF82/$AB82,AF84/$AB84)*$AB83</f>
        <v>#DIV/0!</v>
      </c>
      <c r="AG83" s="1" t="e">
        <f>AVERAGE(AG82/AF82,AG84/AF84)*AF83</f>
        <v>#DIV/0!</v>
      </c>
      <c r="AH83" s="1" t="e">
        <f>AVERAGE(AH82/$AB82,AH84/$AB84)*$AB83</f>
        <v>#DIV/0!</v>
      </c>
      <c r="AI83" s="1" t="e">
        <f>AVERAGE(AI82/AH82,AI84/AH84)*AH83</f>
        <v>#DIV/0!</v>
      </c>
      <c r="AJ83" s="1" t="e">
        <f>AVERAGE(AJ82/$AB82,AJ84/$AB84)*$AB83</f>
        <v>#DIV/0!</v>
      </c>
      <c r="AK83" s="1" t="e">
        <f>AVERAGE(AK82/AJ82,AK84/AJ84)*AJ83</f>
        <v>#DIV/0!</v>
      </c>
      <c r="AL83" s="1" t="e">
        <f>AVERAGE(AL82/$AB82,AL84/$AB84)*$AB83</f>
        <v>#DIV/0!</v>
      </c>
      <c r="AM83" s="1" t="e">
        <f>AVERAGE(AM82/AL82,AM84/AL84)*AL83</f>
        <v>#DIV/0!</v>
      </c>
      <c r="AR83" s="1">
        <f>Constants!B$25</f>
        <v>2.2917410000000001E-6</v>
      </c>
      <c r="AS83" s="1">
        <f t="shared" si="52"/>
        <v>0</v>
      </c>
      <c r="AT83" s="1">
        <f t="shared" si="53"/>
        <v>9.9999999999999995E-7</v>
      </c>
      <c r="AU83" s="1" t="e">
        <f t="shared" si="64"/>
        <v>#DIV/0!</v>
      </c>
      <c r="AV83" s="1" t="e">
        <f t="shared" si="54"/>
        <v>#DIV/0!</v>
      </c>
      <c r="AW83" s="1" t="e">
        <f t="shared" si="65"/>
        <v>#DIV/0!</v>
      </c>
      <c r="AX83" s="1">
        <f t="shared" si="55"/>
        <v>0</v>
      </c>
      <c r="AY83" t="e">
        <f t="shared" si="68"/>
        <v>#DIV/0!</v>
      </c>
      <c r="AZ83" s="1" t="e">
        <f t="shared" si="56"/>
        <v>#DIV/0!</v>
      </c>
      <c r="BA83" s="1" t="e">
        <f t="shared" si="66"/>
        <v>#DIV/0!</v>
      </c>
      <c r="BB83" s="1" t="e">
        <f t="shared" si="57"/>
        <v>#DIV/0!</v>
      </c>
      <c r="BC83" s="1" t="e">
        <f t="shared" si="26"/>
        <v>#DIV/0!</v>
      </c>
      <c r="BD83" t="e">
        <f t="shared" si="58"/>
        <v>#DIV/0!</v>
      </c>
      <c r="BF83" s="32" t="e">
        <f t="shared" si="47"/>
        <v>#DIV/0!</v>
      </c>
      <c r="BG83" s="1" t="e">
        <f t="shared" si="48"/>
        <v>#DIV/0!</v>
      </c>
      <c r="BH83" s="1" t="e">
        <f t="shared" si="49"/>
        <v>#DIV/0!</v>
      </c>
      <c r="BI83" s="1" t="e">
        <f t="shared" si="50"/>
        <v>#DIV/0!</v>
      </c>
      <c r="BJ83" s="1" t="e">
        <f t="shared" si="51"/>
        <v>#DIV/0!</v>
      </c>
      <c r="BK83" s="1" t="e">
        <f>AU83/AT83/62415093</f>
        <v>#DIV/0!</v>
      </c>
      <c r="BL83" s="1" t="e">
        <f>BK83*0.1</f>
        <v>#DIV/0!</v>
      </c>
      <c r="BM83" s="1" t="e">
        <f>J83/(1-(AU83/62415093)/AT83)</f>
        <v>#DIV/0!</v>
      </c>
      <c r="BN83" s="33" t="e">
        <f>SQRT((K83/(1-BK83))^2+(BL83*J83/(1-BK83)^2)^2)</f>
        <v>#DIV/0!</v>
      </c>
      <c r="BO83" s="1" t="e">
        <f t="shared" si="59"/>
        <v>#DIV/0!</v>
      </c>
      <c r="BP83" s="33" t="e">
        <f t="shared" si="60"/>
        <v>#DIV/0!</v>
      </c>
      <c r="BQ83" s="1" t="e">
        <f>N83*(1-BK83)</f>
        <v>#DIV/0!</v>
      </c>
      <c r="BR83" t="e">
        <f>SQRT(O83^2+BL83^2)</f>
        <v>#DIV/0!</v>
      </c>
      <c r="BS83" s="1" t="e">
        <f t="shared" si="61"/>
        <v>#DIV/0!</v>
      </c>
      <c r="BT83" s="1" t="e">
        <f t="shared" si="62"/>
        <v>#DIV/0!</v>
      </c>
      <c r="BU83" t="e">
        <f>(Constants!$C$19/$BQ83)^(1/LN(Constants!$B$3/Constants!$B$6))</f>
        <v>#DIV/0!</v>
      </c>
      <c r="BV83" t="e">
        <f>(Constants!$C$19/($BQ83-BR83))^(1/LN(Constants!$B$3/Constants!$B$6))-BU83</f>
        <v>#DIV/0!</v>
      </c>
      <c r="BW83" t="e">
        <f>$BM83*BU83^(LN(Constants!$B$2/Constants!$B$3))</f>
        <v>#DIV/0!</v>
      </c>
      <c r="BX83" s="33" t="e">
        <f>BW83*SQRT((BN83/BM83)^2+(((BM83*($BU83+$BV83)^LN(Constants!$B$2/Constants!$B$3))-BW83)/BW83)^2)</f>
        <v>#DIV/0!</v>
      </c>
      <c r="BY83" t="e">
        <f>BO83*BU83^(LN(Constants!$B$2/Constants!$B$4))</f>
        <v>#DIV/0!</v>
      </c>
      <c r="BZ83" s="33" t="e">
        <f>BY83*SQRT((BP83/BO83)^2+(((BO83*($BU83+$BV83)^LN(Constants!$B$2/Constants!$B$4))-BY83)/BY83)^2)</f>
        <v>#DIV/0!</v>
      </c>
      <c r="CA83" t="e">
        <f>BS83*BU83^(LN(Constants!$B$2/Constants!$B$5))</f>
        <v>#DIV/0!</v>
      </c>
      <c r="CB83" s="33" t="e">
        <f>CA83*SQRT((BT83/BS83)^2+(((BS83*($BU83+$BV83)^LN(Constants!$B$2/Constants!$B$5))-CA83)/CA83)^2)</f>
        <v>#DIV/0!</v>
      </c>
      <c r="CC83" t="e">
        <f>(Constants!$C$18/AVERAGE(BO82,BO84))^(1/LN(Constants!$B$2/Constants!$B$4))</f>
        <v>#NUM!</v>
      </c>
      <c r="CD83" t="e">
        <f>MAX(ABS((Constants!$C$18/BO82)^(1/LN(Constants!$B$2/Constants!$B$4))-(Constants!$C$18/BO84)^(1/LN(Constants!$B$2/Constants!$B$4))),CD82,CD84)</f>
        <v>#NUM!</v>
      </c>
      <c r="CE83" t="e">
        <f>$BM83*CC83^(LN(Constants!$B$2/Constants!$B$3))</f>
        <v>#DIV/0!</v>
      </c>
      <c r="CF83" s="33" t="e">
        <f>CE83*SQRT((BN83/BM83)^2+(($BM83*($CC83+$CD83)^(LN(Constants!$B$2/Constants!$B$3))-CE83)/CE83)^2)</f>
        <v>#DIV/0!</v>
      </c>
      <c r="CG83" t="e">
        <f>BO83*CC83^(LN(Constants!$B$2/Constants!$B$4))</f>
        <v>#DIV/0!</v>
      </c>
      <c r="CH83" s="33" t="e">
        <f>CG83*SQRT((BP83/BO83)^2+((BO83*($CC83+$CD83)^(LN(Constants!$B$2/Constants!$B$4))-CG83)/CG83)^2)</f>
        <v>#DIV/0!</v>
      </c>
      <c r="CI83" t="e">
        <f>BQ83*$CC83^(LN(Constants!$B$3/Constants!$B$6))</f>
        <v>#DIV/0!</v>
      </c>
      <c r="CJ83" s="33" t="e">
        <f>CI83*SQRT((BR83/BQ83)^2+((BQ83*($CC83+$CD83)^(LN(Constants!$B$3/Constants!$B$6))-CI83)/CI83)^2)</f>
        <v>#DIV/0!</v>
      </c>
      <c r="CK83" t="e">
        <f>BS83*CC83^(LN(Constants!$B$2/Constants!$B$5))</f>
        <v>#DIV/0!</v>
      </c>
      <c r="CL83" s="33" t="e">
        <f>CK83*SQRT((BT83/BS83)^2+((BS83*($CC83+$CD83)^(LN(Constants!$B$2/Constants!$B$5))-CK83)/CK83)^2)</f>
        <v>#DIV/0!</v>
      </c>
      <c r="CM83" t="e">
        <f>CK83*Constants!$C$17/AVERAGE(CK82,CK84)</f>
        <v>#DIV/0!</v>
      </c>
      <c r="CN83" t="e">
        <f>CM83*SQRT(((CK82-CK84)/CK84/4)^2+(CL83/CK83)^2+AVERAGE(CL82/CK82,CL84/CK84)^2)</f>
        <v>#DIV/0!</v>
      </c>
      <c r="CO83" t="e">
        <f>1/CM83*CE83*CI83</f>
        <v>#DIV/0!</v>
      </c>
      <c r="CQ83" t="e">
        <f>$K83/$J83</f>
        <v>#DIV/0!</v>
      </c>
      <c r="CR83" t="e">
        <f>$BN83/$BM83</f>
        <v>#DIV/0!</v>
      </c>
      <c r="CS83" t="e">
        <f>$CF83/$CE83</f>
        <v>#DIV/0!</v>
      </c>
      <c r="CT83" t="e">
        <f>$Q83/$P83</f>
        <v>#DIV/0!</v>
      </c>
      <c r="CU83" t="e">
        <f>$BT83/$BS83</f>
        <v>#DIV/0!</v>
      </c>
      <c r="CV83" t="e">
        <f>$CL83/$CK83</f>
        <v>#DIV/0!</v>
      </c>
      <c r="CW83" t="e">
        <f>$CN83/$CM83</f>
        <v>#DIV/0!</v>
      </c>
      <c r="CY83" s="82" t="e">
        <f>$CQ83/$CS83</f>
        <v>#DIV/0!</v>
      </c>
      <c r="CZ83" s="82" t="e">
        <f>$CR83/$CS83-$CY83</f>
        <v>#DIV/0!</v>
      </c>
      <c r="DA83" s="82" t="e">
        <f>$CS83/$CS83-$CZ83-$CY83</f>
        <v>#DIV/0!</v>
      </c>
      <c r="DB83" s="82" t="e">
        <f>$CT83/$CW83</f>
        <v>#DIV/0!</v>
      </c>
      <c r="DC83" s="82" t="e">
        <f>$CU83/$CW83-$DB83</f>
        <v>#DIV/0!</v>
      </c>
      <c r="DD83" s="82" t="e">
        <f>$CV83/$CW83-$DC83-$DB83</f>
        <v>#DIV/0!</v>
      </c>
      <c r="DE83" s="82" t="e">
        <f>$CW83/$CW83-$DD83-$DC83-$DB83</f>
        <v>#DIV/0!</v>
      </c>
    </row>
    <row r="84" spans="1:109">
      <c r="A84" s="73">
        <f t="shared" si="63"/>
        <v>0</v>
      </c>
      <c r="B84" s="73"/>
      <c r="C84" s="73"/>
      <c r="J84" s="62"/>
      <c r="K84" s="62"/>
      <c r="L84" s="62"/>
      <c r="M84" s="62"/>
      <c r="N84" s="62"/>
      <c r="O84" s="62"/>
      <c r="P84" s="62"/>
      <c r="Q84" s="62"/>
      <c r="R84" s="62"/>
      <c r="S84" s="62"/>
      <c r="T84" s="62"/>
      <c r="U84" s="62"/>
      <c r="V84" s="62"/>
      <c r="W84" s="62"/>
      <c r="X84" s="63"/>
      <c r="Y84" s="63"/>
      <c r="Z84" s="63"/>
      <c r="AB84" s="1"/>
      <c r="AC84" s="1"/>
      <c r="AD84" s="1"/>
      <c r="AE84" s="1"/>
      <c r="AF84" s="1"/>
      <c r="AG84" s="1"/>
      <c r="AH84" s="1"/>
      <c r="AI84" s="1"/>
      <c r="AJ84" s="1"/>
      <c r="AK84" s="1"/>
      <c r="AL84" s="1"/>
      <c r="AM84" s="1"/>
      <c r="AQ84" s="1"/>
      <c r="AR84" s="1">
        <f>Constants!B$25</f>
        <v>2.2917410000000001E-6</v>
      </c>
      <c r="AS84" s="1">
        <f t="shared" si="52"/>
        <v>0</v>
      </c>
      <c r="AT84" s="1">
        <f t="shared" si="53"/>
        <v>9.9999999999999995E-7</v>
      </c>
      <c r="AU84" s="1" t="e">
        <f t="shared" si="64"/>
        <v>#NUM!</v>
      </c>
      <c r="AV84" s="1" t="e">
        <f t="shared" si="54"/>
        <v>#DIV/0!</v>
      </c>
      <c r="AW84" s="1" t="e">
        <f t="shared" si="65"/>
        <v>#NUM!</v>
      </c>
      <c r="AX84" s="1">
        <f t="shared" si="55"/>
        <v>0</v>
      </c>
      <c r="AY84" t="e">
        <f t="shared" si="68"/>
        <v>#DIV/0!</v>
      </c>
      <c r="AZ84" s="1" t="e">
        <f t="shared" si="56"/>
        <v>#DIV/0!</v>
      </c>
      <c r="BA84" s="1" t="e">
        <f t="shared" si="66"/>
        <v>#NUM!</v>
      </c>
      <c r="BB84" s="1" t="e">
        <f t="shared" si="57"/>
        <v>#NUM!</v>
      </c>
      <c r="BC84" s="1" t="e">
        <f t="shared" si="67"/>
        <v>#NUM!</v>
      </c>
      <c r="BD84" t="e">
        <f t="shared" si="58"/>
        <v>#NUM!</v>
      </c>
      <c r="BE84" s="1"/>
      <c r="BF84" s="32" t="e">
        <f t="shared" si="47"/>
        <v>#DIV/0!</v>
      </c>
      <c r="BG84" s="1" t="e">
        <f t="shared" si="48"/>
        <v>#DIV/0!</v>
      </c>
      <c r="BH84" s="1" t="e">
        <f t="shared" si="49"/>
        <v>#DIV/0!</v>
      </c>
      <c r="BI84" s="1" t="e">
        <f t="shared" si="50"/>
        <v>#NUM!</v>
      </c>
      <c r="BJ84" s="1" t="e">
        <f t="shared" si="51"/>
        <v>#NUM!</v>
      </c>
      <c r="BK84" s="1"/>
      <c r="BL84" s="1"/>
      <c r="BM84" s="1"/>
      <c r="BN84" s="1"/>
      <c r="BO84" s="1" t="e">
        <f t="shared" si="59"/>
        <v>#NUM!</v>
      </c>
      <c r="BP84" s="33" t="e">
        <f t="shared" si="60"/>
        <v>#NUM!</v>
      </c>
      <c r="BQ84" s="1"/>
      <c r="BR84" s="1"/>
      <c r="BS84" s="1" t="e">
        <f t="shared" si="61"/>
        <v>#DIV/0!</v>
      </c>
      <c r="BT84" s="1" t="e">
        <f t="shared" si="62"/>
        <v>#DIV/0!</v>
      </c>
      <c r="BU84" s="1"/>
      <c r="BV84" s="1"/>
      <c r="BW84" s="1"/>
      <c r="BX84" s="1"/>
      <c r="BY84" s="1"/>
      <c r="BZ84" s="1"/>
      <c r="CA84" s="1"/>
      <c r="CB84" s="1"/>
      <c r="CC84" t="e">
        <f>(Constants!$C$18/BO84)^(1/LN(Constants!$B$2/Constants!$B$4))</f>
        <v>#NUM!</v>
      </c>
      <c r="CD84" t="e">
        <f>ABS((Constants!$C$18/BO84)^(1/LN(Constants!$B$2/Constants!$B$4))-(Constants!$C$18/(BO84+BP84))^(1/LN(Constants!$B$2/Constants!$B$4)))</f>
        <v>#NUM!</v>
      </c>
      <c r="CK84" t="e">
        <f>BS84*$CC84^(LN(Constants!$B$2/Constants!$B$5))</f>
        <v>#DIV/0!</v>
      </c>
      <c r="CL84" s="33" t="e">
        <f>CK84*SQRT((BT84/BS84)^2+((BS84*($CC84+$CD84)^(LN(Constants!$B$2/Constants!$B$5))-CK84)/CK84)^2)</f>
        <v>#DIV/0!</v>
      </c>
    </row>
    <row r="85" spans="1:109">
      <c r="A85" s="73">
        <f t="shared" si="63"/>
        <v>0</v>
      </c>
      <c r="B85" t="str">
        <f>IF(NOT(ISBLANK($J85)),IF($T85&lt;Constants!$B$32,"low spike","OK"),"")</f>
        <v/>
      </c>
      <c r="C85" t="str">
        <f>IF(NOT(ISBLANK($J85)), IF((ABS($L84-$L86)/$L84)&gt;Constants!$B$33,"variable mass bias","OK"), "")</f>
        <v/>
      </c>
      <c r="D85" t="str">
        <f>IF(NOT(ISBLANK($J85)), IF((ABS($P84-$P86)/$P84)&gt;Constants!$B$34,"variable IC yield","OK"),"")</f>
        <v/>
      </c>
      <c r="E85" s="34" t="e">
        <f>CE85</f>
        <v>#DIV/0!</v>
      </c>
      <c r="F85" s="34" t="e">
        <f>CF85</f>
        <v>#DIV/0!</v>
      </c>
      <c r="G85" s="34" t="e">
        <f>CM85</f>
        <v>#DIV/0!</v>
      </c>
      <c r="H85" s="48" t="e">
        <f>CN85</f>
        <v>#DIV/0!</v>
      </c>
      <c r="I85" s="33"/>
      <c r="J85" s="62"/>
      <c r="K85" s="62"/>
      <c r="L85" s="62"/>
      <c r="M85" s="62"/>
      <c r="N85" s="62"/>
      <c r="O85" s="62"/>
      <c r="P85" s="62"/>
      <c r="Q85" s="62"/>
      <c r="R85" s="62"/>
      <c r="S85" s="62"/>
      <c r="T85" s="62"/>
      <c r="U85" s="62"/>
      <c r="V85" s="62"/>
      <c r="W85" s="62"/>
      <c r="X85" s="63"/>
      <c r="Y85" s="63"/>
      <c r="Z85" s="63"/>
      <c r="AB85" s="1">
        <f>R85</f>
        <v>0</v>
      </c>
      <c r="AC85" s="1">
        <f>S85</f>
        <v>0</v>
      </c>
      <c r="AD85" s="1">
        <f>T85</f>
        <v>0</v>
      </c>
      <c r="AE85" s="1">
        <f>U85</f>
        <v>0</v>
      </c>
      <c r="AF85" s="1" t="e">
        <f>AVERAGE(AF84/$AB84,AF86/$AB86)*$AB85</f>
        <v>#DIV/0!</v>
      </c>
      <c r="AG85" s="1" t="e">
        <f>AVERAGE(AG84/AF84,AG86/AF86)*AF85</f>
        <v>#DIV/0!</v>
      </c>
      <c r="AH85" s="1" t="e">
        <f>AVERAGE(AH84/$AB84,AH86/$AB86)*$AB85</f>
        <v>#DIV/0!</v>
      </c>
      <c r="AI85" s="1" t="e">
        <f>AVERAGE(AI84/AH84,AI86/AH86)*AH85</f>
        <v>#DIV/0!</v>
      </c>
      <c r="AJ85" s="1" t="e">
        <f>AVERAGE(AJ84/$AB84,AJ86/$AB86)*$AB85</f>
        <v>#DIV/0!</v>
      </c>
      <c r="AK85" s="1" t="e">
        <f>AVERAGE(AK84/AJ84,AK86/AJ86)*AJ85</f>
        <v>#DIV/0!</v>
      </c>
      <c r="AL85" s="1" t="e">
        <f>AVERAGE(AL84/$AB84,AL86/$AB86)*$AB85</f>
        <v>#DIV/0!</v>
      </c>
      <c r="AM85" s="1" t="e">
        <f>AVERAGE(AM84/AL84,AM86/AL86)*AL85</f>
        <v>#DIV/0!</v>
      </c>
      <c r="AR85" s="1">
        <f>Constants!B$25</f>
        <v>2.2917410000000001E-6</v>
      </c>
      <c r="AS85" s="1">
        <f t="shared" si="52"/>
        <v>0</v>
      </c>
      <c r="AT85" s="1">
        <f t="shared" si="53"/>
        <v>9.9999999999999995E-7</v>
      </c>
      <c r="AU85" s="1" t="e">
        <f t="shared" si="64"/>
        <v>#DIV/0!</v>
      </c>
      <c r="AV85" s="1" t="e">
        <f t="shared" si="54"/>
        <v>#DIV/0!</v>
      </c>
      <c r="AW85" s="1" t="e">
        <f t="shared" si="65"/>
        <v>#DIV/0!</v>
      </c>
      <c r="AX85" s="1">
        <f t="shared" si="55"/>
        <v>0</v>
      </c>
      <c r="AY85" t="e">
        <f t="shared" si="68"/>
        <v>#DIV/0!</v>
      </c>
      <c r="AZ85" s="1" t="e">
        <f t="shared" si="56"/>
        <v>#DIV/0!</v>
      </c>
      <c r="BA85" s="1" t="e">
        <f t="shared" si="66"/>
        <v>#DIV/0!</v>
      </c>
      <c r="BB85" s="1" t="e">
        <f t="shared" si="57"/>
        <v>#DIV/0!</v>
      </c>
      <c r="BC85" s="1" t="e">
        <f t="shared" si="26"/>
        <v>#DIV/0!</v>
      </c>
      <c r="BD85" t="e">
        <f t="shared" si="58"/>
        <v>#DIV/0!</v>
      </c>
      <c r="BF85" s="32" t="e">
        <f t="shared" si="47"/>
        <v>#DIV/0!</v>
      </c>
      <c r="BG85" s="1" t="e">
        <f t="shared" si="48"/>
        <v>#DIV/0!</v>
      </c>
      <c r="BH85" s="1" t="e">
        <f t="shared" si="49"/>
        <v>#DIV/0!</v>
      </c>
      <c r="BI85" s="1" t="e">
        <f t="shared" si="50"/>
        <v>#DIV/0!</v>
      </c>
      <c r="BJ85" s="1" t="e">
        <f t="shared" si="51"/>
        <v>#DIV/0!</v>
      </c>
      <c r="BK85" s="1" t="e">
        <f>AU85/AT85/62415093</f>
        <v>#DIV/0!</v>
      </c>
      <c r="BL85" s="1" t="e">
        <f>BK85*0.1</f>
        <v>#DIV/0!</v>
      </c>
      <c r="BM85" s="1" t="e">
        <f>J85/(1-(AU85/62415093)/AT85)</f>
        <v>#DIV/0!</v>
      </c>
      <c r="BN85" s="33" t="e">
        <f>SQRT((K85/(1-BK85))^2+(BL85*J85/(1-BK85)^2)^2)</f>
        <v>#DIV/0!</v>
      </c>
      <c r="BO85" s="1" t="e">
        <f t="shared" si="59"/>
        <v>#DIV/0!</v>
      </c>
      <c r="BP85" s="33" t="e">
        <f t="shared" si="60"/>
        <v>#DIV/0!</v>
      </c>
      <c r="BQ85" s="1" t="e">
        <f>N85*(1-BK85)</f>
        <v>#DIV/0!</v>
      </c>
      <c r="BR85" t="e">
        <f>SQRT(O85^2+BL85^2)</f>
        <v>#DIV/0!</v>
      </c>
      <c r="BS85" s="1" t="e">
        <f t="shared" si="61"/>
        <v>#DIV/0!</v>
      </c>
      <c r="BT85" s="1" t="e">
        <f t="shared" si="62"/>
        <v>#DIV/0!</v>
      </c>
      <c r="BU85" t="e">
        <f>(Constants!$C$19/$BQ85)^(1/LN(Constants!$B$3/Constants!$B$6))</f>
        <v>#DIV/0!</v>
      </c>
      <c r="BV85" t="e">
        <f>(Constants!$C$19/($BQ85-BR85))^(1/LN(Constants!$B$3/Constants!$B$6))-BU85</f>
        <v>#DIV/0!</v>
      </c>
      <c r="BW85" t="e">
        <f>$BM85*BU85^(LN(Constants!$B$2/Constants!$B$3))</f>
        <v>#DIV/0!</v>
      </c>
      <c r="BX85" s="33" t="e">
        <f>BW85*SQRT((BN85/BM85)^2+(((BM85*($BU85+$BV85)^LN(Constants!$B$2/Constants!$B$3))-BW85)/BW85)^2)</f>
        <v>#DIV/0!</v>
      </c>
      <c r="BY85" t="e">
        <f>BO85*BU85^(LN(Constants!$B$2/Constants!$B$4))</f>
        <v>#DIV/0!</v>
      </c>
      <c r="BZ85" s="33" t="e">
        <f>BY85*SQRT((BP85/BO85)^2+(((BO85*($BU85+$BV85)^LN(Constants!$B$2/Constants!$B$4))-BY85)/BY85)^2)</f>
        <v>#DIV/0!</v>
      </c>
      <c r="CA85" t="e">
        <f>BS85*BU85^(LN(Constants!$B$2/Constants!$B$5))</f>
        <v>#DIV/0!</v>
      </c>
      <c r="CB85" s="33" t="e">
        <f>CA85*SQRT((BT85/BS85)^2+(((BS85*($BU85+$BV85)^LN(Constants!$B$2/Constants!$B$5))-CA85)/CA85)^2)</f>
        <v>#DIV/0!</v>
      </c>
      <c r="CC85" t="e">
        <f>(Constants!$C$18/AVERAGE(BO84,BO86))^(1/LN(Constants!$B$2/Constants!$B$4))</f>
        <v>#NUM!</v>
      </c>
      <c r="CD85" t="e">
        <f>MAX(ABS((Constants!$C$18/BO84)^(1/LN(Constants!$B$2/Constants!$B$4))-(Constants!$C$18/BO86)^(1/LN(Constants!$B$2/Constants!$B$4))),CD84,CD86)</f>
        <v>#NUM!</v>
      </c>
      <c r="CE85" t="e">
        <f>$BM85*CC85^(LN(Constants!$B$2/Constants!$B$3))</f>
        <v>#DIV/0!</v>
      </c>
      <c r="CF85" s="33" t="e">
        <f>CE85*SQRT((BN85/BM85)^2+(($BM85*($CC85+$CD85)^(LN(Constants!$B$2/Constants!$B$3))-CE85)/CE85)^2)</f>
        <v>#DIV/0!</v>
      </c>
      <c r="CG85" t="e">
        <f>BO85*CC85^(LN(Constants!$B$2/Constants!$B$4))</f>
        <v>#DIV/0!</v>
      </c>
      <c r="CH85" s="33" t="e">
        <f>CG85*SQRT((BP85/BO85)^2+((BO85*($CC85+$CD85)^(LN(Constants!$B$2/Constants!$B$4))-CG85)/CG85)^2)</f>
        <v>#DIV/0!</v>
      </c>
      <c r="CI85" t="e">
        <f>BQ85*$CC85^(LN(Constants!$B$3/Constants!$B$6))</f>
        <v>#DIV/0!</v>
      </c>
      <c r="CJ85" s="33" t="e">
        <f>CI85*SQRT((BR85/BQ85)^2+((BQ85*($CC85+$CD85)^(LN(Constants!$B$3/Constants!$B$6))-CI85)/CI85)^2)</f>
        <v>#DIV/0!</v>
      </c>
      <c r="CK85" t="e">
        <f>BS85*CC85^(LN(Constants!$B$2/Constants!$B$5))</f>
        <v>#DIV/0!</v>
      </c>
      <c r="CL85" s="33" t="e">
        <f>CK85*SQRT((BT85/BS85)^2+((BS85*($CC85+$CD85)^(LN(Constants!$B$2/Constants!$B$5))-CK85)/CK85)^2)</f>
        <v>#DIV/0!</v>
      </c>
      <c r="CM85" t="e">
        <f>CK85*Constants!$C$17/AVERAGE(CK84,CK86)</f>
        <v>#DIV/0!</v>
      </c>
      <c r="CN85" t="e">
        <f>CM85*SQRT(((CK84-CK86)/CK86/4)^2+(CL85/CK85)^2+AVERAGE(CL84/CK84,CL86/CK86)^2)</f>
        <v>#DIV/0!</v>
      </c>
      <c r="CO85" t="e">
        <f>1/CM85*CE85*CI85</f>
        <v>#DIV/0!</v>
      </c>
      <c r="CQ85" t="e">
        <f>$K85/$J85</f>
        <v>#DIV/0!</v>
      </c>
      <c r="CR85" t="e">
        <f>$BN85/$BM85</f>
        <v>#DIV/0!</v>
      </c>
      <c r="CS85" t="e">
        <f>$CF85/$CE85</f>
        <v>#DIV/0!</v>
      </c>
      <c r="CT85" t="e">
        <f>$Q85/$P85</f>
        <v>#DIV/0!</v>
      </c>
      <c r="CU85" t="e">
        <f>$BT85/$BS85</f>
        <v>#DIV/0!</v>
      </c>
      <c r="CV85" t="e">
        <f>$CL85/$CK85</f>
        <v>#DIV/0!</v>
      </c>
      <c r="CW85" t="e">
        <f>$CN85/$CM85</f>
        <v>#DIV/0!</v>
      </c>
      <c r="CY85" s="82" t="e">
        <f>$CQ85/$CS85</f>
        <v>#DIV/0!</v>
      </c>
      <c r="CZ85" s="82" t="e">
        <f>$CR85/$CS85-$CY85</f>
        <v>#DIV/0!</v>
      </c>
      <c r="DA85" s="82" t="e">
        <f>$CS85/$CS85-$CZ85-$CY85</f>
        <v>#DIV/0!</v>
      </c>
      <c r="DB85" s="82" t="e">
        <f>$CT85/$CW85</f>
        <v>#DIV/0!</v>
      </c>
      <c r="DC85" s="82" t="e">
        <f>$CU85/$CW85-$DB85</f>
        <v>#DIV/0!</v>
      </c>
      <c r="DD85" s="82" t="e">
        <f>$CV85/$CW85-$DC85-$DB85</f>
        <v>#DIV/0!</v>
      </c>
      <c r="DE85" s="82" t="e">
        <f>$CW85/$CW85-$DD85-$DC85-$DB85</f>
        <v>#DIV/0!</v>
      </c>
    </row>
    <row r="86" spans="1:109">
      <c r="A86" s="73">
        <f t="shared" si="63"/>
        <v>0</v>
      </c>
      <c r="B86" s="73"/>
      <c r="C86" s="73"/>
      <c r="J86" s="62"/>
      <c r="K86" s="62"/>
      <c r="L86" s="62"/>
      <c r="M86" s="62"/>
      <c r="N86" s="62"/>
      <c r="O86" s="62"/>
      <c r="P86" s="62"/>
      <c r="Q86" s="62"/>
      <c r="R86" s="62"/>
      <c r="S86" s="62"/>
      <c r="T86" s="62"/>
      <c r="U86" s="62"/>
      <c r="V86" s="62"/>
      <c r="W86" s="62"/>
      <c r="X86" s="63"/>
      <c r="Y86" s="63"/>
      <c r="Z86" s="63"/>
      <c r="AB86" s="1"/>
      <c r="AC86" s="1"/>
      <c r="AD86" s="1"/>
      <c r="AE86" s="1"/>
      <c r="AF86" s="1"/>
      <c r="AG86" s="1"/>
      <c r="AH86" s="1"/>
      <c r="AI86" s="1"/>
      <c r="AJ86" s="1"/>
      <c r="AK86" s="1"/>
      <c r="AL86" s="1"/>
      <c r="AM86" s="1"/>
      <c r="AQ86" s="1"/>
      <c r="AR86" s="1">
        <f>Constants!B$25</f>
        <v>2.2917410000000001E-6</v>
      </c>
      <c r="AS86" s="1">
        <f t="shared" si="52"/>
        <v>0</v>
      </c>
      <c r="AT86" s="1">
        <f t="shared" si="53"/>
        <v>9.9999999999999995E-7</v>
      </c>
      <c r="AU86" s="1" t="e">
        <f t="shared" si="64"/>
        <v>#NUM!</v>
      </c>
      <c r="AV86" s="1" t="e">
        <f t="shared" si="54"/>
        <v>#DIV/0!</v>
      </c>
      <c r="AW86" s="1" t="e">
        <f t="shared" si="65"/>
        <v>#NUM!</v>
      </c>
      <c r="AX86" s="1">
        <f t="shared" si="55"/>
        <v>0</v>
      </c>
      <c r="AY86" t="e">
        <f t="shared" si="68"/>
        <v>#DIV/0!</v>
      </c>
      <c r="AZ86" s="1" t="e">
        <f t="shared" si="56"/>
        <v>#DIV/0!</v>
      </c>
      <c r="BA86" s="1" t="e">
        <f t="shared" si="66"/>
        <v>#NUM!</v>
      </c>
      <c r="BB86" s="1" t="e">
        <f t="shared" si="57"/>
        <v>#NUM!</v>
      </c>
      <c r="BC86" s="1" t="e">
        <f t="shared" si="67"/>
        <v>#NUM!</v>
      </c>
      <c r="BD86" t="e">
        <f t="shared" si="58"/>
        <v>#NUM!</v>
      </c>
      <c r="BE86" s="1"/>
      <c r="BF86" s="32" t="e">
        <f t="shared" si="47"/>
        <v>#DIV/0!</v>
      </c>
      <c r="BG86" s="1" t="e">
        <f t="shared" si="48"/>
        <v>#DIV/0!</v>
      </c>
      <c r="BH86" s="1" t="e">
        <f t="shared" si="49"/>
        <v>#DIV/0!</v>
      </c>
      <c r="BI86" s="1" t="e">
        <f t="shared" si="50"/>
        <v>#NUM!</v>
      </c>
      <c r="BJ86" s="1" t="e">
        <f t="shared" si="51"/>
        <v>#NUM!</v>
      </c>
      <c r="BK86" s="1"/>
      <c r="BL86" s="1"/>
      <c r="BM86" s="1"/>
      <c r="BN86" s="1"/>
      <c r="BO86" s="1" t="e">
        <f t="shared" si="59"/>
        <v>#NUM!</v>
      </c>
      <c r="BP86" s="33" t="e">
        <f t="shared" si="60"/>
        <v>#NUM!</v>
      </c>
      <c r="BQ86" s="1"/>
      <c r="BR86" s="1"/>
      <c r="BS86" s="1" t="e">
        <f t="shared" si="61"/>
        <v>#DIV/0!</v>
      </c>
      <c r="BT86" s="1" t="e">
        <f t="shared" si="62"/>
        <v>#DIV/0!</v>
      </c>
      <c r="BU86" s="1"/>
      <c r="BV86" s="1"/>
      <c r="BW86" s="1"/>
      <c r="BX86" s="1"/>
      <c r="BY86" s="1"/>
      <c r="BZ86" s="1"/>
      <c r="CA86" s="1"/>
      <c r="CB86" s="1"/>
      <c r="CC86" t="e">
        <f>(Constants!$C$18/BO86)^(1/LN(Constants!$B$2/Constants!$B$4))</f>
        <v>#NUM!</v>
      </c>
      <c r="CD86" t="e">
        <f>ABS((Constants!$C$18/BO86)^(1/LN(Constants!$B$2/Constants!$B$4))-(Constants!$C$18/(BO86+BP86))^(1/LN(Constants!$B$2/Constants!$B$4)))</f>
        <v>#NUM!</v>
      </c>
      <c r="CK86" t="e">
        <f>BS86*$CC86^(LN(Constants!$B$2/Constants!$B$5))</f>
        <v>#DIV/0!</v>
      </c>
      <c r="CL86" s="33" t="e">
        <f>CK86*SQRT((BT86/BS86)^2+((BS86*($CC86+$CD86)^(LN(Constants!$B$2/Constants!$B$5))-CK86)/CK86)^2)</f>
        <v>#DIV/0!</v>
      </c>
    </row>
    <row r="87" spans="1:109">
      <c r="A87" s="73">
        <f t="shared" si="63"/>
        <v>0</v>
      </c>
      <c r="B87" t="str">
        <f>IF(NOT(ISBLANK($J87)),IF($T87&lt;Constants!$B$32,"low spike","OK"),"")</f>
        <v/>
      </c>
      <c r="C87" t="str">
        <f>IF(NOT(ISBLANK($J87)), IF((ABS($L86-$L88)/$L86)&gt;Constants!$B$33,"variable mass bias","OK"), "")</f>
        <v/>
      </c>
      <c r="D87" t="str">
        <f>IF(NOT(ISBLANK($J87)), IF((ABS($P86-$P88)/$P86)&gt;Constants!$B$34,"variable IC yield","OK"),"")</f>
        <v/>
      </c>
      <c r="E87" s="34" t="e">
        <f>CE87</f>
        <v>#DIV/0!</v>
      </c>
      <c r="F87" s="34" t="e">
        <f>CF87</f>
        <v>#DIV/0!</v>
      </c>
      <c r="G87" s="34" t="e">
        <f>CM87</f>
        <v>#DIV/0!</v>
      </c>
      <c r="H87" s="48" t="e">
        <f>CN87</f>
        <v>#DIV/0!</v>
      </c>
      <c r="I87" s="33"/>
      <c r="J87" s="62"/>
      <c r="K87" s="62"/>
      <c r="L87" s="62"/>
      <c r="M87" s="62"/>
      <c r="N87" s="62"/>
      <c r="O87" s="62"/>
      <c r="P87" s="62"/>
      <c r="Q87" s="62"/>
      <c r="R87" s="62"/>
      <c r="S87" s="62"/>
      <c r="T87" s="62"/>
      <c r="U87" s="62"/>
      <c r="V87" s="62"/>
      <c r="W87" s="62"/>
      <c r="X87" s="63"/>
      <c r="Y87" s="63"/>
      <c r="Z87" s="63"/>
      <c r="AB87" s="1">
        <f>R87</f>
        <v>0</v>
      </c>
      <c r="AC87" s="1">
        <f>S87</f>
        <v>0</v>
      </c>
      <c r="AD87" s="1">
        <f>T87</f>
        <v>0</v>
      </c>
      <c r="AE87" s="1">
        <f>U87</f>
        <v>0</v>
      </c>
      <c r="AF87" s="1" t="e">
        <f>AVERAGE(AF86/$AB86,AF88/$AB88)*$AB87</f>
        <v>#DIV/0!</v>
      </c>
      <c r="AG87" s="1" t="e">
        <f>AVERAGE(AG86/AF86,AG88/AF88)*AF87</f>
        <v>#DIV/0!</v>
      </c>
      <c r="AH87" s="1" t="e">
        <f>AVERAGE(AH86/$AB86,AH88/$AB88)*$AB87</f>
        <v>#DIV/0!</v>
      </c>
      <c r="AI87" s="1" t="e">
        <f>AVERAGE(AI86/AH86,AI88/AH88)*AH87</f>
        <v>#DIV/0!</v>
      </c>
      <c r="AJ87" s="1" t="e">
        <f>AVERAGE(AJ86/$AB86,AJ88/$AB88)*$AB87</f>
        <v>#DIV/0!</v>
      </c>
      <c r="AK87" s="1" t="e">
        <f>AVERAGE(AK86/AJ86,AK88/AJ88)*AJ87</f>
        <v>#DIV/0!</v>
      </c>
      <c r="AL87" s="1" t="e">
        <f>AVERAGE(AL86/$AB86,AL88/$AB88)*$AB87</f>
        <v>#DIV/0!</v>
      </c>
      <c r="AM87" s="1" t="e">
        <f>AVERAGE(AM86/AL86,AM88/AL88)*AL87</f>
        <v>#DIV/0!</v>
      </c>
      <c r="AR87" s="1">
        <f>Constants!B$25</f>
        <v>2.2917410000000001E-6</v>
      </c>
      <c r="AS87" s="1">
        <f t="shared" si="52"/>
        <v>0</v>
      </c>
      <c r="AT87" s="1">
        <f t="shared" si="53"/>
        <v>9.9999999999999995E-7</v>
      </c>
      <c r="AU87" s="1" t="e">
        <f t="shared" si="64"/>
        <v>#DIV/0!</v>
      </c>
      <c r="AV87" s="1" t="e">
        <f t="shared" si="54"/>
        <v>#DIV/0!</v>
      </c>
      <c r="AW87" s="1" t="e">
        <f t="shared" si="65"/>
        <v>#DIV/0!</v>
      </c>
      <c r="AX87" s="1">
        <f t="shared" si="55"/>
        <v>0</v>
      </c>
      <c r="AY87" t="e">
        <f t="shared" si="68"/>
        <v>#DIV/0!</v>
      </c>
      <c r="AZ87" s="1" t="e">
        <f t="shared" si="56"/>
        <v>#DIV/0!</v>
      </c>
      <c r="BA87" s="1" t="e">
        <f t="shared" si="66"/>
        <v>#DIV/0!</v>
      </c>
      <c r="BB87" s="1" t="e">
        <f t="shared" si="57"/>
        <v>#DIV/0!</v>
      </c>
      <c r="BC87" s="1" t="e">
        <f t="shared" si="26"/>
        <v>#DIV/0!</v>
      </c>
      <c r="BD87" t="e">
        <f t="shared" si="58"/>
        <v>#DIV/0!</v>
      </c>
      <c r="BF87" s="32" t="e">
        <f t="shared" si="47"/>
        <v>#DIV/0!</v>
      </c>
      <c r="BG87" s="1" t="e">
        <f t="shared" si="48"/>
        <v>#DIV/0!</v>
      </c>
      <c r="BH87" s="1" t="e">
        <f t="shared" si="49"/>
        <v>#DIV/0!</v>
      </c>
      <c r="BI87" s="1" t="e">
        <f t="shared" si="50"/>
        <v>#DIV/0!</v>
      </c>
      <c r="BJ87" s="1" t="e">
        <f t="shared" si="51"/>
        <v>#DIV/0!</v>
      </c>
      <c r="BK87" s="1" t="e">
        <f>AU87/AT87/62415093</f>
        <v>#DIV/0!</v>
      </c>
      <c r="BL87" s="1" t="e">
        <f>BK87*0.1</f>
        <v>#DIV/0!</v>
      </c>
      <c r="BM87" s="1" t="e">
        <f>J87/(1-(AU87/62415093)/AT87)</f>
        <v>#DIV/0!</v>
      </c>
      <c r="BN87" s="33" t="e">
        <f>SQRT((K87/(1-BK87))^2+(BL87*J87/(1-BK87)^2)^2)</f>
        <v>#DIV/0!</v>
      </c>
      <c r="BO87" s="1" t="e">
        <f t="shared" si="59"/>
        <v>#DIV/0!</v>
      </c>
      <c r="BP87" s="33" t="e">
        <f t="shared" si="60"/>
        <v>#DIV/0!</v>
      </c>
      <c r="BQ87" s="1" t="e">
        <f>N87*(1-BK87)</f>
        <v>#DIV/0!</v>
      </c>
      <c r="BR87" t="e">
        <f>SQRT(O87^2+BL87^2)</f>
        <v>#DIV/0!</v>
      </c>
      <c r="BS87" s="1" t="e">
        <f t="shared" si="61"/>
        <v>#DIV/0!</v>
      </c>
      <c r="BT87" s="1" t="e">
        <f t="shared" si="62"/>
        <v>#DIV/0!</v>
      </c>
      <c r="BU87" t="e">
        <f>(Constants!$C$19/$BQ87)^(1/LN(Constants!$B$3/Constants!$B$6))</f>
        <v>#DIV/0!</v>
      </c>
      <c r="BV87" t="e">
        <f>(Constants!$C$19/($BQ87-BR87))^(1/LN(Constants!$B$3/Constants!$B$6))-BU87</f>
        <v>#DIV/0!</v>
      </c>
      <c r="BW87" t="e">
        <f>$BM87*BU87^(LN(Constants!$B$2/Constants!$B$3))</f>
        <v>#DIV/0!</v>
      </c>
      <c r="BX87" s="33" t="e">
        <f>BW87*SQRT((BN87/BM87)^2+(((BM87*($BU87+$BV87)^LN(Constants!$B$2/Constants!$B$3))-BW87)/BW87)^2)</f>
        <v>#DIV/0!</v>
      </c>
      <c r="BY87" t="e">
        <f>BO87*BU87^(LN(Constants!$B$2/Constants!$B$4))</f>
        <v>#DIV/0!</v>
      </c>
      <c r="BZ87" s="33" t="e">
        <f>BY87*SQRT((BP87/BO87)^2+(((BO87*($BU87+$BV87)^LN(Constants!$B$2/Constants!$B$4))-BY87)/BY87)^2)</f>
        <v>#DIV/0!</v>
      </c>
      <c r="CA87" t="e">
        <f>BS87*BU87^(LN(Constants!$B$2/Constants!$B$5))</f>
        <v>#DIV/0!</v>
      </c>
      <c r="CB87" s="33" t="e">
        <f>CA87*SQRT((BT87/BS87)^2+(((BS87*($BU87+$BV87)^LN(Constants!$B$2/Constants!$B$5))-CA87)/CA87)^2)</f>
        <v>#DIV/0!</v>
      </c>
      <c r="CC87" t="e">
        <f>(Constants!$C$18/AVERAGE(BO86,BO88))^(1/LN(Constants!$B$2/Constants!$B$4))</f>
        <v>#NUM!</v>
      </c>
      <c r="CD87" t="e">
        <f>MAX(ABS((Constants!$C$18/BO86)^(1/LN(Constants!$B$2/Constants!$B$4))-(Constants!$C$18/BO88)^(1/LN(Constants!$B$2/Constants!$B$4))),CD86,CD88)</f>
        <v>#NUM!</v>
      </c>
      <c r="CE87" t="e">
        <f>$BM87*CC87^(LN(Constants!$B$2/Constants!$B$3))</f>
        <v>#DIV/0!</v>
      </c>
      <c r="CF87" s="33" t="e">
        <f>CE87*SQRT((BN87/BM87)^2+(($BM87*($CC87+$CD87)^(LN(Constants!$B$2/Constants!$B$3))-CE87)/CE87)^2)</f>
        <v>#DIV/0!</v>
      </c>
      <c r="CG87" t="e">
        <f>BO87*CC87^(LN(Constants!$B$2/Constants!$B$4))</f>
        <v>#DIV/0!</v>
      </c>
      <c r="CH87" s="33" t="e">
        <f>CG87*SQRT((BP87/BO87)^2+((BO87*($CC87+$CD87)^(LN(Constants!$B$2/Constants!$B$4))-CG87)/CG87)^2)</f>
        <v>#DIV/0!</v>
      </c>
      <c r="CI87" t="e">
        <f>BQ87*$CC87^(LN(Constants!$B$3/Constants!$B$6))</f>
        <v>#DIV/0!</v>
      </c>
      <c r="CJ87" s="33" t="e">
        <f>CI87*SQRT((BR87/BQ87)^2+((BQ87*($CC87+$CD87)^(LN(Constants!$B$3/Constants!$B$6))-CI87)/CI87)^2)</f>
        <v>#DIV/0!</v>
      </c>
      <c r="CK87" t="e">
        <f>BS87*CC87^(LN(Constants!$B$2/Constants!$B$5))</f>
        <v>#DIV/0!</v>
      </c>
      <c r="CL87" s="33" t="e">
        <f>CK87*SQRT((BT87/BS87)^2+((BS87*($CC87+$CD87)^(LN(Constants!$B$2/Constants!$B$5))-CK87)/CK87)^2)</f>
        <v>#DIV/0!</v>
      </c>
      <c r="CM87" t="e">
        <f>CK87*Constants!$C$17/AVERAGE(CK86,CK88)</f>
        <v>#DIV/0!</v>
      </c>
      <c r="CN87" t="e">
        <f>CM87*SQRT(((CK86-CK88)/CK88/4)^2+(CL87/CK87)^2+AVERAGE(CL86/CK86,CL88/CK88)^2)</f>
        <v>#DIV/0!</v>
      </c>
      <c r="CO87" t="e">
        <f>1/CM87*CE87*CI87</f>
        <v>#DIV/0!</v>
      </c>
      <c r="CQ87" t="e">
        <f>$K87/$J87</f>
        <v>#DIV/0!</v>
      </c>
      <c r="CR87" t="e">
        <f>$BN87/$BM87</f>
        <v>#DIV/0!</v>
      </c>
      <c r="CS87" t="e">
        <f>$CF87/$CE87</f>
        <v>#DIV/0!</v>
      </c>
      <c r="CT87" t="e">
        <f>$Q87/$P87</f>
        <v>#DIV/0!</v>
      </c>
      <c r="CU87" t="e">
        <f>$BT87/$BS87</f>
        <v>#DIV/0!</v>
      </c>
      <c r="CV87" t="e">
        <f>$CL87/$CK87</f>
        <v>#DIV/0!</v>
      </c>
      <c r="CW87" t="e">
        <f>$CN87/$CM87</f>
        <v>#DIV/0!</v>
      </c>
      <c r="CY87" s="82" t="e">
        <f>$CQ87/$CS87</f>
        <v>#DIV/0!</v>
      </c>
      <c r="CZ87" s="82" t="e">
        <f>$CR87/$CS87-$CY87</f>
        <v>#DIV/0!</v>
      </c>
      <c r="DA87" s="82" t="e">
        <f>$CS87/$CS87-$CZ87-$CY87</f>
        <v>#DIV/0!</v>
      </c>
      <c r="DB87" s="82" t="e">
        <f>$CT87/$CW87</f>
        <v>#DIV/0!</v>
      </c>
      <c r="DC87" s="82" t="e">
        <f>$CU87/$CW87-$DB87</f>
        <v>#DIV/0!</v>
      </c>
      <c r="DD87" s="82" t="e">
        <f>$CV87/$CW87-$DC87-$DB87</f>
        <v>#DIV/0!</v>
      </c>
      <c r="DE87" s="82" t="e">
        <f>$CW87/$CW87-$DD87-$DC87-$DB87</f>
        <v>#DIV/0!</v>
      </c>
    </row>
    <row r="88" spans="1:109">
      <c r="A88" s="73">
        <f t="shared" si="63"/>
        <v>0</v>
      </c>
      <c r="B88" s="73"/>
      <c r="C88" s="73"/>
      <c r="J88" s="62"/>
      <c r="K88" s="62"/>
      <c r="L88" s="62"/>
      <c r="M88" s="62"/>
      <c r="N88" s="62"/>
      <c r="O88" s="62"/>
      <c r="P88" s="62"/>
      <c r="Q88" s="62"/>
      <c r="R88" s="62"/>
      <c r="S88" s="62"/>
      <c r="T88" s="62"/>
      <c r="U88" s="62"/>
      <c r="V88" s="62"/>
      <c r="W88" s="62"/>
      <c r="X88" s="63"/>
      <c r="Y88" s="63"/>
      <c r="Z88" s="63"/>
      <c r="AB88" s="1"/>
      <c r="AC88" s="1"/>
      <c r="AD88" s="1"/>
      <c r="AE88" s="1"/>
      <c r="AF88" s="1"/>
      <c r="AG88" s="1"/>
      <c r="AH88" s="1"/>
      <c r="AI88" s="1"/>
      <c r="AJ88" s="1"/>
      <c r="AK88" s="1"/>
      <c r="AL88" s="1"/>
      <c r="AM88" s="1"/>
      <c r="AQ88" s="1"/>
      <c r="AR88" s="1">
        <f>Constants!B$25</f>
        <v>2.2917410000000001E-6</v>
      </c>
      <c r="AS88" s="1">
        <f t="shared" si="52"/>
        <v>0</v>
      </c>
      <c r="AT88" s="1">
        <f t="shared" si="53"/>
        <v>9.9999999999999995E-7</v>
      </c>
      <c r="AU88" s="1" t="e">
        <f t="shared" si="64"/>
        <v>#NUM!</v>
      </c>
      <c r="AV88" s="1" t="e">
        <f t="shared" si="54"/>
        <v>#DIV/0!</v>
      </c>
      <c r="AW88" s="1" t="e">
        <f t="shared" si="65"/>
        <v>#NUM!</v>
      </c>
      <c r="AX88" s="1">
        <f t="shared" si="55"/>
        <v>0</v>
      </c>
      <c r="AY88" t="e">
        <f t="shared" si="68"/>
        <v>#DIV/0!</v>
      </c>
      <c r="AZ88" s="1" t="e">
        <f t="shared" si="56"/>
        <v>#DIV/0!</v>
      </c>
      <c r="BA88" s="1" t="e">
        <f t="shared" si="66"/>
        <v>#NUM!</v>
      </c>
      <c r="BB88" s="1" t="e">
        <f t="shared" si="57"/>
        <v>#NUM!</v>
      </c>
      <c r="BC88" s="1" t="e">
        <f t="shared" si="67"/>
        <v>#NUM!</v>
      </c>
      <c r="BD88" t="e">
        <f t="shared" si="58"/>
        <v>#NUM!</v>
      </c>
      <c r="BE88" s="1"/>
      <c r="BF88" s="32" t="e">
        <f t="shared" si="47"/>
        <v>#DIV/0!</v>
      </c>
      <c r="BG88" s="1" t="e">
        <f t="shared" si="48"/>
        <v>#DIV/0!</v>
      </c>
      <c r="BH88" s="1" t="e">
        <f t="shared" si="49"/>
        <v>#DIV/0!</v>
      </c>
      <c r="BI88" s="1" t="e">
        <f t="shared" si="50"/>
        <v>#NUM!</v>
      </c>
      <c r="BJ88" s="1" t="e">
        <f t="shared" si="51"/>
        <v>#NUM!</v>
      </c>
      <c r="BK88" s="1"/>
      <c r="BL88" s="1"/>
      <c r="BM88" s="1"/>
      <c r="BN88" s="1"/>
      <c r="BO88" s="1" t="e">
        <f t="shared" si="59"/>
        <v>#NUM!</v>
      </c>
      <c r="BP88" s="33" t="e">
        <f t="shared" si="60"/>
        <v>#NUM!</v>
      </c>
      <c r="BQ88" s="1"/>
      <c r="BR88" s="1"/>
      <c r="BS88" s="1" t="e">
        <f t="shared" si="61"/>
        <v>#DIV/0!</v>
      </c>
      <c r="BT88" s="1" t="e">
        <f t="shared" si="62"/>
        <v>#DIV/0!</v>
      </c>
      <c r="BU88" s="1"/>
      <c r="BV88" s="1"/>
      <c r="BW88" s="1"/>
      <c r="BX88" s="1"/>
      <c r="BY88" s="1"/>
      <c r="BZ88" s="1"/>
      <c r="CA88" s="1"/>
      <c r="CB88" s="1"/>
      <c r="CC88" t="e">
        <f>(Constants!$C$18/BO88)^(1/LN(Constants!$B$2/Constants!$B$4))</f>
        <v>#NUM!</v>
      </c>
      <c r="CD88" t="e">
        <f>ABS((Constants!$C$18/BO88)^(1/LN(Constants!$B$2/Constants!$B$4))-(Constants!$C$18/(BO88+BP88))^(1/LN(Constants!$B$2/Constants!$B$4)))</f>
        <v>#NUM!</v>
      </c>
      <c r="CK88" t="e">
        <f>BS88*$CC88^(LN(Constants!$B$2/Constants!$B$5))</f>
        <v>#DIV/0!</v>
      </c>
      <c r="CL88" s="33" t="e">
        <f>CK88*SQRT((BT88/BS88)^2+((BS88*($CC88+$CD88)^(LN(Constants!$B$2/Constants!$B$5))-CK88)/CK88)^2)</f>
        <v>#DIV/0!</v>
      </c>
    </row>
    <row r="89" spans="1:109">
      <c r="A89" s="73">
        <f t="shared" si="63"/>
        <v>0</v>
      </c>
      <c r="B89" t="str">
        <f>IF(NOT(ISBLANK($J89)),IF($T89&lt;Constants!$B$32,"low spike","OK"),"")</f>
        <v/>
      </c>
      <c r="C89" t="str">
        <f>IF(NOT(ISBLANK($J89)), IF((ABS($L88-$L90)/$L88)&gt;Constants!$B$33,"variable mass bias","OK"), "")</f>
        <v/>
      </c>
      <c r="D89" t="str">
        <f>IF(NOT(ISBLANK($J89)), IF((ABS($P88-$P90)/$P88)&gt;Constants!$B$34,"variable IC yield","OK"),"")</f>
        <v/>
      </c>
      <c r="E89" s="34" t="e">
        <f>CE89</f>
        <v>#DIV/0!</v>
      </c>
      <c r="F89" s="34" t="e">
        <f>CF89</f>
        <v>#DIV/0!</v>
      </c>
      <c r="G89" s="34" t="e">
        <f>CM89</f>
        <v>#DIV/0!</v>
      </c>
      <c r="H89" s="48" t="e">
        <f>CN89</f>
        <v>#DIV/0!</v>
      </c>
      <c r="I89" s="33"/>
      <c r="J89" s="62"/>
      <c r="K89" s="62"/>
      <c r="L89" s="62"/>
      <c r="M89" s="62"/>
      <c r="N89" s="62"/>
      <c r="O89" s="62"/>
      <c r="P89" s="62"/>
      <c r="Q89" s="62"/>
      <c r="R89" s="62"/>
      <c r="S89" s="62"/>
      <c r="T89" s="62"/>
      <c r="U89" s="62"/>
      <c r="V89" s="62"/>
      <c r="W89" s="62"/>
      <c r="X89" s="63"/>
      <c r="Y89" s="63"/>
      <c r="Z89" s="63"/>
      <c r="AB89" s="1">
        <f>R89</f>
        <v>0</v>
      </c>
      <c r="AC89" s="1">
        <f>S89</f>
        <v>0</v>
      </c>
      <c r="AD89" s="1">
        <f>T89</f>
        <v>0</v>
      </c>
      <c r="AE89" s="1">
        <f>U89</f>
        <v>0</v>
      </c>
      <c r="AF89" s="1" t="e">
        <f>AVERAGE(AF88/$AB88,AF90/$AB90)*$AB89</f>
        <v>#DIV/0!</v>
      </c>
      <c r="AG89" s="1" t="e">
        <f>AVERAGE(AG88/AF88,AG90/AF90)*AF89</f>
        <v>#DIV/0!</v>
      </c>
      <c r="AH89" s="1" t="e">
        <f>AVERAGE(AH88/$AB88,AH90/$AB90)*$AB89</f>
        <v>#DIV/0!</v>
      </c>
      <c r="AI89" s="1" t="e">
        <f>AVERAGE(AI88/AH88,AI90/AH90)*AH89</f>
        <v>#DIV/0!</v>
      </c>
      <c r="AJ89" s="1" t="e">
        <f>AVERAGE(AJ88/$AB88,AJ90/$AB90)*$AB89</f>
        <v>#DIV/0!</v>
      </c>
      <c r="AK89" s="1" t="e">
        <f>AVERAGE(AK88/AJ88,AK90/AJ90)*AJ89</f>
        <v>#DIV/0!</v>
      </c>
      <c r="AL89" s="1" t="e">
        <f>AVERAGE(AL88/$AB88,AL90/$AB90)*$AB89</f>
        <v>#DIV/0!</v>
      </c>
      <c r="AM89" s="1" t="e">
        <f>AVERAGE(AM88/AL88,AM90/AL90)*AL89</f>
        <v>#DIV/0!</v>
      </c>
      <c r="AR89" s="1">
        <f>Constants!B$25</f>
        <v>2.2917410000000001E-6</v>
      </c>
      <c r="AS89" s="1">
        <f t="shared" si="52"/>
        <v>0</v>
      </c>
      <c r="AT89" s="1">
        <f t="shared" si="53"/>
        <v>9.9999999999999995E-7</v>
      </c>
      <c r="AU89" s="1" t="e">
        <f t="shared" si="64"/>
        <v>#DIV/0!</v>
      </c>
      <c r="AV89" s="1" t="e">
        <f t="shared" si="54"/>
        <v>#DIV/0!</v>
      </c>
      <c r="AW89" s="1" t="e">
        <f t="shared" si="65"/>
        <v>#DIV/0!</v>
      </c>
      <c r="AX89" s="1">
        <f t="shared" si="55"/>
        <v>0</v>
      </c>
      <c r="AY89" t="e">
        <f t="shared" si="68"/>
        <v>#DIV/0!</v>
      </c>
      <c r="AZ89" s="1" t="e">
        <f t="shared" si="56"/>
        <v>#DIV/0!</v>
      </c>
      <c r="BA89" s="1" t="e">
        <f t="shared" si="66"/>
        <v>#DIV/0!</v>
      </c>
      <c r="BB89" s="1" t="e">
        <f t="shared" si="57"/>
        <v>#DIV/0!</v>
      </c>
      <c r="BC89" s="1" t="e">
        <f t="shared" si="26"/>
        <v>#DIV/0!</v>
      </c>
      <c r="BD89" t="e">
        <f t="shared" si="58"/>
        <v>#DIV/0!</v>
      </c>
      <c r="BF89" s="32" t="e">
        <f t="shared" si="47"/>
        <v>#DIV/0!</v>
      </c>
      <c r="BG89" s="1" t="e">
        <f t="shared" si="48"/>
        <v>#DIV/0!</v>
      </c>
      <c r="BH89" s="1" t="e">
        <f t="shared" si="49"/>
        <v>#DIV/0!</v>
      </c>
      <c r="BI89" s="1" t="e">
        <f t="shared" si="50"/>
        <v>#DIV/0!</v>
      </c>
      <c r="BJ89" s="1" t="e">
        <f t="shared" si="51"/>
        <v>#DIV/0!</v>
      </c>
      <c r="BK89" s="1" t="e">
        <f>AU89/AT89/62415093</f>
        <v>#DIV/0!</v>
      </c>
      <c r="BL89" s="1" t="e">
        <f>BK89*0.1</f>
        <v>#DIV/0!</v>
      </c>
      <c r="BM89" s="1" t="e">
        <f>J89/(1-(AU89/62415093)/AT89)</f>
        <v>#DIV/0!</v>
      </c>
      <c r="BN89" s="33" t="e">
        <f>SQRT((K89/(1-BK89))^2+(BL89*J89/(1-BK89)^2)^2)</f>
        <v>#DIV/0!</v>
      </c>
      <c r="BO89" s="1" t="e">
        <f t="shared" si="59"/>
        <v>#DIV/0!</v>
      </c>
      <c r="BP89" s="33" t="e">
        <f t="shared" si="60"/>
        <v>#DIV/0!</v>
      </c>
      <c r="BQ89" s="1" t="e">
        <f>N89*(1-BK89)</f>
        <v>#DIV/0!</v>
      </c>
      <c r="BR89" t="e">
        <f>SQRT(O89^2+BL89^2)</f>
        <v>#DIV/0!</v>
      </c>
      <c r="BS89" s="1" t="e">
        <f t="shared" si="61"/>
        <v>#DIV/0!</v>
      </c>
      <c r="BT89" s="1" t="e">
        <f t="shared" si="62"/>
        <v>#DIV/0!</v>
      </c>
      <c r="BU89" t="e">
        <f>(Constants!$C$19/$BQ89)^(1/LN(Constants!$B$3/Constants!$B$6))</f>
        <v>#DIV/0!</v>
      </c>
      <c r="BV89" t="e">
        <f>(Constants!$C$19/($BQ89-BR89))^(1/LN(Constants!$B$3/Constants!$B$6))-BU89</f>
        <v>#DIV/0!</v>
      </c>
      <c r="BW89" t="e">
        <f>$BM89*BU89^(LN(Constants!$B$2/Constants!$B$3))</f>
        <v>#DIV/0!</v>
      </c>
      <c r="BX89" s="33" t="e">
        <f>BW89*SQRT((BN89/BM89)^2+(((BM89*($BU89+$BV89)^LN(Constants!$B$2/Constants!$B$3))-BW89)/BW89)^2)</f>
        <v>#DIV/0!</v>
      </c>
      <c r="BY89" t="e">
        <f>BO89*BU89^(LN(Constants!$B$2/Constants!$B$4))</f>
        <v>#DIV/0!</v>
      </c>
      <c r="BZ89" s="33" t="e">
        <f>BY89*SQRT((BP89/BO89)^2+(((BO89*($BU89+$BV89)^LN(Constants!$B$2/Constants!$B$4))-BY89)/BY89)^2)</f>
        <v>#DIV/0!</v>
      </c>
      <c r="CA89" t="e">
        <f>BS89*BU89^(LN(Constants!$B$2/Constants!$B$5))</f>
        <v>#DIV/0!</v>
      </c>
      <c r="CB89" s="33" t="e">
        <f>CA89*SQRT((BT89/BS89)^2+(((BS89*($BU89+$BV89)^LN(Constants!$B$2/Constants!$B$5))-CA89)/CA89)^2)</f>
        <v>#DIV/0!</v>
      </c>
      <c r="CC89" t="e">
        <f>(Constants!$C$18/AVERAGE(BO88,BO90))^(1/LN(Constants!$B$2/Constants!$B$4))</f>
        <v>#NUM!</v>
      </c>
      <c r="CD89" t="e">
        <f>MAX(ABS((Constants!$C$18/BO88)^(1/LN(Constants!$B$2/Constants!$B$4))-(Constants!$C$18/BO90)^(1/LN(Constants!$B$2/Constants!$B$4))),CD88,CD90)</f>
        <v>#NUM!</v>
      </c>
      <c r="CE89" t="e">
        <f>$BM89*CC89^(LN(Constants!$B$2/Constants!$B$3))</f>
        <v>#DIV/0!</v>
      </c>
      <c r="CF89" s="33" t="e">
        <f>CE89*SQRT((BN89/BM89)^2+(($BM89*($CC89+$CD89)^(LN(Constants!$B$2/Constants!$B$3))-CE89)/CE89)^2)</f>
        <v>#DIV/0!</v>
      </c>
      <c r="CG89" t="e">
        <f>BO89*CC89^(LN(Constants!$B$2/Constants!$B$4))</f>
        <v>#DIV/0!</v>
      </c>
      <c r="CH89" s="33" t="e">
        <f>CG89*SQRT((BP89/BO89)^2+((BO89*($CC89+$CD89)^(LN(Constants!$B$2/Constants!$B$4))-CG89)/CG89)^2)</f>
        <v>#DIV/0!</v>
      </c>
      <c r="CI89" t="e">
        <f>BQ89*$CC89^(LN(Constants!$B$3/Constants!$B$6))</f>
        <v>#DIV/0!</v>
      </c>
      <c r="CJ89" s="33" t="e">
        <f>CI89*SQRT((BR89/BQ89)^2+((BQ89*($CC89+$CD89)^(LN(Constants!$B$3/Constants!$B$6))-CI89)/CI89)^2)</f>
        <v>#DIV/0!</v>
      </c>
      <c r="CK89" t="e">
        <f>BS89*CC89^(LN(Constants!$B$2/Constants!$B$5))</f>
        <v>#DIV/0!</v>
      </c>
      <c r="CL89" s="33" t="e">
        <f>CK89*SQRT((BT89/BS89)^2+((BS89*($CC89+$CD89)^(LN(Constants!$B$2/Constants!$B$5))-CK89)/CK89)^2)</f>
        <v>#DIV/0!</v>
      </c>
      <c r="CM89" t="e">
        <f>CK89*Constants!$C$17/AVERAGE(CK88,CK90)</f>
        <v>#DIV/0!</v>
      </c>
      <c r="CN89" t="e">
        <f>CM89*SQRT(((CK88-CK90)/CK90/4)^2+(CL89/CK89)^2+AVERAGE(CL88/CK88,CL90/CK90)^2)</f>
        <v>#DIV/0!</v>
      </c>
      <c r="CO89" t="e">
        <f>1/CM89*CE89*CI89</f>
        <v>#DIV/0!</v>
      </c>
      <c r="CQ89" t="e">
        <f>$K89/$J89</f>
        <v>#DIV/0!</v>
      </c>
      <c r="CR89" t="e">
        <f>$BN89/$BM89</f>
        <v>#DIV/0!</v>
      </c>
      <c r="CS89" t="e">
        <f>$CF89/$CE89</f>
        <v>#DIV/0!</v>
      </c>
      <c r="CT89" t="e">
        <f>$Q89/$P89</f>
        <v>#DIV/0!</v>
      </c>
      <c r="CU89" t="e">
        <f>$BT89/$BS89</f>
        <v>#DIV/0!</v>
      </c>
      <c r="CV89" t="e">
        <f>$CL89/$CK89</f>
        <v>#DIV/0!</v>
      </c>
      <c r="CW89" t="e">
        <f>$CN89/$CM89</f>
        <v>#DIV/0!</v>
      </c>
      <c r="CY89" s="82" t="e">
        <f>$CQ89/$CS89</f>
        <v>#DIV/0!</v>
      </c>
      <c r="CZ89" s="82" t="e">
        <f>$CR89/$CS89-$CY89</f>
        <v>#DIV/0!</v>
      </c>
      <c r="DA89" s="82" t="e">
        <f>$CS89/$CS89-$CZ89-$CY89</f>
        <v>#DIV/0!</v>
      </c>
      <c r="DB89" s="82" t="e">
        <f>$CT89/$CW89</f>
        <v>#DIV/0!</v>
      </c>
      <c r="DC89" s="82" t="e">
        <f>$CU89/$CW89-$DB89</f>
        <v>#DIV/0!</v>
      </c>
      <c r="DD89" s="82" t="e">
        <f>$CV89/$CW89-$DC89-$DB89</f>
        <v>#DIV/0!</v>
      </c>
      <c r="DE89" s="82" t="e">
        <f>$CW89/$CW89-$DD89-$DC89-$DB89</f>
        <v>#DIV/0!</v>
      </c>
    </row>
    <row r="90" spans="1:109">
      <c r="A90" s="73">
        <f t="shared" si="63"/>
        <v>0</v>
      </c>
      <c r="B90" s="73"/>
      <c r="C90" s="73"/>
      <c r="J90" s="62"/>
      <c r="K90" s="62"/>
      <c r="L90" s="62"/>
      <c r="M90" s="62"/>
      <c r="N90" s="62"/>
      <c r="O90" s="62"/>
      <c r="P90" s="62"/>
      <c r="Q90" s="62"/>
      <c r="R90" s="62"/>
      <c r="S90" s="62"/>
      <c r="T90" s="62"/>
      <c r="U90" s="62"/>
      <c r="V90" s="62"/>
      <c r="W90" s="62"/>
      <c r="X90" s="63"/>
      <c r="Y90" s="63"/>
      <c r="Z90" s="63"/>
      <c r="AB90" s="1"/>
      <c r="AC90" s="1"/>
      <c r="AD90" s="1"/>
      <c r="AE90" s="1"/>
      <c r="AF90" s="1"/>
      <c r="AG90" s="1"/>
      <c r="AH90" s="1"/>
      <c r="AI90" s="1"/>
      <c r="AJ90" s="1"/>
      <c r="AK90" s="1"/>
      <c r="AL90" s="1"/>
      <c r="AM90" s="1"/>
      <c r="AQ90" s="1"/>
      <c r="AR90" s="1">
        <f>Constants!B$25</f>
        <v>2.2917410000000001E-6</v>
      </c>
      <c r="AS90" s="1">
        <f t="shared" si="52"/>
        <v>0</v>
      </c>
      <c r="AT90" s="1">
        <f t="shared" si="53"/>
        <v>9.9999999999999995E-7</v>
      </c>
      <c r="AU90" s="1" t="e">
        <f t="shared" si="64"/>
        <v>#NUM!</v>
      </c>
      <c r="AV90" s="1" t="e">
        <f t="shared" si="54"/>
        <v>#DIV/0!</v>
      </c>
      <c r="AW90" s="1" t="e">
        <f t="shared" si="65"/>
        <v>#NUM!</v>
      </c>
      <c r="AX90" s="1">
        <f t="shared" si="55"/>
        <v>0</v>
      </c>
      <c r="AY90" t="e">
        <f t="shared" si="68"/>
        <v>#DIV/0!</v>
      </c>
      <c r="AZ90" s="1" t="e">
        <f t="shared" si="56"/>
        <v>#DIV/0!</v>
      </c>
      <c r="BA90" s="1" t="e">
        <f t="shared" si="66"/>
        <v>#NUM!</v>
      </c>
      <c r="BB90" s="1" t="e">
        <f t="shared" si="57"/>
        <v>#NUM!</v>
      </c>
      <c r="BC90" s="1" t="e">
        <f t="shared" si="67"/>
        <v>#NUM!</v>
      </c>
      <c r="BD90" t="e">
        <f t="shared" si="58"/>
        <v>#NUM!</v>
      </c>
      <c r="BE90" s="1"/>
      <c r="BF90" s="32" t="e">
        <f t="shared" si="47"/>
        <v>#DIV/0!</v>
      </c>
      <c r="BG90" s="1" t="e">
        <f t="shared" si="48"/>
        <v>#DIV/0!</v>
      </c>
      <c r="BH90" s="1" t="e">
        <f t="shared" si="49"/>
        <v>#DIV/0!</v>
      </c>
      <c r="BI90" s="1" t="e">
        <f t="shared" si="50"/>
        <v>#NUM!</v>
      </c>
      <c r="BJ90" s="1" t="e">
        <f t="shared" si="51"/>
        <v>#NUM!</v>
      </c>
      <c r="BK90" s="1"/>
      <c r="BL90" s="1"/>
      <c r="BM90" s="1"/>
      <c r="BN90" s="1"/>
      <c r="BO90" s="1" t="e">
        <f t="shared" si="59"/>
        <v>#NUM!</v>
      </c>
      <c r="BP90" s="33" t="e">
        <f t="shared" si="60"/>
        <v>#NUM!</v>
      </c>
      <c r="BQ90" s="1"/>
      <c r="BR90" s="1"/>
      <c r="BS90" s="1" t="e">
        <f t="shared" si="61"/>
        <v>#DIV/0!</v>
      </c>
      <c r="BT90" s="1" t="e">
        <f t="shared" si="62"/>
        <v>#DIV/0!</v>
      </c>
      <c r="BU90" s="1"/>
      <c r="BV90" s="1"/>
      <c r="BW90" s="1"/>
      <c r="BX90" s="1"/>
      <c r="BY90" s="1"/>
      <c r="BZ90" s="1"/>
      <c r="CA90" s="1"/>
      <c r="CB90" s="1"/>
      <c r="CC90" t="e">
        <f>(Constants!$C$18/BO90)^(1/LN(Constants!$B$2/Constants!$B$4))</f>
        <v>#NUM!</v>
      </c>
      <c r="CD90" t="e">
        <f>ABS((Constants!$C$18/BO90)^(1/LN(Constants!$B$2/Constants!$B$4))-(Constants!$C$18/(BO90+BP90))^(1/LN(Constants!$B$2/Constants!$B$4)))</f>
        <v>#NUM!</v>
      </c>
      <c r="CK90" t="e">
        <f>BS90*$CC90^(LN(Constants!$B$2/Constants!$B$5))</f>
        <v>#DIV/0!</v>
      </c>
      <c r="CL90" s="33" t="e">
        <f>CK90*SQRT((BT90/BS90)^2+((BS90*($CC90+$CD90)^(LN(Constants!$B$2/Constants!$B$5))-CK90)/CK90)^2)</f>
        <v>#DIV/0!</v>
      </c>
    </row>
    <row r="91" spans="1:109">
      <c r="A91" s="1"/>
      <c r="B91" s="1"/>
      <c r="C91" s="1"/>
      <c r="H91" s="48"/>
      <c r="AR91" s="1"/>
      <c r="AS91" s="1"/>
      <c r="AT91" s="1"/>
      <c r="AU91" s="1"/>
      <c r="AV91" s="1"/>
      <c r="AW91" s="1"/>
      <c r="AX91" s="1"/>
      <c r="AZ91" s="1"/>
      <c r="BA91" s="1"/>
      <c r="BB91" s="1"/>
      <c r="BC91" s="1"/>
      <c r="BF91" s="32"/>
      <c r="BG91" s="1"/>
      <c r="BH91" s="1"/>
      <c r="BI91" s="1"/>
      <c r="BJ91" s="1"/>
      <c r="BK91" s="1"/>
      <c r="BL91" s="1"/>
      <c r="BM91" s="1"/>
      <c r="BN91" s="33"/>
      <c r="BO91" s="1"/>
      <c r="BP91" s="33"/>
      <c r="BQ91" s="1"/>
      <c r="BS91" s="1"/>
      <c r="BT91" s="1"/>
      <c r="BU91" s="1"/>
      <c r="BV91" s="1"/>
      <c r="BW91" s="1"/>
      <c r="BX91" s="1"/>
      <c r="BY91" s="1"/>
      <c r="BZ91" s="1"/>
      <c r="CA91" s="1"/>
      <c r="CB91" s="1"/>
      <c r="CF91" s="33"/>
      <c r="CH91" s="33"/>
      <c r="CJ91" s="33"/>
      <c r="CL91" s="33"/>
    </row>
    <row r="92" spans="1:109">
      <c r="A92" s="1"/>
      <c r="B92" s="1"/>
      <c r="C92" s="1"/>
    </row>
    <row r="93" spans="1:109">
      <c r="A93" s="1"/>
      <c r="B93" s="1"/>
      <c r="C93" s="1"/>
      <c r="H93" s="48"/>
    </row>
  </sheetData>
  <mergeCells count="4">
    <mergeCell ref="CQ2:CS2"/>
    <mergeCell ref="CT2:CW2"/>
    <mergeCell ref="CY2:DA2"/>
    <mergeCell ref="DB2:DE2"/>
  </mergeCells>
  <conditionalFormatting sqref="R4:R1000">
    <cfRule type="expression" dxfId="25" priority="2">
      <formula>AND(NOT(ISBLANK($J4)), (IF($R4=INT($R4),0,LEN(MID($R4-INT($R4),FIND(".",$R4,1),LEN($R4)-FIND(".",$R4,1)))))&lt;4)</formula>
    </cfRule>
  </conditionalFormatting>
  <conditionalFormatting sqref="S4:S1000">
    <cfRule type="expression" dxfId="23" priority="3">
      <formula>AND(NOT(ISBLANK($B4)),S4/R4&gt;0.01)</formula>
    </cfRule>
  </conditionalFormatting>
  <conditionalFormatting sqref="AB4:AB1000">
    <cfRule type="expression" dxfId="20" priority="1">
      <formula>AND(NOT(ISBLANK($J4)), (IF($AB4=INT($AB4),0,LEN(MID($AB4-INT($AB4),FIND(".",$AB4,1),LEN($AB4)-FIND(".",$AB4,1)))))&lt;4)</formula>
    </cfRule>
  </conditionalFormatting>
  <pageMargins left="0.75" right="0.75" top="1" bottom="1" header="0.5" footer="0.5"/>
  <pageSetup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2031" id="{7C52DAB5-354B-9847-B5E7-B69216C5DFBF}">
            <xm:f>AND(NOT(ISBLANK($B4)),R4&gt;Constants!$B$42)</xm:f>
            <x14:dxf>
              <font>
                <color rgb="FF9C6500"/>
              </font>
              <fill>
                <patternFill>
                  <bgColor rgb="FFFFEB9C"/>
                </patternFill>
              </fill>
            </x14:dxf>
          </x14:cfRule>
          <xm:sqref>R4:R1000</xm:sqref>
        </x14:conditionalFormatting>
        <x14:conditionalFormatting xmlns:xm="http://schemas.microsoft.com/office/excel/2006/main">
          <x14:cfRule type="expression" priority="2030" id="{8D58C9C8-96C1-DB44-AB3E-CB8905E5DF58}">
            <xm:f>AND(NOT(ISBLANK($B4)), NOT(ISBLANK($J4)), T4&lt;Constants!$B$43)</xm:f>
            <x14:dxf>
              <font>
                <color rgb="FF9C0006"/>
              </font>
              <fill>
                <patternFill>
                  <bgColor rgb="FFFFC7CE"/>
                </patternFill>
              </fill>
            </x14:dxf>
          </x14:cfRule>
          <xm:sqref>T4:T1000</xm:sqref>
        </x14:conditionalFormatting>
        <x14:conditionalFormatting xmlns:xm="http://schemas.microsoft.com/office/excel/2006/main">
          <x14:cfRule type="expression" priority="2029" id="{46416BCC-6B0C-6649-899F-6962671CEE81}">
            <xm:f>AND(NOT(ISBLANK($B4)),V4&gt;Constants!$B$44)</xm:f>
            <x14:dxf>
              <font>
                <color rgb="FF9C6500"/>
              </font>
              <fill>
                <patternFill>
                  <bgColor rgb="FFFFEB9C"/>
                </patternFill>
              </fill>
            </x14:dxf>
          </x14:cfRule>
          <xm:sqref>V4:V1000</xm:sqref>
        </x14:conditionalFormatting>
        <x14:conditionalFormatting xmlns:xm="http://schemas.microsoft.com/office/excel/2006/main">
          <x14:cfRule type="expression" priority="2049" id="{FA8514A2-E67F-CA4C-A0ED-525D3162F814}">
            <xm:f>AND(NOT(ISBLANK($B4)),CR4&gt;(Constants!$B$38*CQ4),(CR4-CQ4)&gt;Constants!$B$37)</xm:f>
            <x14:dxf>
              <font>
                <color rgb="FF9C0006"/>
              </font>
              <fill>
                <patternFill>
                  <bgColor rgb="FFFFC7CE"/>
                </patternFill>
              </fill>
            </x14:dxf>
          </x14:cfRule>
          <x14:cfRule type="expression" priority="2050" id="{2B553A5B-87C0-164F-A668-3141367F608C}">
            <xm:f>AND(NOT(ISBLANK($B4)),CR4&gt;(Constants!$B$38*CQ4))</xm:f>
            <x14:dxf>
              <font>
                <color rgb="FF9C6500"/>
              </font>
              <fill>
                <patternFill>
                  <bgColor rgb="FFFFEB9C"/>
                </patternFill>
              </fill>
            </x14:dxf>
          </x14:cfRule>
          <x14:cfRule type="expression" priority="2051" id="{4C216D3C-9FFF-AA4A-9126-5A7A22B6E04A}">
            <xm:f>AND(NOT(ISBLANK($B4)),(CR4-CQ4)&gt;Constants!$B$37)</xm:f>
            <x14:dxf>
              <font>
                <color rgb="FF006100"/>
              </font>
              <fill>
                <patternFill>
                  <bgColor rgb="FFC6EFCE"/>
                </patternFill>
              </fill>
            </x14:dxf>
          </x14:cfRule>
          <xm:sqref>CR4:CS1000 CU4:CW1000</xm:sqref>
        </x14:conditionalFormatting>
      </x14:conditionalFormatting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B53"/>
  <sheetViews>
    <sheetView workbookViewId="0">
      <pane xSplit="1" ySplit="3" topLeftCell="I4" activePane="bottomRight" state="frozen"/>
      <selection activeCell="E9" sqref="E9"/>
      <selection pane="topRight" activeCell="E9" sqref="E9"/>
      <selection pane="bottomLeft" activeCell="E9" sqref="E9"/>
      <selection pane="bottomRight" activeCell="J5" sqref="J5"/>
    </sheetView>
  </sheetViews>
  <sheetFormatPr defaultColWidth="11" defaultRowHeight="15.75"/>
  <cols>
    <col min="1" max="4" width="22.75" customWidth="1"/>
    <col min="5" max="8" width="22.75" style="34" customWidth="1"/>
    <col min="9" max="9" width="22.75" customWidth="1"/>
    <col min="10" max="10" width="13.75" customWidth="1"/>
    <col min="12" max="12" width="15.75" customWidth="1"/>
    <col min="14" max="14" width="16.25" customWidth="1"/>
    <col min="26" max="26" width="21.25" bestFit="1" customWidth="1"/>
    <col min="40" max="40" width="12.25" bestFit="1" customWidth="1"/>
    <col min="49" max="54" width="11" style="82"/>
  </cols>
  <sheetData>
    <row r="1" spans="1:54">
      <c r="J1" s="2" t="s">
        <v>15</v>
      </c>
      <c r="AD1" s="2" t="s">
        <v>14</v>
      </c>
      <c r="AI1" s="2" t="s">
        <v>108</v>
      </c>
      <c r="AP1" s="2" t="s">
        <v>263</v>
      </c>
      <c r="AW1" s="85" t="s">
        <v>261</v>
      </c>
    </row>
    <row r="2" spans="1:54">
      <c r="J2" s="2" t="s">
        <v>141</v>
      </c>
      <c r="O2" s="1"/>
      <c r="AD2" s="2" t="s">
        <v>113</v>
      </c>
      <c r="AE2" s="55">
        <f>Constants!B26</f>
        <v>6.3883454641536821E-7</v>
      </c>
      <c r="AP2" s="99" t="s">
        <v>235</v>
      </c>
      <c r="AQ2" s="99"/>
      <c r="AR2" s="99"/>
      <c r="AS2" s="100" t="s">
        <v>236</v>
      </c>
      <c r="AT2" s="100"/>
      <c r="AU2" s="100"/>
      <c r="AW2" s="102" t="s">
        <v>109</v>
      </c>
      <c r="AX2" s="102"/>
      <c r="AY2" s="102"/>
      <c r="AZ2" s="101" t="s">
        <v>100</v>
      </c>
      <c r="BA2" s="101"/>
      <c r="BB2" s="101"/>
    </row>
    <row r="3" spans="1:54">
      <c r="A3" t="str">
        <f>Z3</f>
        <v>Sample Name</v>
      </c>
      <c r="B3" t="s">
        <v>221</v>
      </c>
      <c r="C3" t="s">
        <v>222</v>
      </c>
      <c r="D3" t="s">
        <v>223</v>
      </c>
      <c r="E3" s="35" t="s">
        <v>99</v>
      </c>
      <c r="F3" s="35" t="s">
        <v>177</v>
      </c>
      <c r="G3" s="35" t="s">
        <v>100</v>
      </c>
      <c r="H3" s="35" t="s">
        <v>177</v>
      </c>
      <c r="J3" t="s">
        <v>98</v>
      </c>
      <c r="K3" t="s">
        <v>1</v>
      </c>
      <c r="L3" t="s">
        <v>99</v>
      </c>
      <c r="M3" t="s">
        <v>1</v>
      </c>
      <c r="N3" t="s">
        <v>100</v>
      </c>
      <c r="O3" t="s">
        <v>1</v>
      </c>
      <c r="P3" t="s">
        <v>101</v>
      </c>
      <c r="Q3" t="s">
        <v>1</v>
      </c>
      <c r="R3" t="s">
        <v>102</v>
      </c>
      <c r="S3" t="s">
        <v>1</v>
      </c>
      <c r="T3" t="s">
        <v>103</v>
      </c>
      <c r="U3" t="s">
        <v>1</v>
      </c>
      <c r="V3" t="s">
        <v>104</v>
      </c>
      <c r="W3" t="s">
        <v>1</v>
      </c>
      <c r="X3" t="s">
        <v>140</v>
      </c>
      <c r="Z3" t="s">
        <v>105</v>
      </c>
      <c r="AA3" t="s">
        <v>106</v>
      </c>
      <c r="AB3" t="s">
        <v>107</v>
      </c>
      <c r="AD3" t="s">
        <v>109</v>
      </c>
      <c r="AE3" t="s">
        <v>1</v>
      </c>
      <c r="AF3" t="s">
        <v>100</v>
      </c>
      <c r="AG3" t="s">
        <v>1</v>
      </c>
      <c r="AI3" t="s">
        <v>109</v>
      </c>
      <c r="AJ3" t="s">
        <v>1</v>
      </c>
      <c r="AK3" t="s">
        <v>99</v>
      </c>
      <c r="AL3" t="s">
        <v>1</v>
      </c>
      <c r="AM3" t="s">
        <v>100</v>
      </c>
      <c r="AN3" t="s">
        <v>1</v>
      </c>
      <c r="AP3" s="78" t="s">
        <v>229</v>
      </c>
      <c r="AQ3" s="78" t="s">
        <v>227</v>
      </c>
      <c r="AR3" t="s">
        <v>230</v>
      </c>
      <c r="AS3" t="s">
        <v>229</v>
      </c>
      <c r="AT3" s="78" t="s">
        <v>227</v>
      </c>
      <c r="AU3" t="s">
        <v>228</v>
      </c>
      <c r="AW3" s="86" t="s">
        <v>229</v>
      </c>
      <c r="AX3" s="86" t="s">
        <v>227</v>
      </c>
      <c r="AY3" s="87" t="s">
        <v>230</v>
      </c>
      <c r="AZ3" s="87" t="s">
        <v>229</v>
      </c>
      <c r="BA3" s="86" t="s">
        <v>227</v>
      </c>
      <c r="BB3" s="87" t="s">
        <v>228</v>
      </c>
    </row>
    <row r="4" spans="1:54">
      <c r="A4" t="str">
        <f>Z4</f>
        <v>MITh2 247 pg/g</v>
      </c>
      <c r="J4" s="1">
        <v>3.148554E-3</v>
      </c>
      <c r="K4" s="1">
        <v>2.0899999999999999E-6</v>
      </c>
      <c r="L4" s="1">
        <v>13.688269999999999</v>
      </c>
      <c r="M4" s="1">
        <v>5.5999999999999999E-3</v>
      </c>
      <c r="N4" s="1">
        <v>4.3077039999999997E-2</v>
      </c>
      <c r="O4" s="1">
        <v>2.8399999999999999E-5</v>
      </c>
      <c r="P4" s="1">
        <v>0.21147050000000001</v>
      </c>
      <c r="Q4" s="1">
        <v>3.0299999999999999E-4</v>
      </c>
      <c r="R4" s="1">
        <v>41571.050000000003</v>
      </c>
      <c r="S4" s="1">
        <v>51.3</v>
      </c>
      <c r="T4" s="1">
        <v>1.5460069999999999E-2</v>
      </c>
      <c r="U4" s="1">
        <v>2.0100000000000001E-5</v>
      </c>
      <c r="V4" s="1">
        <v>9.2377659999999995E-4</v>
      </c>
      <c r="W4" s="1">
        <v>1.73E-4</v>
      </c>
      <c r="X4" s="1">
        <v>1.0667949999999999</v>
      </c>
      <c r="Y4" s="1">
        <v>3.6600000000000002E-9</v>
      </c>
      <c r="Z4" t="s">
        <v>344</v>
      </c>
      <c r="AA4" t="s">
        <v>343</v>
      </c>
      <c r="AB4">
        <v>590</v>
      </c>
      <c r="AD4" s="1">
        <f>J4*(1-$AE$2*$P4*62415093/$R4)*(1-V4/R4)</f>
        <v>3.147915302042371E-3</v>
      </c>
      <c r="AE4">
        <f>AD4*SQRT(((AD4-J4)/AD4/4)^2+(K4/J4)^2+((X4/R4)*0.25)^2)</f>
        <v>2.0957652065906679E-6</v>
      </c>
      <c r="AF4" s="1">
        <f>N4*(1-$AE$2*$P4*62415093/$R4)*(1-V4/R4)</f>
        <v>4.3068301633921884E-2</v>
      </c>
      <c r="AG4">
        <f>AF4*SQRT(((AF4-N4)/AF4/4)^2+(O4/N4)^2+((X4/R4)*0.25)^2)</f>
        <v>2.8479494183412212E-5</v>
      </c>
      <c r="AQ4" s="1"/>
      <c r="AR4" s="1"/>
      <c r="AS4" s="1"/>
      <c r="AT4" s="1"/>
      <c r="AU4" s="1"/>
      <c r="AV4" s="1"/>
    </row>
    <row r="5" spans="1:54">
      <c r="A5" t="str">
        <f t="shared" ref="A5:A24" si="0">Z5</f>
        <v>[BHT] AB11_AB13_TPB</v>
      </c>
      <c r="B5" t="str">
        <f>IF(NOT(ISBLANK($J5)), IF($T5&lt;Constants!$B$29,"low spike","OK"), "")</f>
        <v>low spike</v>
      </c>
      <c r="C5" t="str">
        <f>IF(NOT(ISBLANK($J5)), IF((ABS($L4-$L6)/$L4)&gt;Constants!$B$30,"variable mass bias","OK"), "")</f>
        <v>variable mass bias</v>
      </c>
      <c r="D5" t="str">
        <f>IF(NOT(ISBLANK($J5)), IF((ABS($J4-$J6)/$J4)&gt;Constants!$B$31,"variable IC yield","OK"), "")</f>
        <v>OK</v>
      </c>
      <c r="E5" s="103">
        <f>AK5</f>
        <v>0.6387236237584758</v>
      </c>
      <c r="F5" s="49">
        <f>AL5</f>
        <v>0.59250287514828237</v>
      </c>
      <c r="G5" s="103">
        <f>AM5</f>
        <v>1.0804664906155287E-4</v>
      </c>
      <c r="H5" s="49">
        <f>AN5</f>
        <v>8.9027010831783472E-6</v>
      </c>
      <c r="I5" s="1"/>
      <c r="J5" s="1">
        <v>7.9190089999999999E-4</v>
      </c>
      <c r="K5" s="1">
        <v>1.25E-4</v>
      </c>
      <c r="L5" s="1">
        <v>0.65219570000000004</v>
      </c>
      <c r="M5" s="1">
        <v>0.60499999999999998</v>
      </c>
      <c r="N5" s="1">
        <v>9.4154839999999998E-5</v>
      </c>
      <c r="O5" s="1">
        <v>5.6899999999999997E-6</v>
      </c>
      <c r="P5" s="1">
        <v>8.1019429999999997E-4</v>
      </c>
      <c r="Q5" s="1">
        <v>7.5199999999999996E-4</v>
      </c>
      <c r="R5" s="1">
        <v>7.2859619999999996</v>
      </c>
      <c r="S5" s="1">
        <v>0.437</v>
      </c>
      <c r="T5" s="1">
        <v>1.240007E-3</v>
      </c>
      <c r="U5" s="1">
        <v>3.5700000000000001E-6</v>
      </c>
      <c r="V5" s="1">
        <v>6.9294680000000003E-3</v>
      </c>
      <c r="W5" s="1">
        <v>5.0799999999999999E-4</v>
      </c>
      <c r="X5" s="1">
        <v>1.631775</v>
      </c>
      <c r="Y5" s="1">
        <v>4.5900000000000001E-9</v>
      </c>
      <c r="Z5" t="s">
        <v>336</v>
      </c>
      <c r="AA5" t="s">
        <v>343</v>
      </c>
      <c r="AB5">
        <v>592</v>
      </c>
      <c r="AD5" s="1">
        <f t="shared" ref="AD5" si="1">J5*(1-$AE$2*$P5*62415093/$R5)*(1-V5/R5)</f>
        <v>7.8763992114467044E-4</v>
      </c>
      <c r="AE5">
        <f t="shared" ref="AE5:AE44" si="2">AD5*SQRT(((AD5-J5)/AD5/4)^2+(K5/J5)^2+((X5/R5)*0.25)^2)</f>
        <v>1.3192146466325743E-4</v>
      </c>
      <c r="AF5" s="1">
        <f t="shared" ref="AF5" si="3">N5*(1-$AE$2*$P5*62415093/$R5)*(1-V5/R5)</f>
        <v>9.3648221327932647E-5</v>
      </c>
      <c r="AG5">
        <f t="shared" ref="AG5:AG44" si="4">AF5*SQRT(((AF5-N5)/AF5/4)^2+(O5/N5)^2+((X5/R5)*0.25)^2)</f>
        <v>7.7160806694533293E-6</v>
      </c>
      <c r="AH5" s="1"/>
      <c r="AI5" s="1">
        <f>AD5*Constants!C$22/AVERAGE(AD4,AD6)</f>
        <v>9.2785772305772928E-4</v>
      </c>
      <c r="AJ5" s="1">
        <f>AI5*SQRT((AE5/AD5)^2+((AD4-AD6)/4/AD4)^2+AVERAGE(AE4/AD4,AE6/AD6)^2)</f>
        <v>1.5540759348290731E-4</v>
      </c>
      <c r="AK5" s="1">
        <f>L5*Constants!C$20/AVERAGE(L4,L6)</f>
        <v>0.6387236237584758</v>
      </c>
      <c r="AL5">
        <f>AK5*SQRT(((M5/L5)^2+((L4-L6)/4/L4)^2)+AVERAGE(M4/L4,M6/L6)^2)</f>
        <v>0.59250287514828237</v>
      </c>
      <c r="AM5" s="1">
        <f>AF5*Constants!C$21/AVERAGE(AF4,AF6)</f>
        <v>1.0804664906155287E-4</v>
      </c>
      <c r="AN5" s="1">
        <f>AM5*SQRT(((AG5/AF5)^2+((AF4-AF6)/AF4/4)^2)+AVERAGE(AG4/AF4,AG6/AF6)^2)</f>
        <v>8.9027010831783472E-6</v>
      </c>
      <c r="AP5">
        <f>$K5/$J5</f>
        <v>0.15784803376281048</v>
      </c>
      <c r="AQ5">
        <f>$AE5/$AD5</f>
        <v>0.16748956105670351</v>
      </c>
      <c r="AR5">
        <f>$AJ5/$AI5</f>
        <v>0.16749075814206288</v>
      </c>
      <c r="AS5">
        <f>$O5/$N5</f>
        <v>6.0432368638723193E-2</v>
      </c>
      <c r="AT5">
        <f>$AG5/$AF5</f>
        <v>8.2394310965432482E-2</v>
      </c>
      <c r="AU5">
        <f>$AN5/$AM5</f>
        <v>8.239682730101687E-2</v>
      </c>
      <c r="AV5" s="1"/>
      <c r="AW5" s="82">
        <f>$AP5/$AR5</f>
        <v>0.94242831971019203</v>
      </c>
      <c r="AX5" s="82">
        <f>$AQ5/$AR5-$AW5</f>
        <v>5.7564533117195893E-2</v>
      </c>
      <c r="AY5" s="82">
        <f>$AR5/$AR5-$AX5-$AW5</f>
        <v>7.1471726120764245E-6</v>
      </c>
      <c r="AZ5" s="82">
        <f>$AS5/$AU5</f>
        <v>0.73343077176925953</v>
      </c>
      <c r="BA5" s="82">
        <f>$AT5/$AU5-$AZ5</f>
        <v>0.26653868900166078</v>
      </c>
      <c r="BB5" s="82">
        <f>$AU5/$AU5-$BA5-$AZ5</f>
        <v>3.0539229079695751E-5</v>
      </c>
    </row>
    <row r="6" spans="1:54">
      <c r="A6" t="str">
        <f t="shared" si="0"/>
        <v>MITh2 247 pg/g</v>
      </c>
      <c r="I6" s="1"/>
      <c r="J6" s="1">
        <v>3.146233E-3</v>
      </c>
      <c r="K6" s="1">
        <v>1.7099999999999999E-6</v>
      </c>
      <c r="L6" s="1">
        <v>13.68005</v>
      </c>
      <c r="M6" s="1">
        <v>4.4000000000000003E-3</v>
      </c>
      <c r="N6" s="1">
        <v>4.305726E-2</v>
      </c>
      <c r="O6" s="1">
        <v>2.5999999999999998E-5</v>
      </c>
      <c r="P6" s="1">
        <v>0.2125949</v>
      </c>
      <c r="Q6" s="1">
        <v>1.6699999999999999E-4</v>
      </c>
      <c r="R6" s="1">
        <v>41768.51</v>
      </c>
      <c r="S6" s="1">
        <v>39.1</v>
      </c>
      <c r="T6" s="1">
        <v>1.554052E-2</v>
      </c>
      <c r="U6" s="1">
        <v>1.2099999999999999E-5</v>
      </c>
      <c r="V6" s="1">
        <v>4.778297E-4</v>
      </c>
      <c r="W6" s="1">
        <v>5.63E-5</v>
      </c>
      <c r="X6" s="1">
        <v>0.8071142</v>
      </c>
      <c r="Y6" s="1">
        <v>0</v>
      </c>
      <c r="Z6" t="s">
        <v>344</v>
      </c>
      <c r="AA6" t="s">
        <v>343</v>
      </c>
      <c r="AB6">
        <v>594</v>
      </c>
      <c r="AD6" s="1">
        <f>J6*(1-$AE$2*$P6*62415093/$R6)*(1-V6/R6)</f>
        <v>3.1455944465855058E-3</v>
      </c>
      <c r="AE6">
        <f t="shared" si="2"/>
        <v>1.7171570990399405E-6</v>
      </c>
      <c r="AF6" s="1">
        <f>N6*(1-$AE$2*$P6*62415093/$R6)*(1-V6/R6)</f>
        <v>4.3048521181103958E-2</v>
      </c>
      <c r="AG6">
        <f t="shared" si="4"/>
        <v>2.6087196313452811E-5</v>
      </c>
      <c r="AQ6" s="1"/>
      <c r="AR6" s="1"/>
      <c r="AS6" s="1"/>
      <c r="AT6" s="1"/>
      <c r="AU6" s="1"/>
      <c r="AV6" s="1"/>
    </row>
    <row r="7" spans="1:54">
      <c r="A7" t="str">
        <f t="shared" si="0"/>
        <v>[BHT] AB11-2A</v>
      </c>
      <c r="B7" t="str">
        <f>IF(NOT(ISBLANK($J7)), IF($T7&lt;Constants!$B$29,"low spike","OK"), "")</f>
        <v>OK</v>
      </c>
      <c r="C7" t="str">
        <f>IF(NOT(ISBLANK($J7)), IF((ABS($L6-$L8)/$L6)&gt;Constants!$B$30,"variable mass bias","OK"), "")</f>
        <v>variable mass bias</v>
      </c>
      <c r="D7" t="str">
        <f>IF(NOT(ISBLANK($J7)), IF((ABS($J6-$J8)/$J6)&gt;Constants!$B$31,"variable IC yield","OK"), "")</f>
        <v>OK</v>
      </c>
      <c r="E7" s="49">
        <f>AK7</f>
        <v>21.751976414800879</v>
      </c>
      <c r="F7" s="49">
        <f>AL7</f>
        <v>1.0122833996131057E-2</v>
      </c>
      <c r="G7" s="49">
        <f>AM7</f>
        <v>1.7544113874531759E-3</v>
      </c>
      <c r="H7" s="49">
        <f>AN7</f>
        <v>8.5754506327489439E-6</v>
      </c>
      <c r="I7" s="1"/>
      <c r="J7" s="1">
        <v>6.9381770000000005E-5</v>
      </c>
      <c r="K7" s="1">
        <v>2.4299999999999999E-7</v>
      </c>
      <c r="L7" s="1">
        <v>22.19847</v>
      </c>
      <c r="M7" s="1">
        <v>7.7099999999999998E-3</v>
      </c>
      <c r="N7" s="1">
        <v>1.5401659999999999E-3</v>
      </c>
      <c r="O7" s="1">
        <v>5.3800000000000002E-6</v>
      </c>
      <c r="P7" s="1">
        <v>0.29885060000000002</v>
      </c>
      <c r="Q7" s="1">
        <v>3.2000000000000003E-4</v>
      </c>
      <c r="R7" s="1">
        <v>1294.289</v>
      </c>
      <c r="S7" s="1">
        <v>4.55</v>
      </c>
      <c r="T7" s="1">
        <v>1.3462719999999999E-2</v>
      </c>
      <c r="U7" s="1">
        <v>1.5500000000000001E-5</v>
      </c>
      <c r="V7" s="1">
        <v>5.2032579999999999</v>
      </c>
      <c r="W7" s="1">
        <v>5.2399999999999999E-3</v>
      </c>
      <c r="X7" s="1">
        <v>1.266818</v>
      </c>
      <c r="Y7" s="1">
        <v>0</v>
      </c>
      <c r="Z7" t="s">
        <v>326</v>
      </c>
      <c r="AA7" t="s">
        <v>343</v>
      </c>
      <c r="AB7">
        <v>596</v>
      </c>
      <c r="AD7" s="1">
        <f t="shared" ref="AD7" si="5">J7*(1-$AE$2*$P7*62415093/$R7)*(1-V7/R7)</f>
        <v>6.8466639090663912E-5</v>
      </c>
      <c r="AE7">
        <f t="shared" si="2"/>
        <v>3.3184905689081747E-7</v>
      </c>
      <c r="AF7" s="1">
        <f t="shared" ref="AF7" si="6">N7*(1-$AE$2*$P7*62415093/$R7)*(1-V7/R7)</f>
        <v>1.5198515353775418E-3</v>
      </c>
      <c r="AG7">
        <f t="shared" si="4"/>
        <v>7.3563948222806615E-6</v>
      </c>
      <c r="AH7" s="1"/>
      <c r="AI7" s="1">
        <f>AD7*Constants!C$22/AVERAGE(AD6,AD8)</f>
        <v>8.067104982720718E-5</v>
      </c>
      <c r="AJ7" s="1">
        <f>AI7*SQRT((AE7/AD7)^2+((AD6-AD8)/4/AD6)^2+AVERAGE(AE6/AD6,AE8/AD8)^2)</f>
        <v>3.9404488349381907E-7</v>
      </c>
      <c r="AK7" s="1">
        <f>L7*Constants!C$20/AVERAGE(L6,L8)</f>
        <v>21.751976414800879</v>
      </c>
      <c r="AL7">
        <f>AK7*SQRT(((M7/L7)^2+((L6-L8)/4/L6)^2)+AVERAGE(M6/L6,M8/L8)^2)</f>
        <v>1.0122833996131057E-2</v>
      </c>
      <c r="AM7" s="1">
        <f>AF7*Constants!C$21/AVERAGE(AF6,AF8)</f>
        <v>1.7544113874531759E-3</v>
      </c>
      <c r="AN7" s="1">
        <f>AM7*SQRT(((AG7/AF7)^2+((AF6-AF8)/AF6/4)^2)+AVERAGE(AG6/AF6,AG8/AF8)^2)</f>
        <v>8.5754506327489439E-6</v>
      </c>
      <c r="AP7">
        <f>$K7/$J7</f>
        <v>3.5023609227611227E-3</v>
      </c>
      <c r="AQ7">
        <f>$AE7/$AD7</f>
        <v>4.8468723059617554E-3</v>
      </c>
      <c r="AR7">
        <f>$AJ7/$AI7</f>
        <v>4.8845885151840825E-3</v>
      </c>
      <c r="AS7">
        <f>$O7/$N7</f>
        <v>3.4931299613158583E-3</v>
      </c>
      <c r="AT7">
        <f>$AG7/$AF7</f>
        <v>4.8402061984648267E-3</v>
      </c>
      <c r="AU7">
        <f>$AN7/$AM7</f>
        <v>4.8879360303273325E-3</v>
      </c>
      <c r="AV7" s="1"/>
      <c r="AW7" s="82">
        <f>$AP7/$AR7</f>
        <v>0.7170227158078496</v>
      </c>
      <c r="AX7" s="82">
        <f>$AQ7/$AR7-$AW7</f>
        <v>0.27525581305797331</v>
      </c>
      <c r="AY7" s="82">
        <f>$AR7/$AR7-$AX7-$AW7</f>
        <v>7.7214711341770936E-3</v>
      </c>
      <c r="AZ7" s="82">
        <f>$AS7/$AU7</f>
        <v>0.71464314173561971</v>
      </c>
      <c r="BA7" s="82">
        <f>$AT7/$AU7-$AZ7</f>
        <v>0.27559203491841899</v>
      </c>
      <c r="BB7" s="82">
        <f>$AU7/$AU7-$BA7-$AZ7</f>
        <v>9.7648233459612932E-3</v>
      </c>
    </row>
    <row r="8" spans="1:54">
      <c r="A8" t="str">
        <f t="shared" si="0"/>
        <v>MITh2 247 pg/g</v>
      </c>
      <c r="I8" s="1"/>
      <c r="J8" s="1">
        <v>3.1473220000000001E-3</v>
      </c>
      <c r="K8" s="1">
        <v>2.0499999999999999E-6</v>
      </c>
      <c r="L8" s="1">
        <v>13.673109999999999</v>
      </c>
      <c r="M8" s="1">
        <v>3.3300000000000001E-3</v>
      </c>
      <c r="N8" s="1">
        <v>4.3033719999999998E-2</v>
      </c>
      <c r="O8" s="1">
        <v>3.1300000000000002E-5</v>
      </c>
      <c r="P8" s="1">
        <v>0.21877089999999999</v>
      </c>
      <c r="Q8" s="1">
        <v>1.7100000000000001E-4</v>
      </c>
      <c r="R8" s="1">
        <v>42980.06</v>
      </c>
      <c r="S8" s="1">
        <v>39.4</v>
      </c>
      <c r="T8" s="1">
        <v>1.6000090000000002E-2</v>
      </c>
      <c r="U8" s="1">
        <v>1.24E-5</v>
      </c>
      <c r="V8" s="1">
        <v>5.7286770000000004E-4</v>
      </c>
      <c r="W8" s="1">
        <v>4.6199999999999998E-5</v>
      </c>
      <c r="X8" s="1">
        <v>1.0667949999999999</v>
      </c>
      <c r="Y8" s="1">
        <v>3.6600000000000002E-9</v>
      </c>
      <c r="Z8" t="s">
        <v>344</v>
      </c>
      <c r="AA8" t="s">
        <v>343</v>
      </c>
      <c r="AB8">
        <v>598</v>
      </c>
      <c r="AD8" s="1">
        <f>J8*(1-$AE$2*$P8*62415093/$R8)*(1-V8/R8)</f>
        <v>3.1466831921508898E-3</v>
      </c>
      <c r="AE8">
        <f t="shared" si="2"/>
        <v>2.0558891486619453E-6</v>
      </c>
      <c r="AF8" s="1">
        <f>N8*(1-$AE$2*$P8*62415093/$R8)*(1-V8/R8)</f>
        <v>4.3024985501873517E-2</v>
      </c>
      <c r="AG8">
        <f t="shared" si="4"/>
        <v>3.1370875675430557E-5</v>
      </c>
      <c r="AQ8" s="1"/>
      <c r="AR8" s="1"/>
      <c r="AS8" s="1"/>
      <c r="AT8" s="1"/>
      <c r="AU8" s="1"/>
      <c r="AV8" s="1"/>
    </row>
    <row r="9" spans="1:54">
      <c r="A9" t="str">
        <f t="shared" si="0"/>
        <v>[BHT] AB11-2B</v>
      </c>
      <c r="B9" t="str">
        <f>IF(NOT(ISBLANK($J9)), IF($T9&lt;Constants!$B$29,"low spike","OK"), "")</f>
        <v>OK</v>
      </c>
      <c r="C9" t="str">
        <f>IF(NOT(ISBLANK($J9)), IF((ABS($L8-$L10)/$L8)&gt;Constants!$B$30,"variable mass bias","OK"), "")</f>
        <v>OK</v>
      </c>
      <c r="D9" t="str">
        <f>IF(NOT(ISBLANK($J9)), IF((ABS($J8-$J10)/$J8)&gt;Constants!$B$31,"variable IC yield","OK"), "")</f>
        <v>OK</v>
      </c>
      <c r="E9" s="49">
        <f>AK9</f>
        <v>10.862077518847869</v>
      </c>
      <c r="F9" s="49">
        <f>AL9</f>
        <v>5.6289493212782898E-3</v>
      </c>
      <c r="G9" s="49">
        <f>AM9</f>
        <v>6.5429299934384767E-3</v>
      </c>
      <c r="H9" s="49">
        <f>AN9</f>
        <v>1.6625280360045866E-5</v>
      </c>
      <c r="I9" s="1"/>
      <c r="J9" s="1">
        <v>5.1353659999999997E-4</v>
      </c>
      <c r="K9" s="1">
        <v>1.02E-6</v>
      </c>
      <c r="L9" s="1">
        <v>11.080970000000001</v>
      </c>
      <c r="M9" s="1">
        <v>4.7200000000000002E-3</v>
      </c>
      <c r="N9" s="1">
        <v>5.6904980000000004E-3</v>
      </c>
      <c r="O9" s="1">
        <v>1.19E-5</v>
      </c>
      <c r="P9" s="1">
        <v>0.16568379999999999</v>
      </c>
      <c r="Q9" s="1">
        <v>1.9699999999999999E-4</v>
      </c>
      <c r="R9" s="1">
        <v>5311.1019999999999</v>
      </c>
      <c r="S9" s="1">
        <v>11.3</v>
      </c>
      <c r="T9" s="1">
        <v>1.495225E-2</v>
      </c>
      <c r="U9" s="1">
        <v>2.1100000000000001E-5</v>
      </c>
      <c r="V9" s="1">
        <v>19.419080000000001</v>
      </c>
      <c r="W9" s="1">
        <v>2.1600000000000001E-2</v>
      </c>
      <c r="X9" s="1">
        <v>1.166806</v>
      </c>
      <c r="Y9" s="1">
        <v>0</v>
      </c>
      <c r="Z9" t="s">
        <v>328</v>
      </c>
      <c r="AA9" t="s">
        <v>343</v>
      </c>
      <c r="AB9">
        <v>600</v>
      </c>
      <c r="AD9" s="1">
        <f t="shared" ref="AD9" si="7">J9*(1-$AE$2*$P9*62415093/$R9)*(1-V9/R9)</f>
        <v>5.1102251176901581E-4</v>
      </c>
      <c r="AE9">
        <f t="shared" si="2"/>
        <v>1.1941799792322171E-6</v>
      </c>
      <c r="AF9" s="1">
        <f t="shared" ref="AF9" si="8">N9*(1-$AE$2*$P9*62415093/$R9)*(1-V9/R9)</f>
        <v>5.6626393935243595E-3</v>
      </c>
      <c r="AG9">
        <f t="shared" si="4"/>
        <v>1.3741541061728333E-5</v>
      </c>
      <c r="AH9" s="1"/>
      <c r="AI9" s="1">
        <f>AD9*Constants!C$22/AVERAGE(AD8,AD10)</f>
        <v>6.023631213788414E-4</v>
      </c>
      <c r="AJ9" s="1">
        <f>AI9*SQRT((AE9/AD9)^2+((AD8-AD10)/4/AD8)^2+AVERAGE(AE8/AD8,AE10/AD10)^2)</f>
        <v>1.4653833352528647E-6</v>
      </c>
      <c r="AK9" s="1">
        <f>L9*Constants!C$20/AVERAGE(L8,L10)</f>
        <v>10.862077518847869</v>
      </c>
      <c r="AL9">
        <f>AK9*SQRT(((M9/L9)^2+((L8-L10)/4/L8)^2)+AVERAGE(M8/L8,M10/L10)^2)</f>
        <v>5.6289493212782898E-3</v>
      </c>
      <c r="AM9" s="1">
        <f>AF9*Constants!C$21/AVERAGE(AF8,AF10)</f>
        <v>6.5429299934384767E-3</v>
      </c>
      <c r="AN9" s="1">
        <f>AM9*SQRT(((AG9/AF9)^2+((AF8-AF10)/AF8/4)^2)+AVERAGE(AG8/AF8,AG10/AF10)^2)</f>
        <v>1.6625280360045866E-5</v>
      </c>
      <c r="AP9">
        <f>$K9/$J9</f>
        <v>1.9862264929120924E-3</v>
      </c>
      <c r="AQ9">
        <f>$AE9/$AD9</f>
        <v>2.3368441736515734E-3</v>
      </c>
      <c r="AR9">
        <f>$AJ9/$AI9</f>
        <v>2.4327241878595155E-3</v>
      </c>
      <c r="AS9">
        <f>$O9/$N9</f>
        <v>2.0912053742923728E-3</v>
      </c>
      <c r="AT9">
        <f>$AG9/$AF9</f>
        <v>2.4267024803738672E-3</v>
      </c>
      <c r="AU9">
        <f>$AN9/$AM9</f>
        <v>2.5409534225061849E-3</v>
      </c>
      <c r="AW9" s="82">
        <f>$AP9/$AR9</f>
        <v>0.81646185080262479</v>
      </c>
      <c r="AX9" s="82">
        <f>$AQ9/$AR9-$AW9</f>
        <v>0.14412553732528943</v>
      </c>
      <c r="AY9" s="82">
        <f>$AR9/$AR9-$AX9-$AW9</f>
        <v>3.9412611872085779E-2</v>
      </c>
      <c r="AZ9" s="82">
        <f>$AS9/$AU9</f>
        <v>0.82300027846625456</v>
      </c>
      <c r="BA9" s="82">
        <f>$AT9/$AU9-$AZ9</f>
        <v>0.13203591341339427</v>
      </c>
      <c r="BB9" s="82">
        <f>$AU9/$AU9-$BA9-$AZ9</f>
        <v>4.4963808120351167E-2</v>
      </c>
    </row>
    <row r="10" spans="1:54">
      <c r="A10" t="str">
        <f t="shared" si="0"/>
        <v>MITh2 247 pg/g</v>
      </c>
      <c r="I10" s="1"/>
      <c r="J10" s="1">
        <v>3.143631E-3</v>
      </c>
      <c r="K10" s="1">
        <v>1.77E-6</v>
      </c>
      <c r="L10" s="1">
        <v>13.67001</v>
      </c>
      <c r="M10" s="1">
        <v>4.5900000000000003E-3</v>
      </c>
      <c r="N10" s="1">
        <v>4.2973440000000002E-2</v>
      </c>
      <c r="O10" s="1">
        <v>2.5899999999999999E-5</v>
      </c>
      <c r="P10" s="1">
        <v>0.2243328</v>
      </c>
      <c r="Q10" s="1">
        <v>2.1699999999999999E-4</v>
      </c>
      <c r="R10" s="1">
        <v>44021.02</v>
      </c>
      <c r="S10" s="1">
        <v>43.6</v>
      </c>
      <c r="T10" s="1">
        <v>1.6410620000000001E-2</v>
      </c>
      <c r="U10" s="1">
        <v>1.6699999999999999E-5</v>
      </c>
      <c r="V10" s="1">
        <v>2.3820140000000001E-4</v>
      </c>
      <c r="W10" s="1">
        <v>3.7799999999999997E-5</v>
      </c>
      <c r="X10" s="1">
        <v>1.016788</v>
      </c>
      <c r="Y10" s="1">
        <v>0</v>
      </c>
      <c r="Z10" t="s">
        <v>344</v>
      </c>
      <c r="AA10" t="s">
        <v>343</v>
      </c>
      <c r="AB10">
        <v>602</v>
      </c>
      <c r="AD10" s="1">
        <f>J10*(1-$AE$2*$P10*62415093/$R10)*(1-V10/R10)</f>
        <v>3.1429922163128616E-3</v>
      </c>
      <c r="AE10">
        <f t="shared" si="2"/>
        <v>1.7769240552383337E-6</v>
      </c>
      <c r="AF10" s="1">
        <f>N10*(1-$AE$2*$P10*62415093/$R10)*(1-V10/R10)</f>
        <v>4.2964707826137281E-2</v>
      </c>
      <c r="AG10">
        <f t="shared" si="4"/>
        <v>2.5987778714385381E-5</v>
      </c>
      <c r="AQ10" s="1"/>
      <c r="AR10" s="1"/>
      <c r="AS10" s="1"/>
      <c r="AT10" s="1"/>
      <c r="AU10" s="1"/>
      <c r="AV10" s="1"/>
    </row>
    <row r="11" spans="1:54">
      <c r="A11" t="str">
        <f t="shared" si="0"/>
        <v>[BHT] AB13-2A</v>
      </c>
      <c r="B11" t="str">
        <f>IF(NOT(ISBLANK($J11)), IF($T11&lt;Constants!$B$29,"low spike","OK"), "")</f>
        <v>low spike</v>
      </c>
      <c r="C11" t="str">
        <f>IF(NOT(ISBLANK($J11)), IF((ABS($L10-$L12)/$L10)&gt;Constants!$B$30,"variable mass bias","OK"), "")</f>
        <v>OK</v>
      </c>
      <c r="D11" t="str">
        <f>IF(NOT(ISBLANK($J11)), IF((ABS($J10-$J12)/$J10)&gt;Constants!$B$31,"variable IC yield","OK"), "")</f>
        <v>OK</v>
      </c>
      <c r="E11" s="49">
        <f>AK11</f>
        <v>20.751622795961939</v>
      </c>
      <c r="F11" s="49">
        <f>AL11</f>
        <v>1.3840721803308031E-2</v>
      </c>
      <c r="G11" s="49">
        <f>AM11</f>
        <v>4.76165749218058E-3</v>
      </c>
      <c r="H11" s="49">
        <f>AN11</f>
        <v>1.8413642642949518E-5</v>
      </c>
      <c r="I11" s="1"/>
      <c r="J11" s="1">
        <v>1.9654580000000001E-4</v>
      </c>
      <c r="K11" s="1">
        <v>5.7000000000000005E-7</v>
      </c>
      <c r="L11" s="1">
        <v>21.16384</v>
      </c>
      <c r="M11" s="1">
        <v>1.2E-2</v>
      </c>
      <c r="N11" s="1">
        <v>4.1596890000000003E-3</v>
      </c>
      <c r="O11" s="1">
        <v>1.26E-5</v>
      </c>
      <c r="P11" s="1">
        <v>0.1893743</v>
      </c>
      <c r="Q11" s="1">
        <v>2.7799999999999998E-4</v>
      </c>
      <c r="R11" s="1">
        <v>2323.4160000000002</v>
      </c>
      <c r="S11" s="1">
        <v>7.87</v>
      </c>
      <c r="T11" s="1">
        <v>8.948124E-3</v>
      </c>
      <c r="U11" s="1">
        <v>1.52E-5</v>
      </c>
      <c r="V11" s="1">
        <v>13.072139999999999</v>
      </c>
      <c r="W11" s="1">
        <v>1.7000000000000001E-2</v>
      </c>
      <c r="X11" s="1">
        <v>2.050246</v>
      </c>
      <c r="Y11" s="1">
        <v>8.8900000000000005E-9</v>
      </c>
      <c r="Z11" t="s">
        <v>329</v>
      </c>
      <c r="AA11" t="s">
        <v>343</v>
      </c>
      <c r="AB11">
        <v>604</v>
      </c>
      <c r="AD11" s="1">
        <f t="shared" ref="AD11" si="9">J11*(1-$AE$2*$P11*62415093/$R11)*(1-V11/R11)</f>
        <v>1.9480481899463939E-4</v>
      </c>
      <c r="AE11">
        <f t="shared" si="2"/>
        <v>7.1446129292034395E-7</v>
      </c>
      <c r="AF11" s="1">
        <f t="shared" ref="AF11" si="10">N11*(1-$AE$2*$P11*62415093/$R11)*(1-V11/R11)</f>
        <v>4.1228429339064607E-3</v>
      </c>
      <c r="AG11">
        <f t="shared" si="4"/>
        <v>1.5544747547942133E-5</v>
      </c>
      <c r="AH11" s="1"/>
      <c r="AI11" s="1">
        <f>AD11*Constants!C$22/AVERAGE(AD10,AD12)</f>
        <v>2.2945808199362712E-4</v>
      </c>
      <c r="AJ11" s="1">
        <f>AI11*SQRT((AE11/AD11)^2+((AD10-AD12)/4/AD10)^2+AVERAGE(AE10/AD10,AE12/AD12)^2)</f>
        <v>8.6446425983388032E-7</v>
      </c>
      <c r="AK11" s="1">
        <f>L11*Constants!C$20/AVERAGE(L10,L12)</f>
        <v>20.751622795961939</v>
      </c>
      <c r="AL11">
        <f>AK11*SQRT(((M11/L11)^2+((L10-L12)/4/L10)^2)+AVERAGE(M10/L10,M12/L12)^2)</f>
        <v>1.3840721803308031E-2</v>
      </c>
      <c r="AM11" s="1">
        <f>AF11*Constants!C$21/AVERAGE(AF10,AF12)</f>
        <v>4.76165749218058E-3</v>
      </c>
      <c r="AN11" s="1">
        <f>AM11*SQRT(((AG11/AF11)^2+((AF10-AF12)/AF10/4)^2)+AVERAGE(AG10/AF10,AG12/AF12)^2)</f>
        <v>1.8413642642949518E-5</v>
      </c>
      <c r="AP11">
        <f>$K11/$J11</f>
        <v>2.9000874096521017E-3</v>
      </c>
      <c r="AQ11">
        <f>$AE11/$AD11</f>
        <v>3.6675750456666291E-3</v>
      </c>
      <c r="AR11">
        <f>$AJ11/$AI11</f>
        <v>3.7674169169508252E-3</v>
      </c>
      <c r="AS11">
        <f>$O11/$N11</f>
        <v>3.0290726061491615E-3</v>
      </c>
      <c r="AT11">
        <f>$AG11/$AF11</f>
        <v>3.7703952823672652E-3</v>
      </c>
      <c r="AU11">
        <f>$AN11/$AM11</f>
        <v>3.8670657587589466E-3</v>
      </c>
      <c r="AV11" s="1"/>
      <c r="AW11" s="82">
        <f>$AP11/$AR11</f>
        <v>0.76978138432294874</v>
      </c>
      <c r="AX11" s="82">
        <f>$AQ11/$AR11-$AW11</f>
        <v>0.20371720277661665</v>
      </c>
      <c r="AY11" s="82">
        <f>$AR11/$AR11-$AX11-$AW11</f>
        <v>2.6501412900434618E-2</v>
      </c>
      <c r="AZ11" s="82">
        <f>$AS11/$AU11</f>
        <v>0.78329999930522998</v>
      </c>
      <c r="BA11" s="82">
        <f>$AT11/$AU11-$AZ11</f>
        <v>0.19170159559324784</v>
      </c>
      <c r="BB11" s="82">
        <f>$AU11/$AU11-$BA11-$AZ11</f>
        <v>2.4998405101522181E-2</v>
      </c>
    </row>
    <row r="12" spans="1:54">
      <c r="A12" t="str">
        <f t="shared" si="0"/>
        <v>MITh2 247 pg/g</v>
      </c>
      <c r="I12" s="1"/>
      <c r="J12" s="1">
        <v>3.151881E-3</v>
      </c>
      <c r="K12" s="1">
        <v>1.73E-6</v>
      </c>
      <c r="L12" s="1">
        <v>13.6654</v>
      </c>
      <c r="M12" s="1">
        <v>4.7299999999999998E-3</v>
      </c>
      <c r="N12" s="1">
        <v>4.3071739999999997E-2</v>
      </c>
      <c r="O12" s="1">
        <v>2.9099999999999999E-5</v>
      </c>
      <c r="P12" s="1">
        <v>0.22506200000000001</v>
      </c>
      <c r="Q12" s="1">
        <v>2.6499999999999999E-4</v>
      </c>
      <c r="R12" s="1">
        <v>44280.22</v>
      </c>
      <c r="S12" s="1">
        <v>58.2</v>
      </c>
      <c r="T12" s="1">
        <v>1.646951E-2</v>
      </c>
      <c r="U12" s="1">
        <v>1.95E-5</v>
      </c>
      <c r="V12" s="1">
        <v>5.3607299999999997E-4</v>
      </c>
      <c r="W12" s="1">
        <v>6.19E-5</v>
      </c>
      <c r="X12" s="1">
        <v>0.93344510000000003</v>
      </c>
      <c r="Y12" s="1">
        <v>1.73E-9</v>
      </c>
      <c r="Z12" t="s">
        <v>344</v>
      </c>
      <c r="AA12" t="s">
        <v>343</v>
      </c>
      <c r="AB12">
        <v>606</v>
      </c>
      <c r="AD12" s="1">
        <f>J12*(1-$AE$2*$P12*62415093/$R12)*(1-V12/R12)</f>
        <v>3.1512421981442318E-3</v>
      </c>
      <c r="AE12">
        <f t="shared" si="2"/>
        <v>1.7370857792445145E-6</v>
      </c>
      <c r="AF12" s="1">
        <f>N12*(1-$AE$2*$P12*62415093/$R12)*(1-V12/R12)</f>
        <v>4.3063010511975808E-2</v>
      </c>
      <c r="AG12">
        <f t="shared" si="4"/>
        <v>2.9176720782851905E-5</v>
      </c>
      <c r="AQ12" s="1"/>
      <c r="AR12" s="1"/>
      <c r="AS12" s="1"/>
      <c r="AT12" s="1"/>
      <c r="AU12" s="1"/>
      <c r="AV12" s="1"/>
    </row>
    <row r="13" spans="1:54">
      <c r="A13" t="str">
        <f t="shared" si="0"/>
        <v>[BHT] AB13-2B</v>
      </c>
      <c r="B13" t="str">
        <f>IF(NOT(ISBLANK($J13)), IF($T13&lt;Constants!$B$29,"low spike","OK"), "")</f>
        <v>low spike</v>
      </c>
      <c r="C13" t="str">
        <f>IF(NOT(ISBLANK($J13)), IF((ABS($L12-$L14)/$L12)&gt;Constants!$B$30,"variable mass bias","OK"), "")</f>
        <v>variable mass bias</v>
      </c>
      <c r="D13" t="str">
        <f>IF(NOT(ISBLANK($J13)), IF((ABS($J12-$J14)/$J12)&gt;Constants!$B$31,"variable IC yield","OK"), "")</f>
        <v>OK</v>
      </c>
      <c r="E13" s="49">
        <f>AK13</f>
        <v>17.506747759464069</v>
      </c>
      <c r="F13" s="49">
        <f>AL13</f>
        <v>1.0830084290467995E-2</v>
      </c>
      <c r="G13" s="49">
        <f>AM13</f>
        <v>9.342713987653687E-3</v>
      </c>
      <c r="H13" s="49">
        <f>AN13</f>
        <v>2.3998194030951218E-5</v>
      </c>
      <c r="I13" s="1"/>
      <c r="J13" s="1">
        <v>4.558753E-4</v>
      </c>
      <c r="K13" s="1">
        <v>9.6200000000000006E-7</v>
      </c>
      <c r="L13" s="1">
        <v>17.86149</v>
      </c>
      <c r="M13" s="1">
        <v>7.6600000000000001E-3</v>
      </c>
      <c r="N13" s="1">
        <v>8.1425319999999992E-3</v>
      </c>
      <c r="O13" s="1">
        <v>1.59E-5</v>
      </c>
      <c r="P13" s="1">
        <v>0.17710300000000001</v>
      </c>
      <c r="Q13" s="1">
        <v>2.5000000000000001E-4</v>
      </c>
      <c r="R13" s="1">
        <v>5039.7479999999996</v>
      </c>
      <c r="S13" s="1">
        <v>12.7</v>
      </c>
      <c r="T13" s="1">
        <v>9.9153950000000005E-3</v>
      </c>
      <c r="U13" s="1">
        <v>1.4600000000000001E-5</v>
      </c>
      <c r="V13" s="1">
        <v>22.359359999999999</v>
      </c>
      <c r="W13" s="1">
        <v>2.8400000000000002E-2</v>
      </c>
      <c r="X13" s="1">
        <v>1.0334570000000001</v>
      </c>
      <c r="Y13" s="1">
        <v>0</v>
      </c>
      <c r="Z13" t="s">
        <v>330</v>
      </c>
      <c r="AA13" t="s">
        <v>343</v>
      </c>
      <c r="AB13">
        <v>608</v>
      </c>
      <c r="AD13" s="1">
        <f t="shared" ref="AD13" si="11">J13*(1-$AE$2*$P13*62415093/$R13)*(1-V13/R13)</f>
        <v>4.5321683123040855E-4</v>
      </c>
      <c r="AE13">
        <f t="shared" si="2"/>
        <v>1.1648767032879166E-6</v>
      </c>
      <c r="AF13" s="1">
        <f t="shared" ref="AF13" si="12">N13*(1-$AE$2*$P13*62415093/$R13)*(1-V13/R13)</f>
        <v>8.0950482538365218E-3</v>
      </c>
      <c r="AG13">
        <f t="shared" si="4"/>
        <v>1.9772743720464716E-5</v>
      </c>
      <c r="AH13" s="1"/>
      <c r="AI13" s="1">
        <f>AD13*Constants!C$22/AVERAGE(AD12,AD14)</f>
        <v>5.3366910766086228E-4</v>
      </c>
      <c r="AJ13" s="1">
        <f>AI13*SQRT((AE13/AD13)^2+((AD12-AD14)/4/AD12)^2+AVERAGE(AE12/AD12,AE14/AD14)^2)</f>
        <v>1.4373995733528166E-6</v>
      </c>
      <c r="AK13" s="1">
        <f>L13*Constants!C$20/AVERAGE(L12,L14)</f>
        <v>17.506747759464069</v>
      </c>
      <c r="AL13">
        <f>AK13*SQRT(((M13/L13)^2+((L12-L14)/4/L12)^2)+AVERAGE(M12/L12,M14/L14)^2)</f>
        <v>1.0830084290467995E-2</v>
      </c>
      <c r="AM13" s="1">
        <f>AF13*Constants!C$21/AVERAGE(AF12,AF14)</f>
        <v>9.342713987653687E-3</v>
      </c>
      <c r="AN13" s="1">
        <f>AM13*SQRT(((AG13/AF13)^2+((AF12-AF14)/AF12/4)^2)+AVERAGE(AG12/AF12,AG14/AF14)^2)</f>
        <v>2.3998194030951218E-5</v>
      </c>
      <c r="AP13">
        <f>$K13/$J13</f>
        <v>2.1102261956284975E-3</v>
      </c>
      <c r="AQ13">
        <f>$AE13/$AD13</f>
        <v>2.5702414893230452E-3</v>
      </c>
      <c r="AR13">
        <f>$AJ13/$AI13</f>
        <v>2.6934284797805082E-3</v>
      </c>
      <c r="AS13">
        <f>$O13/$N13</f>
        <v>1.9527095502971314E-3</v>
      </c>
      <c r="AT13">
        <f>$AG13/$AF13</f>
        <v>2.442572681527097E-3</v>
      </c>
      <c r="AU13">
        <f>$AN13/$AM13</f>
        <v>2.5686533980024025E-3</v>
      </c>
      <c r="AV13" s="1"/>
      <c r="AW13" s="82">
        <f>$AP13/$AR13</f>
        <v>0.78347214766232187</v>
      </c>
      <c r="AX13" s="82">
        <f>$AQ13/$AR13-$AW13</f>
        <v>0.17079172406019671</v>
      </c>
      <c r="AY13" s="82">
        <f>$AR13/$AR13-$AX13-$AW13</f>
        <v>4.5736128277481414E-2</v>
      </c>
      <c r="AZ13" s="82">
        <f>$AS13/$AU13</f>
        <v>0.76020748919092007</v>
      </c>
      <c r="BA13" s="82">
        <f>$AT13/$AU13-$AZ13</f>
        <v>0.19070814754957743</v>
      </c>
      <c r="BB13" s="82">
        <f>$AU13/$AU13-$BA13-$AZ13</f>
        <v>4.9084363259502495E-2</v>
      </c>
    </row>
    <row r="14" spans="1:54">
      <c r="A14" t="str">
        <f t="shared" si="0"/>
        <v>MITh2 247 pg/g</v>
      </c>
      <c r="I14" s="1"/>
      <c r="J14" s="1">
        <v>3.1456259999999999E-3</v>
      </c>
      <c r="K14" s="1">
        <v>2.2500000000000001E-6</v>
      </c>
      <c r="L14" s="1">
        <v>13.6807</v>
      </c>
      <c r="M14" s="1">
        <v>4.7600000000000003E-3</v>
      </c>
      <c r="N14" s="1">
        <v>4.3034429999999999E-2</v>
      </c>
      <c r="O14" s="1">
        <v>3.6600000000000002E-5</v>
      </c>
      <c r="P14" s="1">
        <v>0.2251261</v>
      </c>
      <c r="Q14" s="1">
        <v>1.6200000000000001E-4</v>
      </c>
      <c r="R14" s="1">
        <v>44204.82</v>
      </c>
      <c r="S14" s="1">
        <v>41.7</v>
      </c>
      <c r="T14" s="1">
        <v>1.6455790000000001E-2</v>
      </c>
      <c r="U14" s="1">
        <v>1.26E-5</v>
      </c>
      <c r="V14" s="1">
        <v>5.4622809999999998E-4</v>
      </c>
      <c r="W14" s="1">
        <v>5.2200000000000002E-5</v>
      </c>
      <c r="X14" s="1">
        <v>0.88343950000000004</v>
      </c>
      <c r="Y14" s="1">
        <v>6.4300000000000003E-9</v>
      </c>
      <c r="Z14" t="s">
        <v>344</v>
      </c>
      <c r="AA14" t="s">
        <v>343</v>
      </c>
      <c r="AB14">
        <v>610</v>
      </c>
      <c r="AD14" s="1">
        <f>J14*(1-$AE$2*$P14*62415093/$R14)*(1-V14/R14)</f>
        <v>3.1449871958278614E-3</v>
      </c>
      <c r="AE14">
        <f t="shared" si="2"/>
        <v>2.2552594937110174E-6</v>
      </c>
      <c r="AF14" s="1">
        <f>N14*(1-$AE$2*$P14*62415093/$R14)*(1-V14/R14)</f>
        <v>4.3025690698687759E-2</v>
      </c>
      <c r="AG14">
        <f t="shared" si="4"/>
        <v>3.6658364133032111E-5</v>
      </c>
      <c r="AQ14" s="1"/>
      <c r="AR14" s="1"/>
      <c r="AS14" s="1"/>
      <c r="AT14" s="1"/>
      <c r="AU14" s="1"/>
      <c r="AV14" s="1"/>
    </row>
    <row r="15" spans="1:54">
      <c r="A15" t="str">
        <f t="shared" si="0"/>
        <v>[BHT] AB13-2C</v>
      </c>
      <c r="B15" t="str">
        <f>IF(NOT(ISBLANK($J15)), IF($T15&lt;Constants!$B$29,"low spike","OK"), "")</f>
        <v>OK</v>
      </c>
      <c r="C15" t="str">
        <f>IF(NOT(ISBLANK($J15)), IF((ABS($L14-$L16)/$L14)&gt;Constants!$B$30,"variable mass bias","OK"), "")</f>
        <v>OK</v>
      </c>
      <c r="D15" t="str">
        <f>IF(NOT(ISBLANK($J15)), IF((ABS($J14-$J16)/$J14)&gt;Constants!$B$31,"variable IC yield","OK"), "")</f>
        <v>OK</v>
      </c>
      <c r="E15" s="49">
        <f>AK15</f>
        <v>1.8270669242902089</v>
      </c>
      <c r="F15" s="49">
        <f>AL15</f>
        <v>1.0461588532722208E-3</v>
      </c>
      <c r="G15" s="49">
        <f>AM15</f>
        <v>6.0173738824283902E-3</v>
      </c>
      <c r="H15" s="49">
        <f>AN15</f>
        <v>1.7063642980273637E-5</v>
      </c>
      <c r="I15" s="1"/>
      <c r="J15" s="1">
        <v>2.810103E-3</v>
      </c>
      <c r="K15" s="1">
        <v>6.37E-6</v>
      </c>
      <c r="L15" s="1">
        <v>1.865327</v>
      </c>
      <c r="M15" s="1">
        <v>8.52E-4</v>
      </c>
      <c r="N15" s="1">
        <v>5.241758E-3</v>
      </c>
      <c r="O15" s="1">
        <v>1.2099999999999999E-5</v>
      </c>
      <c r="P15" s="1">
        <v>2.6577259999999998E-2</v>
      </c>
      <c r="Q15" s="1">
        <v>3.2400000000000001E-5</v>
      </c>
      <c r="R15" s="1">
        <v>4662.0469999999996</v>
      </c>
      <c r="S15" s="1">
        <v>13.2</v>
      </c>
      <c r="T15" s="1">
        <v>1.424808E-2</v>
      </c>
      <c r="U15" s="1">
        <v>1.7399999999999999E-5</v>
      </c>
      <c r="V15" s="1">
        <v>26.096430000000002</v>
      </c>
      <c r="W15" s="1">
        <v>3.2599999999999997E-2</v>
      </c>
      <c r="X15" s="1">
        <v>1.283487</v>
      </c>
      <c r="Y15" s="1">
        <v>6.17E-9</v>
      </c>
      <c r="Z15" t="s">
        <v>331</v>
      </c>
      <c r="AA15" t="s">
        <v>343</v>
      </c>
      <c r="AB15">
        <v>612</v>
      </c>
      <c r="AD15" s="1">
        <f t="shared" ref="AD15" si="13">J15*(1-$AE$2*$P15*62415093/$R15)*(1-V15/R15)</f>
        <v>2.793737894838646E-3</v>
      </c>
      <c r="AE15">
        <f t="shared" si="2"/>
        <v>7.541961137591832E-6</v>
      </c>
      <c r="AF15" s="1">
        <f t="shared" ref="AF15" si="14">N15*(1-$AE$2*$P15*62415093/$R15)*(1-V15/R15)</f>
        <v>5.211231744948008E-3</v>
      </c>
      <c r="AG15">
        <f t="shared" si="4"/>
        <v>1.4250582057139195E-5</v>
      </c>
      <c r="AH15" s="1"/>
      <c r="AI15" s="1">
        <f>AD15*Constants!C$22/AVERAGE(AD14,AD16)</f>
        <v>3.2934669197594809E-3</v>
      </c>
      <c r="AJ15" s="1">
        <f>AI15*SQRT((AE15/AD15)^2+((AD14-AD16)/4/AD14)^2+AVERAGE(AE14/AD14,AE16/AD16)^2)</f>
        <v>9.1107064659826725E-6</v>
      </c>
      <c r="AK15" s="1">
        <f>L15*Constants!C$20/AVERAGE(L14,L16)</f>
        <v>1.8270669242902089</v>
      </c>
      <c r="AL15">
        <f>AK15*SQRT(((M15/L15)^2+((L14-L16)/4/L14)^2)+AVERAGE(M14/L14,M16/L16)^2)</f>
        <v>1.0461588532722208E-3</v>
      </c>
      <c r="AM15" s="1">
        <f>AF15*Constants!C$21/AVERAGE(AF14,AF16)</f>
        <v>6.0173738824283902E-3</v>
      </c>
      <c r="AN15" s="1">
        <f>AM15*SQRT(((AG15/AF15)^2+((AF14-AF16)/AF14/4)^2)+AVERAGE(AG14/AF14,AG16/AF16)^2)</f>
        <v>1.7063642980273637E-5</v>
      </c>
      <c r="AP15">
        <f>$K15/$J15</f>
        <v>2.2668208247171012E-3</v>
      </c>
      <c r="AQ15">
        <f>$AE15/$AD15</f>
        <v>2.6995951021480569E-3</v>
      </c>
      <c r="AR15">
        <f>$AJ15/$AI15</f>
        <v>2.7662966375408501E-3</v>
      </c>
      <c r="AS15">
        <f>$O15/$N15</f>
        <v>2.3083858507012339E-3</v>
      </c>
      <c r="AT15">
        <f>$AG15/$AF15</f>
        <v>2.7345899692437056E-3</v>
      </c>
      <c r="AU15">
        <f>$AN15/$AM15</f>
        <v>2.8357292256846402E-3</v>
      </c>
      <c r="AV15" s="1"/>
      <c r="AW15" s="82">
        <f>$AP15/$AR15</f>
        <v>0.81944242492093433</v>
      </c>
      <c r="AX15" s="82">
        <f>$AQ15/$AR15-$AW15</f>
        <v>0.15644536148360366</v>
      </c>
      <c r="AY15" s="82">
        <f>$AR15/$AR15-$AX15-$AW15</f>
        <v>2.4112213595462006E-2</v>
      </c>
      <c r="AZ15" s="82">
        <f>$AS15/$AU15</f>
        <v>0.81403606162147313</v>
      </c>
      <c r="BA15" s="82">
        <f>$AT15/$AU15-$AZ15</f>
        <v>0.15029788975693603</v>
      </c>
      <c r="BB15" s="82">
        <f>$AU15/$AU15-$BA15-$AZ15</f>
        <v>3.566604862159084E-2</v>
      </c>
    </row>
    <row r="16" spans="1:54">
      <c r="A16" t="str">
        <f t="shared" si="0"/>
        <v>MITh2 247 pg/g</v>
      </c>
      <c r="I16" s="1"/>
      <c r="J16" s="1">
        <v>3.1446130000000001E-3</v>
      </c>
      <c r="K16" s="1">
        <v>1.5E-6</v>
      </c>
      <c r="L16" s="1">
        <v>13.68356</v>
      </c>
      <c r="M16" s="1">
        <v>4.5799999999999999E-3</v>
      </c>
      <c r="N16" s="1">
        <v>4.3029539999999998E-2</v>
      </c>
      <c r="O16" s="1">
        <v>2.7800000000000001E-5</v>
      </c>
      <c r="P16" s="1">
        <v>0.22787830000000001</v>
      </c>
      <c r="Q16" s="1">
        <v>2.03E-4</v>
      </c>
      <c r="R16" s="1">
        <v>44730.99</v>
      </c>
      <c r="S16" s="1">
        <v>48.3</v>
      </c>
      <c r="T16" s="1">
        <v>1.6653459999999998E-2</v>
      </c>
      <c r="U16" s="1">
        <v>1.4600000000000001E-5</v>
      </c>
      <c r="V16" s="1">
        <v>4.5205480000000002E-4</v>
      </c>
      <c r="W16" s="1">
        <v>4.7500000000000003E-5</v>
      </c>
      <c r="X16" s="1">
        <v>0.92993570000000003</v>
      </c>
      <c r="Y16" s="1">
        <v>0</v>
      </c>
      <c r="Z16" t="s">
        <v>344</v>
      </c>
      <c r="AA16" t="s">
        <v>343</v>
      </c>
      <c r="AB16">
        <v>614</v>
      </c>
      <c r="AD16" s="1">
        <f>J16*(1-$AE$2*$P16*62415093/$R16)*(1-V16/R16)</f>
        <v>3.1439742053300601E-3</v>
      </c>
      <c r="AE16">
        <f t="shared" si="2"/>
        <v>1.5082627886652173E-6</v>
      </c>
      <c r="AF16" s="1">
        <f>N16*(1-$AE$2*$P16*62415093/$R16)*(1-V16/R16)</f>
        <v>4.3020799006815158E-2</v>
      </c>
      <c r="AG16">
        <f t="shared" si="4"/>
        <v>2.7881021295353525E-5</v>
      </c>
      <c r="AQ16" s="1"/>
      <c r="AR16" s="1"/>
      <c r="AS16" s="1"/>
      <c r="AT16" s="1"/>
      <c r="AU16" s="1"/>
      <c r="AV16" s="1"/>
    </row>
    <row r="17" spans="1:54">
      <c r="A17" t="str">
        <f t="shared" si="0"/>
        <v>[BHT] AB13-2D</v>
      </c>
      <c r="B17" t="str">
        <f>IF(NOT(ISBLANK($J17)), IF($T17&lt;Constants!$B$29,"low spike","OK"), "")</f>
        <v>OK</v>
      </c>
      <c r="C17" t="str">
        <f>IF(NOT(ISBLANK($J17)), IF((ABS($L16-$L18)/$L16)&gt;Constants!$B$30,"variable mass bias","OK"), "")</f>
        <v>OK</v>
      </c>
      <c r="D17" t="str">
        <f>IF(NOT(ISBLANK($J17)), IF((ABS($J16-$J18)/$J16)&gt;Constants!$B$31,"variable IC yield","OK"), "")</f>
        <v>OK</v>
      </c>
      <c r="E17" s="49">
        <f>AK17</f>
        <v>0.84758036676980653</v>
      </c>
      <c r="F17" s="49">
        <f>AL17</f>
        <v>7.5835643033937564E-4</v>
      </c>
      <c r="G17" s="49">
        <f>AM17</f>
        <v>5.5998353813608379E-3</v>
      </c>
      <c r="H17" s="49">
        <f>AN17</f>
        <v>1.3552165646876048E-5</v>
      </c>
      <c r="I17" s="1"/>
      <c r="J17" s="1">
        <v>5.6225839999999999E-3</v>
      </c>
      <c r="K17" s="1">
        <v>1.1399999999999999E-5</v>
      </c>
      <c r="L17" s="1">
        <v>0.86541310000000005</v>
      </c>
      <c r="M17" s="1">
        <v>6.96E-4</v>
      </c>
      <c r="N17" s="1">
        <v>4.865856E-3</v>
      </c>
      <c r="O17" s="1">
        <v>1.0499999999999999E-5</v>
      </c>
      <c r="P17" s="1">
        <v>9.3348839999999999E-3</v>
      </c>
      <c r="Q17" s="1">
        <v>1.19E-5</v>
      </c>
      <c r="R17" s="1">
        <v>3276.2840000000001</v>
      </c>
      <c r="S17" s="1">
        <v>7.71</v>
      </c>
      <c r="T17" s="1">
        <v>1.078667E-2</v>
      </c>
      <c r="U17" s="1">
        <v>1.24E-5</v>
      </c>
      <c r="V17" s="1">
        <v>8.2868449999999996</v>
      </c>
      <c r="W17" s="1">
        <v>7.5700000000000003E-3</v>
      </c>
      <c r="X17" s="1">
        <v>1.583523</v>
      </c>
      <c r="Y17" s="1">
        <v>4.4699999999999997E-9</v>
      </c>
      <c r="Z17" t="s">
        <v>332</v>
      </c>
      <c r="AA17" t="s">
        <v>343</v>
      </c>
      <c r="AB17">
        <v>616</v>
      </c>
      <c r="AD17" s="1">
        <f t="shared" ref="AD17" si="15">J17*(1-$AE$2*$P17*62415093/$R17)*(1-V17/R17)</f>
        <v>5.6077254085385138E-3</v>
      </c>
      <c r="AE17">
        <f t="shared" si="2"/>
        <v>1.1980474499723457E-5</v>
      </c>
      <c r="AF17" s="1">
        <f t="shared" ref="AF17" si="16">N17*(1-$AE$2*$P17*62415093/$R17)*(1-V17/R17)</f>
        <v>4.8529971851891552E-3</v>
      </c>
      <c r="AG17">
        <f t="shared" si="4"/>
        <v>1.0970243663316209E-5</v>
      </c>
      <c r="AH17" s="1"/>
      <c r="AI17" s="1">
        <f>AD17*Constants!C$22/AVERAGE(AD16,AD18)</f>
        <v>6.6078647383240596E-3</v>
      </c>
      <c r="AJ17" s="1">
        <f>AI17*SQRT((AE17/AD17)^2+((AD16-AD18)/4/AD16)^2+AVERAGE(AE16/AD16,AE18/AD18)^2)</f>
        <v>1.4815923608631854E-5</v>
      </c>
      <c r="AK17" s="1">
        <f>L17*Constants!C$20/AVERAGE(L16,L18)</f>
        <v>0.84758036676980653</v>
      </c>
      <c r="AL17">
        <f>AK17*SQRT(((M17/L17)^2+((L16-L18)/4/L16)^2)+AVERAGE(M16/L16,M18/L18)^2)</f>
        <v>7.5835643033937564E-4</v>
      </c>
      <c r="AM17" s="1">
        <f>AF17*Constants!C$21/AVERAGE(AF16,AF18)</f>
        <v>5.5998353813608379E-3</v>
      </c>
      <c r="AN17" s="1">
        <f>AM17*SQRT(((AG17/AF17)^2+((AF16-AF18)/AF16/4)^2)+AVERAGE(AG16/AF16,AG18/AF18)^2)</f>
        <v>1.3552165646876048E-5</v>
      </c>
      <c r="AP17">
        <f>$K17/$J17</f>
        <v>2.0275375165582231E-3</v>
      </c>
      <c r="AQ17">
        <f>$AE17/$AD17</f>
        <v>2.1364231710564105E-3</v>
      </c>
      <c r="AR17">
        <f>$AJ17/$AI17</f>
        <v>2.2421650859018021E-3</v>
      </c>
      <c r="AS17">
        <f>$O17/$N17</f>
        <v>2.1578936984571677E-3</v>
      </c>
      <c r="AT17">
        <f>$AG17/$AF17</f>
        <v>2.2605089689308406E-3</v>
      </c>
      <c r="AU17">
        <f>$AN17/$AM17</f>
        <v>2.4201007215291894E-3</v>
      </c>
      <c r="AV17" s="1"/>
      <c r="AW17" s="82">
        <f>$AP17/$AR17</f>
        <v>0.90427664283370313</v>
      </c>
      <c r="AX17" s="82">
        <f>$AQ17/$AR17-$AW17</f>
        <v>4.8562728579993664E-2</v>
      </c>
      <c r="AY17" s="82">
        <f>$AR17/$AR17-$AX17-$AW17</f>
        <v>4.716062858630321E-2</v>
      </c>
      <c r="AZ17" s="82">
        <f>$AS17/$AU17</f>
        <v>0.89165449985637746</v>
      </c>
      <c r="BA17" s="82">
        <f>$AT17/$AU17-$AZ17</f>
        <v>4.2401239568588434E-2</v>
      </c>
      <c r="BB17" s="82">
        <f>$AU17/$AU17-$BA17-$AZ17</f>
        <v>6.5944260575034108E-2</v>
      </c>
    </row>
    <row r="18" spans="1:54">
      <c r="A18" t="str">
        <f t="shared" si="0"/>
        <v>MITh2 247 pg/g</v>
      </c>
      <c r="J18" s="1">
        <v>3.1484249999999998E-3</v>
      </c>
      <c r="K18" s="1">
        <v>2.3199999999999998E-6</v>
      </c>
      <c r="L18" s="1">
        <v>13.683350000000001</v>
      </c>
      <c r="M18" s="1">
        <v>6.1500000000000001E-3</v>
      </c>
      <c r="N18" s="1">
        <v>4.3094170000000001E-2</v>
      </c>
      <c r="O18" s="1">
        <v>3.9100000000000002E-5</v>
      </c>
      <c r="P18" s="1">
        <v>0.23699819999999999</v>
      </c>
      <c r="Q18" s="1">
        <v>1.33E-3</v>
      </c>
      <c r="R18" s="1">
        <v>46569.51</v>
      </c>
      <c r="S18" s="1">
        <v>272</v>
      </c>
      <c r="T18" s="1">
        <v>1.733757E-2</v>
      </c>
      <c r="U18" s="1">
        <v>9.5199999999999997E-5</v>
      </c>
      <c r="V18" s="1">
        <v>-6.0471579999999997E-5</v>
      </c>
      <c r="W18" s="1">
        <v>3.9499999999999998E-5</v>
      </c>
      <c r="X18" s="1">
        <v>1.5001800000000001</v>
      </c>
      <c r="Y18" s="1">
        <v>0</v>
      </c>
      <c r="Z18" t="s">
        <v>344</v>
      </c>
      <c r="AA18" t="s">
        <v>343</v>
      </c>
      <c r="AB18">
        <v>618</v>
      </c>
      <c r="AD18" s="1">
        <f>J18*(1-$AE$2*$P18*62415093/$R18)*(1-V18/R18)</f>
        <v>3.1477861307747826E-3</v>
      </c>
      <c r="AE18">
        <f t="shared" si="2"/>
        <v>2.3251598067111484E-6</v>
      </c>
      <c r="AF18" s="1">
        <f>N18*(1-$AE$2*$P18*62415093/$R18)*(1-V18/R18)</f>
        <v>4.3085425456617428E-2</v>
      </c>
      <c r="AG18">
        <f t="shared" si="4"/>
        <v>3.9154683103176731E-5</v>
      </c>
      <c r="AQ18" s="1"/>
      <c r="AR18" s="1"/>
      <c r="AS18" s="1"/>
      <c r="AT18" s="1"/>
      <c r="AU18" s="1"/>
      <c r="AV18" s="1"/>
    </row>
    <row r="19" spans="1:54">
      <c r="A19" t="str">
        <f t="shared" si="0"/>
        <v>[BHT] AB13-2E</v>
      </c>
      <c r="B19" t="str">
        <f>IF(NOT(ISBLANK($J19)), IF($T19&lt;Constants!$B$29,"low spike","OK"), "")</f>
        <v>OK</v>
      </c>
      <c r="C19" t="str">
        <f>IF(NOT(ISBLANK($J19)), IF((ABS($L18-$L20)/$L18)&gt;Constants!$B$30,"variable mass bias","OK"), "")</f>
        <v>variable mass bias</v>
      </c>
      <c r="D19" t="str">
        <f>IF(NOT(ISBLANK($J19)), IF((ABS($J18-$J20)/$J18)&gt;Constants!$B$31,"variable IC yield","OK"), "")</f>
        <v>OK</v>
      </c>
      <c r="E19" s="49">
        <f>AK19</f>
        <v>1.3867933609448913</v>
      </c>
      <c r="F19" s="49">
        <f>AL19</f>
        <v>8.6818602264699882E-4</v>
      </c>
      <c r="G19" s="49">
        <f>AM19</f>
        <v>8.2120534933317058E-3</v>
      </c>
      <c r="H19" s="49">
        <f>AN19</f>
        <v>1.6066248470988229E-5</v>
      </c>
      <c r="I19" s="1"/>
      <c r="J19" s="1">
        <v>5.0438050000000002E-3</v>
      </c>
      <c r="K19" s="1">
        <v>7.3599999999999998E-6</v>
      </c>
      <c r="L19" s="1">
        <v>1.415602</v>
      </c>
      <c r="M19" s="1">
        <v>6.7900000000000002E-4</v>
      </c>
      <c r="N19" s="1">
        <v>7.1399849999999997E-3</v>
      </c>
      <c r="O19" s="1">
        <v>9.9299999999999998E-6</v>
      </c>
      <c r="P19" s="1">
        <v>1.9156579999999999E-2</v>
      </c>
      <c r="Q19" s="1">
        <v>2.3E-5</v>
      </c>
      <c r="R19" s="1">
        <v>6031.3739999999998</v>
      </c>
      <c r="S19" s="1">
        <v>12.1</v>
      </c>
      <c r="T19" s="1">
        <v>1.3532519999999999E-2</v>
      </c>
      <c r="U19" s="1">
        <v>1.7099999999999999E-5</v>
      </c>
      <c r="V19" s="1">
        <v>20.065829999999998</v>
      </c>
      <c r="W19" s="1">
        <v>2.2100000000000002E-2</v>
      </c>
      <c r="X19" s="1">
        <v>1.683535</v>
      </c>
      <c r="Y19" s="1">
        <v>7.6600000000000004E-9</v>
      </c>
      <c r="Z19" t="s">
        <v>333</v>
      </c>
      <c r="AA19" t="s">
        <v>343</v>
      </c>
      <c r="AB19">
        <v>620</v>
      </c>
      <c r="AD19" s="1">
        <f t="shared" ref="AD19" si="17">J19*(1-$AE$2*$P19*62415093/$R19)*(1-V19/R19)</f>
        <v>5.0263880864370308E-3</v>
      </c>
      <c r="AE19">
        <f t="shared" si="2"/>
        <v>8.5368887447878289E-6</v>
      </c>
      <c r="AF19" s="1">
        <f t="shared" ref="AF19" si="18">N19*(1-$AE$2*$P19*62415093/$R19)*(1-V19/R19)</f>
        <v>7.1153297047247275E-3</v>
      </c>
      <c r="AG19">
        <f t="shared" si="4"/>
        <v>1.1668947924141936E-5</v>
      </c>
      <c r="AH19" s="1"/>
      <c r="AI19" s="1">
        <f>AD19*Constants!C$22/AVERAGE(AD18,AD20)</f>
        <v>5.9219073518085264E-3</v>
      </c>
      <c r="AJ19" s="1">
        <f>AI19*SQRT((AE19/AD19)^2+((AD18-AD20)/4/AD18)^2+AVERAGE(AE18/AD18,AE20/AD20)^2)</f>
        <v>1.1108663386761728E-5</v>
      </c>
      <c r="AK19" s="1">
        <f>L19*Constants!C$20/AVERAGE(L18,L20)</f>
        <v>1.3867933609448913</v>
      </c>
      <c r="AL19">
        <f>AK19*SQRT(((M19/L19)^2+((L18-L20)/4/L18)^2)+AVERAGE(M18/L18,M20/L20)^2)</f>
        <v>8.6818602264699882E-4</v>
      </c>
      <c r="AM19" s="1">
        <f>AF19*Constants!C$21/AVERAGE(AF18,AF20)</f>
        <v>8.2120534933317058E-3</v>
      </c>
      <c r="AN19" s="1">
        <f>AM19*SQRT(((AG19/AF19)^2+((AF18-AF20)/AF18/4)^2)+AVERAGE(AG18/AF18,AG20/AF20)^2)</f>
        <v>1.6066248470988229E-5</v>
      </c>
      <c r="AP19">
        <f>$K19/$J19</f>
        <v>1.4592158102860835E-3</v>
      </c>
      <c r="AQ19">
        <f>$AE19/$AD19</f>
        <v>1.6984141689781909E-3</v>
      </c>
      <c r="AR19">
        <f>$AJ19/$AI19</f>
        <v>1.8758590310213462E-3</v>
      </c>
      <c r="AS19">
        <f>$O19/$N19</f>
        <v>1.3907592242840847E-3</v>
      </c>
      <c r="AT19">
        <f>$AG19/$AF19</f>
        <v>1.6399729047542955E-3</v>
      </c>
      <c r="AU19">
        <f>$AN19/$AM19</f>
        <v>1.9564227734310585E-3</v>
      </c>
      <c r="AV19" s="1"/>
      <c r="AW19" s="82">
        <f>$AP19/$AR19</f>
        <v>0.77789204100885256</v>
      </c>
      <c r="AX19" s="82">
        <f>$AQ19/$AR19-$AW19</f>
        <v>0.12751403742842626</v>
      </c>
      <c r="AY19" s="82">
        <f>$AR19/$AR19-$AX19-$AW19</f>
        <v>9.4593921562721173E-2</v>
      </c>
      <c r="AZ19" s="82">
        <f>$AS19/$AU19</f>
        <v>0.71086844989288966</v>
      </c>
      <c r="BA19" s="82">
        <f>$AT19/$AU19-$AZ19</f>
        <v>0.12738232444164133</v>
      </c>
      <c r="BB19" s="82">
        <f>$AU19/$AU19-$BA19-$AZ19</f>
        <v>0.16174922566546901</v>
      </c>
    </row>
    <row r="20" spans="1:54">
      <c r="A20" t="str">
        <f t="shared" si="0"/>
        <v>MITh2 247 pg/g</v>
      </c>
      <c r="J20" s="1">
        <v>3.1456100000000001E-3</v>
      </c>
      <c r="K20" s="1">
        <v>2.48E-6</v>
      </c>
      <c r="L20" s="1">
        <v>13.67643</v>
      </c>
      <c r="M20" s="1">
        <v>4.3E-3</v>
      </c>
      <c r="N20" s="1">
        <v>4.3011389999999997E-2</v>
      </c>
      <c r="O20" s="1">
        <v>4.2799999999999997E-5</v>
      </c>
      <c r="P20" s="1">
        <v>0.23342560000000001</v>
      </c>
      <c r="Q20" s="1">
        <v>2.5000000000000001E-4</v>
      </c>
      <c r="R20" s="1">
        <v>45834.15</v>
      </c>
      <c r="S20" s="1">
        <v>56.6</v>
      </c>
      <c r="T20" s="1">
        <v>1.7071570000000001E-2</v>
      </c>
      <c r="U20" s="1">
        <v>2.0000000000000002E-5</v>
      </c>
      <c r="V20" s="1">
        <v>3.3887540000000001E-4</v>
      </c>
      <c r="W20" s="1">
        <v>3.4499999999999998E-5</v>
      </c>
      <c r="X20" s="1">
        <v>1.333493</v>
      </c>
      <c r="Y20" s="1">
        <v>0</v>
      </c>
      <c r="Z20" t="s">
        <v>344</v>
      </c>
      <c r="AA20" t="s">
        <v>343</v>
      </c>
      <c r="AB20">
        <v>622</v>
      </c>
      <c r="AD20" s="1">
        <f>J20*(1-$AE$2*$P20*62415093/$R20)*(1-V20/R20)</f>
        <v>3.1449712101552182E-3</v>
      </c>
      <c r="AE20">
        <f t="shared" si="2"/>
        <v>2.4847391866556316E-6</v>
      </c>
      <c r="AF20" s="1">
        <f>N20*(1-$AE$2*$P20*62415093/$R20)*(1-V20/R20)</f>
        <v>4.300265552905734E-2</v>
      </c>
      <c r="AG20">
        <f t="shared" si="4"/>
        <v>4.2848128269784307E-5</v>
      </c>
      <c r="AQ20" s="1"/>
      <c r="AR20" s="1"/>
      <c r="AS20" s="1"/>
      <c r="AT20" s="1"/>
      <c r="AU20" s="1"/>
      <c r="AV20" s="1"/>
    </row>
    <row r="21" spans="1:54">
      <c r="A21" t="str">
        <f t="shared" si="0"/>
        <v>[BHT] AB13-2F</v>
      </c>
      <c r="B21" t="str">
        <f>IF(NOT(ISBLANK($J21)), IF($T21&lt;Constants!$B$29,"low spike","OK"), "")</f>
        <v>low spike</v>
      </c>
      <c r="C21" t="str">
        <f>IF(NOT(ISBLANK($J21)), IF((ABS($L20-$L22)/$L20)&gt;Constants!$B$30,"variable mass bias","OK"), "")</f>
        <v>OK</v>
      </c>
      <c r="D21" t="str">
        <f>IF(NOT(ISBLANK($J21)), IF((ABS($J20-$J22)/$J20)&gt;Constants!$B$31,"variable IC yield","OK"), "")</f>
        <v>OK</v>
      </c>
      <c r="E21" s="49">
        <f>AK21</f>
        <v>7.6840560870901493</v>
      </c>
      <c r="F21" s="49">
        <f>AL21</f>
        <v>5.3845487141387285E-3</v>
      </c>
      <c r="G21" s="49">
        <f>AM21</f>
        <v>7.8127077344506083E-3</v>
      </c>
      <c r="H21" s="49">
        <f>AN21</f>
        <v>1.9653167268778723E-5</v>
      </c>
      <c r="I21" s="1"/>
      <c r="J21" s="1">
        <v>8.6529239999999996E-4</v>
      </c>
      <c r="K21" s="1">
        <v>1.9999999999999999E-6</v>
      </c>
      <c r="L21" s="1">
        <v>7.8411470000000003</v>
      </c>
      <c r="M21" s="1">
        <v>4.8599999999999997E-3</v>
      </c>
      <c r="N21" s="1">
        <v>6.7860819999999997E-3</v>
      </c>
      <c r="O21" s="1">
        <v>1.5299999999999999E-5</v>
      </c>
      <c r="P21" s="1">
        <v>7.0413089999999998E-2</v>
      </c>
      <c r="Q21" s="1">
        <v>8.81E-5</v>
      </c>
      <c r="R21" s="1">
        <v>3796.2649999999999</v>
      </c>
      <c r="S21" s="1">
        <v>10.9</v>
      </c>
      <c r="T21" s="1">
        <v>8.9800169999999999E-3</v>
      </c>
      <c r="U21" s="1">
        <v>1.2099999999999999E-5</v>
      </c>
      <c r="V21" s="1">
        <v>7.5797939999999997</v>
      </c>
      <c r="W21" s="1">
        <v>7.9799999999999992E-3</v>
      </c>
      <c r="X21" s="1">
        <v>0.9501136</v>
      </c>
      <c r="Y21" s="1">
        <v>5.4000000000000004E-9</v>
      </c>
      <c r="Z21" t="s">
        <v>334</v>
      </c>
      <c r="AA21" t="s">
        <v>343</v>
      </c>
      <c r="AB21">
        <v>624</v>
      </c>
      <c r="AD21" s="1">
        <f t="shared" ref="AD21" si="19">J21*(1-$AE$2*$P21*62415093/$R21)*(1-V21/R21)</f>
        <v>8.6292605804371802E-4</v>
      </c>
      <c r="AE21">
        <f t="shared" si="2"/>
        <v>2.0811152386979364E-6</v>
      </c>
      <c r="AF21" s="1">
        <f t="shared" ref="AF21" si="20">N21*(1-$AE$2*$P21*62415093/$R21)*(1-V21/R21)</f>
        <v>6.7675238911394922E-3</v>
      </c>
      <c r="AG21">
        <f t="shared" si="4"/>
        <v>1.5953554965107131E-5</v>
      </c>
      <c r="AH21" s="1"/>
      <c r="AI21" s="1">
        <f>AD21*Constants!C$22/AVERAGE(AD20,AD22)</f>
        <v>1.0164528829060809E-3</v>
      </c>
      <c r="AJ21" s="1">
        <f>AI21*SQRT((AE21/AD21)^2+((AD20-AD22)/4/AD20)^2+AVERAGE(AE20/AD20,AE22/AD22)^2)</f>
        <v>2.5689896002691992E-6</v>
      </c>
      <c r="AK21" s="1">
        <f>L21*Constants!C$20/AVERAGE(L20,L22)</f>
        <v>7.6840560870901493</v>
      </c>
      <c r="AL21">
        <f>AK21*SQRT(((M21/L21)^2+((L20-L22)/4/L20)^2)+AVERAGE(M20/L20,M22/L22)^2)</f>
        <v>5.3845487141387285E-3</v>
      </c>
      <c r="AM21" s="1">
        <f>AF21*Constants!C$21/AVERAGE(AF20,AF22)</f>
        <v>7.8127077344506083E-3</v>
      </c>
      <c r="AN21" s="1">
        <f>AM21*SQRT(((AG21/AF21)^2+((AF20-AF22)/AF20/4)^2)+AVERAGE(AG20/AF20,AG22/AF22)^2)</f>
        <v>1.9653167268778723E-5</v>
      </c>
      <c r="AP21">
        <f>$K21/$J21</f>
        <v>2.3113574093566523E-3</v>
      </c>
      <c r="AQ21">
        <f>$AE21/$AD21</f>
        <v>2.411695902909565E-3</v>
      </c>
      <c r="AR21">
        <f>$AJ21/$AI21</f>
        <v>2.5274064774398115E-3</v>
      </c>
      <c r="AS21">
        <f>$O21/$N21</f>
        <v>2.254614665723167E-3</v>
      </c>
      <c r="AT21">
        <f>$AG21/$AF21</f>
        <v>2.3573695818044503E-3</v>
      </c>
      <c r="AU21">
        <f>$AN21/$AM21</f>
        <v>2.515538522210026E-3</v>
      </c>
      <c r="AV21" s="1"/>
      <c r="AW21" s="82">
        <f>$AP21/$AR21</f>
        <v>0.91451748264014476</v>
      </c>
      <c r="AX21" s="82">
        <f>$AQ21/$AR21-$AW21</f>
        <v>3.9700180579798405E-2</v>
      </c>
      <c r="AY21" s="82">
        <f>$AR21/$AR21-$AX21-$AW21</f>
        <v>4.5782336780056831E-2</v>
      </c>
      <c r="AZ21" s="82">
        <f>$AS21/$AU21</f>
        <v>0.89627514976092504</v>
      </c>
      <c r="BA21" s="82">
        <f>$AT21/$AU21-$AZ21</f>
        <v>4.0848078919899833E-2</v>
      </c>
      <c r="BB21" s="82">
        <f>$AU21/$AU21-$BA21-$AZ21</f>
        <v>6.2876771319175129E-2</v>
      </c>
    </row>
    <row r="22" spans="1:54">
      <c r="A22" t="str">
        <f t="shared" si="0"/>
        <v>MITh2 247 pg/g</v>
      </c>
      <c r="J22" s="1">
        <v>3.149757E-3</v>
      </c>
      <c r="K22" s="1">
        <v>1.79E-6</v>
      </c>
      <c r="L22" s="1">
        <v>13.67451</v>
      </c>
      <c r="M22" s="1">
        <v>4.5900000000000003E-3</v>
      </c>
      <c r="N22" s="1">
        <v>4.3071360000000003E-2</v>
      </c>
      <c r="O22" s="1">
        <v>2.6400000000000001E-5</v>
      </c>
      <c r="P22" s="1">
        <v>0.23984159999999999</v>
      </c>
      <c r="Q22" s="1">
        <v>2.12E-4</v>
      </c>
      <c r="R22" s="1">
        <v>47156.24</v>
      </c>
      <c r="S22" s="1">
        <v>49.7</v>
      </c>
      <c r="T22" s="1">
        <v>1.7539349999999999E-2</v>
      </c>
      <c r="U22" s="1">
        <v>1.5400000000000002E-5</v>
      </c>
      <c r="V22" s="1">
        <v>5.4385510000000002E-4</v>
      </c>
      <c r="W22" s="1">
        <v>3.57E-5</v>
      </c>
      <c r="X22" s="1">
        <v>0.83343319999999999</v>
      </c>
      <c r="Y22" s="1">
        <v>0</v>
      </c>
      <c r="Z22" t="s">
        <v>344</v>
      </c>
      <c r="AA22" t="s">
        <v>343</v>
      </c>
      <c r="AB22">
        <v>626</v>
      </c>
      <c r="AD22" s="1">
        <f>J22*(1-$AE$2*$P22*62415093/$R22)*(1-V22/R22)</f>
        <v>3.149118199715147E-3</v>
      </c>
      <c r="AE22">
        <f t="shared" si="2"/>
        <v>1.7968022174093742E-6</v>
      </c>
      <c r="AF22" s="1">
        <f>N22*(1-$AE$2*$P22*62415093/$R22)*(1-V22/R22)</f>
        <v>4.3062624723901884E-2</v>
      </c>
      <c r="AG22">
        <f t="shared" si="4"/>
        <v>2.6485516742447034E-5</v>
      </c>
      <c r="AQ22" s="1"/>
      <c r="AR22" s="1"/>
      <c r="AS22" s="1"/>
      <c r="AT22" s="1"/>
      <c r="AU22" s="1"/>
      <c r="AV22" s="1"/>
    </row>
    <row r="23" spans="1:54">
      <c r="A23" t="str">
        <f t="shared" si="0"/>
        <v>[BHT] AB11_AB13_CC5A</v>
      </c>
      <c r="B23" t="str">
        <f>IF(NOT(ISBLANK($J23)), IF($T23&lt;Constants!$B$29,"low spike","OK"), "")</f>
        <v>OK</v>
      </c>
      <c r="C23" t="str">
        <f>IF(NOT(ISBLANK($J23)), IF((ABS($L22-$L24)/$L22)&gt;Constants!$B$30,"variable mass bias","OK"), "")</f>
        <v>OK</v>
      </c>
      <c r="D23" t="str">
        <f>IF(NOT(ISBLANK($J23)), IF((ABS($J22-$J24)/$J22)&gt;Constants!$B$31,"variable IC yield","OK"), "")</f>
        <v>OK</v>
      </c>
      <c r="E23" s="49">
        <f>AK23</f>
        <v>11.815929166210161</v>
      </c>
      <c r="F23" s="49">
        <f>AL23</f>
        <v>5.9550872931864252E-3</v>
      </c>
      <c r="G23" s="49">
        <f>AM23</f>
        <v>2.1847031332309922E-2</v>
      </c>
      <c r="H23" s="49">
        <f>AN23</f>
        <v>3.8083923136207837E-5</v>
      </c>
      <c r="I23" s="1"/>
      <c r="J23" s="1">
        <v>1.5713319999999999E-3</v>
      </c>
      <c r="K23" s="1">
        <v>2.3300000000000001E-6</v>
      </c>
      <c r="L23" s="1">
        <v>12.056940000000001</v>
      </c>
      <c r="M23" s="1">
        <v>4.6600000000000001E-3</v>
      </c>
      <c r="N23" s="1">
        <v>1.8945489999999999E-2</v>
      </c>
      <c r="O23" s="1">
        <v>2.97E-5</v>
      </c>
      <c r="P23" s="1">
        <v>0.1412882</v>
      </c>
      <c r="Q23" s="1">
        <v>2.0000000000000001E-4</v>
      </c>
      <c r="R23" s="1">
        <v>13858.14</v>
      </c>
      <c r="S23" s="1">
        <v>23.7</v>
      </c>
      <c r="T23" s="1">
        <v>1.171845E-2</v>
      </c>
      <c r="U23" s="1">
        <v>1.6900000000000001E-5</v>
      </c>
      <c r="V23" s="1">
        <v>3.5930550000000001</v>
      </c>
      <c r="W23" s="1">
        <v>4.6699999999999997E-3</v>
      </c>
      <c r="X23" s="1">
        <v>1.383499</v>
      </c>
      <c r="Y23" s="1">
        <v>0</v>
      </c>
      <c r="Z23" t="s">
        <v>335</v>
      </c>
      <c r="AA23" t="s">
        <v>343</v>
      </c>
      <c r="AB23">
        <v>628</v>
      </c>
      <c r="AD23" s="1">
        <f t="shared" ref="AD23" si="21">J23*(1-$AE$2*$P23*62415093/$R23)*(1-V23/R23)</f>
        <v>1.5702859865881613E-3</v>
      </c>
      <c r="AE23">
        <f t="shared" si="2"/>
        <v>2.3434151371886957E-6</v>
      </c>
      <c r="AF23" s="1">
        <f t="shared" ref="AF23" si="22">N23*(1-$AE$2*$P23*62415093/$R23)*(1-V23/R23)</f>
        <v>1.8932878256184015E-2</v>
      </c>
      <c r="AG23">
        <f t="shared" si="4"/>
        <v>2.9850968028399949E-5</v>
      </c>
      <c r="AH23" s="1"/>
      <c r="AI23" s="1">
        <f>AD23*Constants!C$22/AVERAGE(AD22,AD24)</f>
        <v>1.848943088168455E-3</v>
      </c>
      <c r="AJ23" s="1">
        <f>AI23*SQRT((AE23/AD23)^2+((AD22-AD24)/4/AD22)^2+AVERAGE(AE22/AD22,AE24/AD24)^2)</f>
        <v>3.0497674308564352E-6</v>
      </c>
      <c r="AK23" s="1">
        <f>L23*Constants!C$20/AVERAGE(L22,L24)</f>
        <v>11.815929166210161</v>
      </c>
      <c r="AL23">
        <f>AK23*SQRT(((M23/L23)^2+((L22-L24)/4/L22)^2)+AVERAGE(M22/L22,M24/L24)^2)</f>
        <v>5.9550872931864252E-3</v>
      </c>
      <c r="AM23" s="1">
        <f>AF23*Constants!C$21/AVERAGE(AF22,AF24)</f>
        <v>2.1847031332309922E-2</v>
      </c>
      <c r="AN23" s="1">
        <f>AM23*SQRT(((AG23/AF23)^2+((AF22-AF24)/AF22/4)^2)+AVERAGE(AG22/AF22,AG24/AF24)^2)</f>
        <v>3.8083923136207837E-5</v>
      </c>
      <c r="AP23">
        <f>$K23/$J23</f>
        <v>1.482818398657954E-3</v>
      </c>
      <c r="AQ23">
        <f>$AE23/$AD23</f>
        <v>1.4923492645313296E-3</v>
      </c>
      <c r="AR23">
        <f>$AJ23/$AI23</f>
        <v>1.6494652812042501E-3</v>
      </c>
      <c r="AS23">
        <f>$O23/$N23</f>
        <v>1.5676554156160648E-3</v>
      </c>
      <c r="AT23">
        <f>$AG23/$AF23</f>
        <v>1.5766735318571954E-3</v>
      </c>
      <c r="AU23">
        <f>$AN23/$AM23</f>
        <v>1.7432081529486763E-3</v>
      </c>
      <c r="AV23" s="1"/>
      <c r="AW23" s="82">
        <f>$AP23/$AR23</f>
        <v>0.89896914809590311</v>
      </c>
      <c r="AX23" s="82">
        <f>$AQ23/$AR23-$AW23</f>
        <v>5.7781548856955522E-3</v>
      </c>
      <c r="AY23" s="82">
        <f>$AR23/$AR23-$AX23-$AW23</f>
        <v>9.5252697018401333E-2</v>
      </c>
      <c r="AZ23" s="82">
        <f>$AS23/$AU23</f>
        <v>0.89929330181501277</v>
      </c>
      <c r="BA23" s="82">
        <f>$AT23/$AU23-$AZ23</f>
        <v>5.1732870947603926E-3</v>
      </c>
      <c r="BB23" s="82">
        <f>$AU23/$AU23-$BA23-$AZ23</f>
        <v>9.5533411090226839E-2</v>
      </c>
    </row>
    <row r="24" spans="1:54">
      <c r="A24" t="str">
        <f t="shared" si="0"/>
        <v>MITh2 247 pg/g</v>
      </c>
      <c r="J24" s="1">
        <v>3.148058E-3</v>
      </c>
      <c r="K24" s="1">
        <v>2.5399999999999998E-6</v>
      </c>
      <c r="L24" s="1">
        <v>13.675179999999999</v>
      </c>
      <c r="M24" s="1">
        <v>4.2500000000000003E-3</v>
      </c>
      <c r="N24" s="1">
        <v>4.3050239999999997E-2</v>
      </c>
      <c r="O24" s="1">
        <v>3.6600000000000002E-5</v>
      </c>
      <c r="P24" s="1">
        <v>0.23794309999999999</v>
      </c>
      <c r="Q24" s="1">
        <v>2.81E-4</v>
      </c>
      <c r="R24" s="1">
        <v>46757.63</v>
      </c>
      <c r="S24" s="1">
        <v>64.7</v>
      </c>
      <c r="T24" s="1">
        <v>1.7399669999999999E-2</v>
      </c>
      <c r="U24" s="1">
        <v>2.09E-5</v>
      </c>
      <c r="V24" s="1">
        <v>4.1783290000000002E-4</v>
      </c>
      <c r="W24" s="1">
        <v>2.62E-5</v>
      </c>
      <c r="X24" s="1">
        <v>1.2001440000000001</v>
      </c>
      <c r="Y24" s="1">
        <v>6.4000000000000002E-9</v>
      </c>
      <c r="Z24" t="s">
        <v>344</v>
      </c>
      <c r="AA24" t="s">
        <v>343</v>
      </c>
      <c r="AB24">
        <v>630</v>
      </c>
      <c r="AD24" s="1">
        <f>J24*(1-$AE$2*$P24*62415093/$R24)*(1-V24/R24)</f>
        <v>3.147419206499984E-3</v>
      </c>
      <c r="AE24">
        <f t="shared" si="2"/>
        <v>2.5445811952906113E-6</v>
      </c>
      <c r="AF24" s="1">
        <f>N24*(1-$AE$2*$P24*62415093/$R24)*(1-V24/R24)</f>
        <v>4.3041504387922286E-2</v>
      </c>
      <c r="AG24">
        <f t="shared" si="4"/>
        <v>3.6658725161223137E-5</v>
      </c>
      <c r="AQ24" s="1"/>
      <c r="AR24" s="1"/>
      <c r="AS24" s="1"/>
      <c r="AT24" s="1"/>
      <c r="AU24" s="1"/>
      <c r="AV24" s="1"/>
    </row>
    <row r="25" spans="1:54">
      <c r="A25">
        <f t="shared" ref="A25:A44" si="23">Z25</f>
        <v>0</v>
      </c>
      <c r="B25" t="str">
        <f>IF(NOT(ISBLANK($J25)), IF($T25&lt;Constants!$B$29,"low spike","OK"), "")</f>
        <v/>
      </c>
      <c r="C25" t="str">
        <f>IF(NOT(ISBLANK($J25)), IF((ABS($L24-$L26)/$L24)&gt;Constants!$B$30,"variable mass bias","OK"), "")</f>
        <v/>
      </c>
      <c r="D25" t="str">
        <f>IF(NOT(ISBLANK($J25)), IF((ABS($J24-$J26)/$J24)&gt;Constants!$B$31,"variable IC yield","OK"), "")</f>
        <v/>
      </c>
      <c r="E25" s="49">
        <f>AK25</f>
        <v>0</v>
      </c>
      <c r="F25" s="49" t="e">
        <f>AL25</f>
        <v>#DIV/0!</v>
      </c>
      <c r="G25" s="49" t="e">
        <f>AM25</f>
        <v>#DIV/0!</v>
      </c>
      <c r="H25" s="49" t="e">
        <f>AN25</f>
        <v>#DIV/0!</v>
      </c>
      <c r="I25" s="1"/>
      <c r="J25" s="62"/>
      <c r="K25" s="62"/>
      <c r="L25" s="62"/>
      <c r="M25" s="62"/>
      <c r="N25" s="62"/>
      <c r="O25" s="62"/>
      <c r="P25" s="62"/>
      <c r="Q25" s="62"/>
      <c r="R25" s="62"/>
      <c r="S25" s="62"/>
      <c r="T25" s="62"/>
      <c r="U25" s="62"/>
      <c r="V25" s="62"/>
      <c r="W25" s="62"/>
      <c r="X25" s="62"/>
      <c r="Y25" s="62"/>
      <c r="Z25" s="63"/>
      <c r="AA25" s="63"/>
      <c r="AB25" s="63"/>
      <c r="AD25" s="1" t="e">
        <f t="shared" ref="AD25" si="24">J25*(1-$AE$2*$P25*62415093/$R25)*(1-V25/R25)</f>
        <v>#DIV/0!</v>
      </c>
      <c r="AE25" t="e">
        <f t="shared" si="2"/>
        <v>#DIV/0!</v>
      </c>
      <c r="AF25" s="1" t="e">
        <f t="shared" ref="AF25" si="25">N25*(1-$AE$2*$P25*62415093/$R25)*(1-V25/R25)</f>
        <v>#DIV/0!</v>
      </c>
      <c r="AG25" t="e">
        <f t="shared" si="4"/>
        <v>#DIV/0!</v>
      </c>
      <c r="AH25" s="1"/>
      <c r="AI25" s="1" t="e">
        <f>AD25*Constants!C$22/AVERAGE(AD24,AD26)</f>
        <v>#DIV/0!</v>
      </c>
      <c r="AJ25" s="1" t="e">
        <f>AI25*SQRT((AE25/AD25)^2+((AD24-AD26)/4/AD24)^2+AVERAGE(AE24/AD24,AE26/AD26)^2)</f>
        <v>#DIV/0!</v>
      </c>
      <c r="AK25" s="1">
        <f>L25*Constants!C$20/AVERAGE(L24,L26)</f>
        <v>0</v>
      </c>
      <c r="AL25" t="e">
        <f>AK25*SQRT(((M25/L25)^2+((L24-L26)/4/L24)^2)+AVERAGE(M24/L24,M26/L26)^2)</f>
        <v>#DIV/0!</v>
      </c>
      <c r="AM25" s="1" t="e">
        <f>AF25*Constants!C$21/AVERAGE(AF24,AF26)</f>
        <v>#DIV/0!</v>
      </c>
      <c r="AN25" s="1" t="e">
        <f>AM25*SQRT(((AG25/AF25)^2+((AF24-AF26)/AF24/4)^2)+AVERAGE(AG24/AF24,AG26/AF26)^2)</f>
        <v>#DIV/0!</v>
      </c>
      <c r="AP25" t="e">
        <f>$K25/$J25</f>
        <v>#DIV/0!</v>
      </c>
      <c r="AQ25" t="e">
        <f>$AE25/$AD25</f>
        <v>#DIV/0!</v>
      </c>
      <c r="AR25" t="e">
        <f>$AJ25/$AI25</f>
        <v>#DIV/0!</v>
      </c>
      <c r="AS25" t="e">
        <f>$O25/$N25</f>
        <v>#DIV/0!</v>
      </c>
      <c r="AT25" t="e">
        <f>$AG25/$AF25</f>
        <v>#DIV/0!</v>
      </c>
      <c r="AU25" t="e">
        <f>$AN25/$AM25</f>
        <v>#DIV/0!</v>
      </c>
      <c r="AW25" s="82" t="e">
        <f>$AP25/$AR25</f>
        <v>#DIV/0!</v>
      </c>
      <c r="AX25" s="82" t="e">
        <f>$AQ25/$AR25-$AW25</f>
        <v>#DIV/0!</v>
      </c>
      <c r="AY25" s="82" t="e">
        <f>$AR25/$AR25-$AX25-$AW25</f>
        <v>#DIV/0!</v>
      </c>
      <c r="AZ25" s="82" t="e">
        <f>$AS25/$AU25</f>
        <v>#DIV/0!</v>
      </c>
      <c r="BA25" s="82" t="e">
        <f>$AT25/$AU25-$AZ25</f>
        <v>#DIV/0!</v>
      </c>
      <c r="BB25" s="82" t="e">
        <f>$AU25/$AU25-$BA25-$AZ25</f>
        <v>#DIV/0!</v>
      </c>
    </row>
    <row r="26" spans="1:54">
      <c r="A26">
        <f t="shared" si="23"/>
        <v>0</v>
      </c>
      <c r="J26" s="62"/>
      <c r="K26" s="62"/>
      <c r="L26" s="62"/>
      <c r="M26" s="62"/>
      <c r="N26" s="62"/>
      <c r="O26" s="62"/>
      <c r="P26" s="62"/>
      <c r="Q26" s="62"/>
      <c r="R26" s="62"/>
      <c r="S26" s="62"/>
      <c r="T26" s="62"/>
      <c r="U26" s="62"/>
      <c r="V26" s="62"/>
      <c r="W26" s="62"/>
      <c r="X26" s="62"/>
      <c r="Y26" s="62"/>
      <c r="Z26" s="63"/>
      <c r="AA26" s="63"/>
      <c r="AB26" s="63"/>
      <c r="AD26" s="1" t="e">
        <f>J26*(1-$AE$2*$P26*62415093/$R26)*(1-V26/R26)</f>
        <v>#DIV/0!</v>
      </c>
      <c r="AE26" t="e">
        <f t="shared" si="2"/>
        <v>#DIV/0!</v>
      </c>
      <c r="AF26" s="1" t="e">
        <f>N26*(1-$AE$2*$P26*62415093/$R26)*(1-V26/R26)</f>
        <v>#DIV/0!</v>
      </c>
      <c r="AG26" t="e">
        <f t="shared" si="4"/>
        <v>#DIV/0!</v>
      </c>
      <c r="AQ26" s="1"/>
      <c r="AR26" s="1"/>
      <c r="AS26" s="1"/>
      <c r="AT26" s="1"/>
      <c r="AU26" s="1"/>
    </row>
    <row r="27" spans="1:54">
      <c r="A27">
        <f t="shared" si="23"/>
        <v>0</v>
      </c>
      <c r="B27" t="str">
        <f>IF(NOT(ISBLANK($J27)), IF($T27&lt;Constants!$B$29,"low spike","OK"), "")</f>
        <v/>
      </c>
      <c r="C27" t="str">
        <f>IF(NOT(ISBLANK($J27)), IF((ABS($L26-$L28)/$L26)&gt;Constants!$B$30,"variable mass bias","OK"), "")</f>
        <v/>
      </c>
      <c r="D27" t="str">
        <f>IF(NOT(ISBLANK($J27)), IF((ABS($J26-$J28)/$J26)&gt;Constants!$B$31,"variable IC yield","OK"), "")</f>
        <v/>
      </c>
      <c r="E27" s="49" t="e">
        <f>AK27</f>
        <v>#DIV/0!</v>
      </c>
      <c r="F27" s="49" t="e">
        <f>AL27</f>
        <v>#DIV/0!</v>
      </c>
      <c r="G27" s="49" t="e">
        <f>AM27</f>
        <v>#DIV/0!</v>
      </c>
      <c r="H27" s="49" t="e">
        <f>AN27</f>
        <v>#DIV/0!</v>
      </c>
      <c r="I27" s="1"/>
      <c r="J27" s="62"/>
      <c r="K27" s="62"/>
      <c r="L27" s="62"/>
      <c r="M27" s="62"/>
      <c r="N27" s="62"/>
      <c r="O27" s="62"/>
      <c r="P27" s="62"/>
      <c r="Q27" s="62"/>
      <c r="R27" s="62"/>
      <c r="S27" s="62"/>
      <c r="T27" s="62"/>
      <c r="U27" s="62"/>
      <c r="V27" s="62"/>
      <c r="W27" s="62"/>
      <c r="X27" s="62"/>
      <c r="Y27" s="62"/>
      <c r="Z27" s="63"/>
      <c r="AA27" s="63"/>
      <c r="AB27" s="63"/>
      <c r="AD27" s="1" t="e">
        <f t="shared" ref="AD27" si="26">J27*(1-$AE$2*$P27*62415093/$R27)*(1-V27/R27)</f>
        <v>#DIV/0!</v>
      </c>
      <c r="AE27" t="e">
        <f t="shared" si="2"/>
        <v>#DIV/0!</v>
      </c>
      <c r="AF27" s="1" t="e">
        <f t="shared" ref="AF27" si="27">N27*(1-$AE$2*$P27*62415093/$R27)*(1-V27/R27)</f>
        <v>#DIV/0!</v>
      </c>
      <c r="AG27" t="e">
        <f t="shared" si="4"/>
        <v>#DIV/0!</v>
      </c>
      <c r="AH27" s="1"/>
      <c r="AI27" s="1" t="e">
        <f>AD27*Constants!C$22/AVERAGE(AD26,AD28)</f>
        <v>#DIV/0!</v>
      </c>
      <c r="AJ27" s="1" t="e">
        <f>AI27*SQRT((AE27/AD27)^2+((AD26-AD28)/4/AD26)^2+AVERAGE(AE26/AD26,AE28/AD28)^2)</f>
        <v>#DIV/0!</v>
      </c>
      <c r="AK27" s="1" t="e">
        <f>L27*Constants!C$20/AVERAGE(L26,L28)</f>
        <v>#DIV/0!</v>
      </c>
      <c r="AL27" t="e">
        <f>AK27*SQRT(((M27/L27)^2+((L26-L28)/4/L26)^2)+AVERAGE(M26/L26,M28/L28)^2)</f>
        <v>#DIV/0!</v>
      </c>
      <c r="AM27" s="1" t="e">
        <f>AF27*Constants!C$21/AVERAGE(AF26,AF28)</f>
        <v>#DIV/0!</v>
      </c>
      <c r="AN27" s="1" t="e">
        <f>AM27*SQRT(((AG27/AF27)^2+((AF26-AF28)/AF26/4)^2)+AVERAGE(AG26/AF26,AG28/AF28)^2)</f>
        <v>#DIV/0!</v>
      </c>
      <c r="AP27" t="e">
        <f>$K27/$J27</f>
        <v>#DIV/0!</v>
      </c>
      <c r="AQ27" t="e">
        <f>$AE27/$AD27</f>
        <v>#DIV/0!</v>
      </c>
      <c r="AR27" t="e">
        <f>$AJ27/$AI27</f>
        <v>#DIV/0!</v>
      </c>
      <c r="AS27" t="e">
        <f>$O27/$N27</f>
        <v>#DIV/0!</v>
      </c>
      <c r="AT27" t="e">
        <f>$AG27/$AF27</f>
        <v>#DIV/0!</v>
      </c>
      <c r="AU27" t="e">
        <f>$AN27/$AM27</f>
        <v>#DIV/0!</v>
      </c>
      <c r="AW27" s="82" t="e">
        <f>$AP27/$AR27</f>
        <v>#DIV/0!</v>
      </c>
      <c r="AX27" s="82" t="e">
        <f>$AQ27/$AR27-$AW27</f>
        <v>#DIV/0!</v>
      </c>
      <c r="AY27" s="82" t="e">
        <f>$AR27/$AR27-$AX27-$AW27</f>
        <v>#DIV/0!</v>
      </c>
      <c r="AZ27" s="82" t="e">
        <f>$AS27/$AU27</f>
        <v>#DIV/0!</v>
      </c>
      <c r="BA27" s="82" t="e">
        <f>$AT27/$AU27-$AZ27</f>
        <v>#DIV/0!</v>
      </c>
      <c r="BB27" s="82" t="e">
        <f>$AU27/$AU27-$BA27-$AZ27</f>
        <v>#DIV/0!</v>
      </c>
    </row>
    <row r="28" spans="1:54">
      <c r="A28">
        <f t="shared" si="23"/>
        <v>0</v>
      </c>
      <c r="J28" s="62"/>
      <c r="K28" s="62"/>
      <c r="L28" s="62"/>
      <c r="M28" s="62"/>
      <c r="N28" s="62"/>
      <c r="O28" s="62"/>
      <c r="P28" s="62"/>
      <c r="Q28" s="62"/>
      <c r="R28" s="62"/>
      <c r="S28" s="62"/>
      <c r="T28" s="62"/>
      <c r="U28" s="62"/>
      <c r="V28" s="62"/>
      <c r="W28" s="62"/>
      <c r="X28" s="62"/>
      <c r="Y28" s="62"/>
      <c r="Z28" s="63"/>
      <c r="AA28" s="63"/>
      <c r="AB28" s="63"/>
      <c r="AD28" s="1" t="e">
        <f>J28*(1-$AE$2*$P28*62415093/$R28)*(1-V28/R28)</f>
        <v>#DIV/0!</v>
      </c>
      <c r="AE28" t="e">
        <f t="shared" si="2"/>
        <v>#DIV/0!</v>
      </c>
      <c r="AF28" s="1" t="e">
        <f>N28*(1-$AE$2*$P28*62415093/$R28)*(1-V28/R28)</f>
        <v>#DIV/0!</v>
      </c>
      <c r="AG28" t="e">
        <f t="shared" si="4"/>
        <v>#DIV/0!</v>
      </c>
      <c r="AQ28" s="1"/>
      <c r="AR28" s="1"/>
      <c r="AS28" s="1"/>
      <c r="AT28" s="1"/>
      <c r="AU28" s="1"/>
    </row>
    <row r="29" spans="1:54">
      <c r="A29">
        <f t="shared" si="23"/>
        <v>0</v>
      </c>
      <c r="B29" t="str">
        <f>IF(NOT(ISBLANK($J29)), IF($T29&lt;Constants!$B$29,"low spike","OK"), "")</f>
        <v/>
      </c>
      <c r="C29" t="str">
        <f>IF(NOT(ISBLANK($J29)), IF((ABS($L28-$L30)/$L28)&gt;Constants!$B$30,"variable mass bias","OK"), "")</f>
        <v/>
      </c>
      <c r="D29" t="str">
        <f>IF(NOT(ISBLANK($J29)), IF((ABS($J28-$J30)/$J28)&gt;Constants!$B$31,"variable IC yield","OK"), "")</f>
        <v/>
      </c>
      <c r="E29" s="49" t="e">
        <f>AK29</f>
        <v>#DIV/0!</v>
      </c>
      <c r="F29" s="49" t="e">
        <f>AL29</f>
        <v>#DIV/0!</v>
      </c>
      <c r="G29" s="49" t="e">
        <f>AM29</f>
        <v>#DIV/0!</v>
      </c>
      <c r="H29" s="49" t="e">
        <f>AN29</f>
        <v>#DIV/0!</v>
      </c>
      <c r="I29" s="1"/>
      <c r="J29" s="62"/>
      <c r="K29" s="62"/>
      <c r="L29" s="62"/>
      <c r="M29" s="62"/>
      <c r="N29" s="62"/>
      <c r="O29" s="62"/>
      <c r="P29" s="62"/>
      <c r="Q29" s="62"/>
      <c r="R29" s="62"/>
      <c r="S29" s="62"/>
      <c r="T29" s="62"/>
      <c r="U29" s="62"/>
      <c r="V29" s="62"/>
      <c r="W29" s="62"/>
      <c r="X29" s="62"/>
      <c r="Y29" s="62"/>
      <c r="Z29" s="63"/>
      <c r="AA29" s="63"/>
      <c r="AB29" s="63"/>
      <c r="AD29" s="1" t="e">
        <f t="shared" ref="AD29" si="28">J29*(1-$AE$2*$P29*62415093/$R29)*(1-V29/R29)</f>
        <v>#DIV/0!</v>
      </c>
      <c r="AE29" t="e">
        <f t="shared" si="2"/>
        <v>#DIV/0!</v>
      </c>
      <c r="AF29" s="1" t="e">
        <f t="shared" ref="AF29" si="29">N29*(1-$AE$2*$P29*62415093/$R29)*(1-V29/R29)</f>
        <v>#DIV/0!</v>
      </c>
      <c r="AG29" t="e">
        <f t="shared" si="4"/>
        <v>#DIV/0!</v>
      </c>
      <c r="AH29" s="1"/>
      <c r="AI29" s="1" t="e">
        <f>AD29*Constants!C$22/AVERAGE(AD28,AD30)</f>
        <v>#DIV/0!</v>
      </c>
      <c r="AJ29" s="1" t="e">
        <f>AI29*SQRT((AE29/AD29)^2+((AD28-AD30)/4/AD28)^2+AVERAGE(AE28/AD28,AE30/AD30)^2)</f>
        <v>#DIV/0!</v>
      </c>
      <c r="AK29" s="1" t="e">
        <f>L29*Constants!C$20/AVERAGE(L28,L30)</f>
        <v>#DIV/0!</v>
      </c>
      <c r="AL29" t="e">
        <f>AK29*SQRT(((M29/L29)^2+((L28-L30)/4/L28)^2)+AVERAGE(M28/L28,M30/L30)^2)</f>
        <v>#DIV/0!</v>
      </c>
      <c r="AM29" s="1" t="e">
        <f>AF29*Constants!C$21/AVERAGE(AF28,AF30)</f>
        <v>#DIV/0!</v>
      </c>
      <c r="AN29" s="1" t="e">
        <f>AM29*SQRT(((AG29/AF29)^2+((AF28-AF30)/AF28/4)^2)+AVERAGE(AG28/AF28,AG30/AF30)^2)</f>
        <v>#DIV/0!</v>
      </c>
      <c r="AP29" t="e">
        <f>$K29/$J29</f>
        <v>#DIV/0!</v>
      </c>
      <c r="AQ29" t="e">
        <f>$AE29/$AD29</f>
        <v>#DIV/0!</v>
      </c>
      <c r="AR29" t="e">
        <f>$AJ29/$AI29</f>
        <v>#DIV/0!</v>
      </c>
      <c r="AS29" t="e">
        <f>$O29/$N29</f>
        <v>#DIV/0!</v>
      </c>
      <c r="AT29" t="e">
        <f>$AG29/$AF29</f>
        <v>#DIV/0!</v>
      </c>
      <c r="AU29" t="e">
        <f>$AN29/$AM29</f>
        <v>#DIV/0!</v>
      </c>
      <c r="AW29" s="82" t="e">
        <f>$AP29/$AR29</f>
        <v>#DIV/0!</v>
      </c>
      <c r="AX29" s="82" t="e">
        <f>$AQ29/$AR29-$AW29</f>
        <v>#DIV/0!</v>
      </c>
      <c r="AY29" s="82" t="e">
        <f>$AR29/$AR29-$AX29-$AW29</f>
        <v>#DIV/0!</v>
      </c>
      <c r="AZ29" s="82" t="e">
        <f>$AS29/$AU29</f>
        <v>#DIV/0!</v>
      </c>
      <c r="BA29" s="82" t="e">
        <f>$AT29/$AU29-$AZ29</f>
        <v>#DIV/0!</v>
      </c>
      <c r="BB29" s="82" t="e">
        <f>$AU29/$AU29-$BA29-$AZ29</f>
        <v>#DIV/0!</v>
      </c>
    </row>
    <row r="30" spans="1:54">
      <c r="A30">
        <f t="shared" si="23"/>
        <v>0</v>
      </c>
      <c r="J30" s="62"/>
      <c r="K30" s="62"/>
      <c r="L30" s="62"/>
      <c r="M30" s="62"/>
      <c r="N30" s="62"/>
      <c r="O30" s="62"/>
      <c r="P30" s="62"/>
      <c r="Q30" s="62"/>
      <c r="R30" s="62"/>
      <c r="S30" s="62"/>
      <c r="T30" s="62"/>
      <c r="U30" s="62"/>
      <c r="V30" s="62"/>
      <c r="W30" s="62"/>
      <c r="X30" s="62"/>
      <c r="Y30" s="62"/>
      <c r="Z30" s="63"/>
      <c r="AA30" s="63"/>
      <c r="AB30" s="63"/>
      <c r="AD30" s="1" t="e">
        <f>J30*(1-$AE$2*$P30*62415093/$R30)*(1-V30/R30)</f>
        <v>#DIV/0!</v>
      </c>
      <c r="AE30" t="e">
        <f t="shared" si="2"/>
        <v>#DIV/0!</v>
      </c>
      <c r="AF30" s="1" t="e">
        <f>N30*(1-$AE$2*$P30*62415093/$R30)*(1-V30/R30)</f>
        <v>#DIV/0!</v>
      </c>
      <c r="AG30" t="e">
        <f t="shared" si="4"/>
        <v>#DIV/0!</v>
      </c>
      <c r="AQ30" s="1"/>
      <c r="AR30" s="1"/>
      <c r="AS30" s="1"/>
      <c r="AT30" s="1"/>
      <c r="AU30" s="1"/>
    </row>
    <row r="31" spans="1:54">
      <c r="A31">
        <f t="shared" si="23"/>
        <v>0</v>
      </c>
      <c r="B31" t="str">
        <f>IF(NOT(ISBLANK($J31)), IF($T31&lt;Constants!$B$29,"low spike","OK"), "")</f>
        <v/>
      </c>
      <c r="C31" t="str">
        <f>IF(NOT(ISBLANK($J31)), IF((ABS($L30-$L32)/$L30)&gt;Constants!$B$30,"variable mass bias","OK"), "")</f>
        <v/>
      </c>
      <c r="D31" t="str">
        <f>IF(NOT(ISBLANK($J31)), IF((ABS($J30-$J32)/$J30)&gt;Constants!$B$31,"variable IC yield","OK"), "")</f>
        <v/>
      </c>
      <c r="E31" s="49" t="e">
        <f>AK31</f>
        <v>#DIV/0!</v>
      </c>
      <c r="F31" s="49" t="e">
        <f>AL31</f>
        <v>#DIV/0!</v>
      </c>
      <c r="G31" s="49" t="e">
        <f>AM31</f>
        <v>#DIV/0!</v>
      </c>
      <c r="H31" s="49" t="e">
        <f>AN31</f>
        <v>#DIV/0!</v>
      </c>
      <c r="I31" s="1"/>
      <c r="J31" s="62"/>
      <c r="K31" s="62"/>
      <c r="L31" s="62"/>
      <c r="M31" s="62"/>
      <c r="N31" s="62"/>
      <c r="O31" s="62"/>
      <c r="P31" s="62"/>
      <c r="Q31" s="62"/>
      <c r="R31" s="62"/>
      <c r="S31" s="62"/>
      <c r="T31" s="62"/>
      <c r="U31" s="62"/>
      <c r="V31" s="62"/>
      <c r="W31" s="62"/>
      <c r="X31" s="62"/>
      <c r="Y31" s="62"/>
      <c r="Z31" s="63"/>
      <c r="AA31" s="63"/>
      <c r="AB31" s="63"/>
      <c r="AD31" s="1" t="e">
        <f t="shared" ref="AD31" si="30">J31*(1-$AE$2*$P31*62415093/$R31)*(1-V31/R31)</f>
        <v>#DIV/0!</v>
      </c>
      <c r="AE31" t="e">
        <f t="shared" si="2"/>
        <v>#DIV/0!</v>
      </c>
      <c r="AF31" s="1" t="e">
        <f t="shared" ref="AF31" si="31">N31*(1-$AE$2*$P31*62415093/$R31)*(1-V31/R31)</f>
        <v>#DIV/0!</v>
      </c>
      <c r="AG31" t="e">
        <f t="shared" si="4"/>
        <v>#DIV/0!</v>
      </c>
      <c r="AH31" s="1"/>
      <c r="AI31" s="1" t="e">
        <f>AD31*Constants!C$22/AVERAGE(AD30,AD32)</f>
        <v>#DIV/0!</v>
      </c>
      <c r="AJ31" s="1" t="e">
        <f>AI31*SQRT((AE31/AD31)^2+((AD30-AD32)/4/AD30)^2+AVERAGE(AE30/AD30,AE32/AD32)^2)</f>
        <v>#DIV/0!</v>
      </c>
      <c r="AK31" s="1" t="e">
        <f>L31*Constants!C$20/AVERAGE(L30,L32)</f>
        <v>#DIV/0!</v>
      </c>
      <c r="AL31" t="e">
        <f>AK31*SQRT(((M31/L31)^2+((L30-L32)/4/L30)^2)+AVERAGE(M30/L30,M32/L32)^2)</f>
        <v>#DIV/0!</v>
      </c>
      <c r="AM31" s="1" t="e">
        <f>AF31*Constants!C$21/AVERAGE(AF30,AF32)</f>
        <v>#DIV/0!</v>
      </c>
      <c r="AN31" s="1" t="e">
        <f>AM31*SQRT(((AG31/AF31)^2+((AF30-AF32)/AF30/4)^2)+AVERAGE(AG30/AF30,AG32/AF32)^2)</f>
        <v>#DIV/0!</v>
      </c>
      <c r="AP31" t="e">
        <f>$K31/$J31</f>
        <v>#DIV/0!</v>
      </c>
      <c r="AQ31" t="e">
        <f>$AE31/$AD31</f>
        <v>#DIV/0!</v>
      </c>
      <c r="AR31" t="e">
        <f>$AJ31/$AI31</f>
        <v>#DIV/0!</v>
      </c>
      <c r="AS31" t="e">
        <f>$O31/$N31</f>
        <v>#DIV/0!</v>
      </c>
      <c r="AT31" t="e">
        <f>$AG31/$AF31</f>
        <v>#DIV/0!</v>
      </c>
      <c r="AU31" t="e">
        <f>$AN31/$AM31</f>
        <v>#DIV/0!</v>
      </c>
      <c r="AW31" s="82" t="e">
        <f>$AP31/$AR31</f>
        <v>#DIV/0!</v>
      </c>
      <c r="AX31" s="82" t="e">
        <f>$AQ31/$AR31-$AW31</f>
        <v>#DIV/0!</v>
      </c>
      <c r="AY31" s="82" t="e">
        <f>$AR31/$AR31-$AX31-$AW31</f>
        <v>#DIV/0!</v>
      </c>
      <c r="AZ31" s="82" t="e">
        <f>$AS31/$AU31</f>
        <v>#DIV/0!</v>
      </c>
      <c r="BA31" s="82" t="e">
        <f>$AT31/$AU31-$AZ31</f>
        <v>#DIV/0!</v>
      </c>
      <c r="BB31" s="82" t="e">
        <f>$AU31/$AU31-$BA31-$AZ31</f>
        <v>#DIV/0!</v>
      </c>
    </row>
    <row r="32" spans="1:54">
      <c r="A32">
        <f t="shared" si="23"/>
        <v>0</v>
      </c>
      <c r="J32" s="62"/>
      <c r="K32" s="62"/>
      <c r="L32" s="62"/>
      <c r="M32" s="62"/>
      <c r="N32" s="62"/>
      <c r="O32" s="62"/>
      <c r="P32" s="62"/>
      <c r="Q32" s="62"/>
      <c r="R32" s="62"/>
      <c r="S32" s="62"/>
      <c r="T32" s="62"/>
      <c r="U32" s="62"/>
      <c r="V32" s="62"/>
      <c r="W32" s="62"/>
      <c r="X32" s="62"/>
      <c r="Y32" s="62"/>
      <c r="Z32" s="63"/>
      <c r="AA32" s="63"/>
      <c r="AB32" s="63"/>
      <c r="AD32" s="1" t="e">
        <f>J32*(1-$AE$2*$P32*62415093/$R32)*(1-V32/R32)</f>
        <v>#DIV/0!</v>
      </c>
      <c r="AE32" t="e">
        <f t="shared" si="2"/>
        <v>#DIV/0!</v>
      </c>
      <c r="AF32" s="1" t="e">
        <f>N32*(1-$AE$2*$P32*62415093/$R32)*(1-V32/R32)</f>
        <v>#DIV/0!</v>
      </c>
      <c r="AG32" t="e">
        <f t="shared" si="4"/>
        <v>#DIV/0!</v>
      </c>
      <c r="AQ32" s="1"/>
      <c r="AR32" s="1"/>
      <c r="AS32" s="1"/>
      <c r="AT32" s="1"/>
      <c r="AU32" s="1"/>
    </row>
    <row r="33" spans="1:54">
      <c r="A33">
        <f t="shared" si="23"/>
        <v>0</v>
      </c>
      <c r="B33" t="str">
        <f>IF(NOT(ISBLANK($J33)), IF($T33&lt;Constants!$B$29,"low spike","OK"), "")</f>
        <v/>
      </c>
      <c r="C33" t="str">
        <f>IF(NOT(ISBLANK($J33)), IF((ABS($L32-$L34)/$L32)&gt;Constants!$B$30,"variable mass bias","OK"), "")</f>
        <v/>
      </c>
      <c r="D33" t="str">
        <f>IF(NOT(ISBLANK($J33)), IF((ABS($J32-$J34)/$J32)&gt;Constants!$B$31,"variable IC yield","OK"), "")</f>
        <v/>
      </c>
      <c r="E33" s="49" t="e">
        <f>AK33</f>
        <v>#DIV/0!</v>
      </c>
      <c r="F33" s="49" t="e">
        <f>AL33</f>
        <v>#DIV/0!</v>
      </c>
      <c r="G33" s="49" t="e">
        <f>AM33</f>
        <v>#DIV/0!</v>
      </c>
      <c r="H33" s="49" t="e">
        <f>AN33</f>
        <v>#DIV/0!</v>
      </c>
      <c r="I33" s="1"/>
      <c r="J33" s="62"/>
      <c r="K33" s="62"/>
      <c r="L33" s="62"/>
      <c r="M33" s="62"/>
      <c r="N33" s="62"/>
      <c r="O33" s="62"/>
      <c r="P33" s="62"/>
      <c r="Q33" s="62"/>
      <c r="R33" s="62"/>
      <c r="S33" s="62"/>
      <c r="T33" s="62"/>
      <c r="U33" s="62"/>
      <c r="V33" s="62"/>
      <c r="W33" s="62"/>
      <c r="X33" s="62"/>
      <c r="Y33" s="62"/>
      <c r="Z33" s="63"/>
      <c r="AA33" s="63"/>
      <c r="AB33" s="63"/>
      <c r="AD33" s="1" t="e">
        <f t="shared" ref="AD33" si="32">J33*(1-$AE$2*$P33*62415093/$R33)*(1-V33/R33)</f>
        <v>#DIV/0!</v>
      </c>
      <c r="AE33" t="e">
        <f t="shared" si="2"/>
        <v>#DIV/0!</v>
      </c>
      <c r="AF33" s="1" t="e">
        <f t="shared" ref="AF33" si="33">N33*(1-$AE$2*$P33*62415093/$R33)*(1-V33/R33)</f>
        <v>#DIV/0!</v>
      </c>
      <c r="AG33" t="e">
        <f t="shared" si="4"/>
        <v>#DIV/0!</v>
      </c>
      <c r="AH33" s="1"/>
      <c r="AI33" s="1" t="e">
        <f>AD33*Constants!C$22/AVERAGE(AD32,AD34)</f>
        <v>#DIV/0!</v>
      </c>
      <c r="AJ33" s="1" t="e">
        <f>AI33*SQRT((AE33/AD33)^2+((AD32-AD34)/4/AD32)^2+AVERAGE(AE32/AD32,AE34/AD34)^2)</f>
        <v>#DIV/0!</v>
      </c>
      <c r="AK33" s="1" t="e">
        <f>L33*Constants!C$20/AVERAGE(L32,L34)</f>
        <v>#DIV/0!</v>
      </c>
      <c r="AL33" t="e">
        <f>AK33*SQRT(((M33/L33)^2+((L32-L34)/4/L32)^2)+AVERAGE(M32/L32,M34/L34)^2)</f>
        <v>#DIV/0!</v>
      </c>
      <c r="AM33" s="1" t="e">
        <f>AF33*Constants!C$21/AVERAGE(AF32,AF34)</f>
        <v>#DIV/0!</v>
      </c>
      <c r="AN33" s="1" t="e">
        <f>AM33*SQRT(((AG33/AF33)^2+((AF32-AF34)/AF32/4)^2)+AVERAGE(AG32/AF32,AG34/AF34)^2)</f>
        <v>#DIV/0!</v>
      </c>
      <c r="AP33" t="e">
        <f>$K33/$J33</f>
        <v>#DIV/0!</v>
      </c>
      <c r="AQ33" t="e">
        <f>$AE33/$AD33</f>
        <v>#DIV/0!</v>
      </c>
      <c r="AR33" t="e">
        <f>$AJ33/$AI33</f>
        <v>#DIV/0!</v>
      </c>
      <c r="AS33" t="e">
        <f>$O33/$N33</f>
        <v>#DIV/0!</v>
      </c>
      <c r="AT33" t="e">
        <f>$AG33/$AF33</f>
        <v>#DIV/0!</v>
      </c>
      <c r="AU33" t="e">
        <f>$AN33/$AM33</f>
        <v>#DIV/0!</v>
      </c>
      <c r="AW33" s="82" t="e">
        <f>$AP33/$AR33</f>
        <v>#DIV/0!</v>
      </c>
      <c r="AX33" s="82" t="e">
        <f>$AQ33/$AR33-$AW33</f>
        <v>#DIV/0!</v>
      </c>
      <c r="AY33" s="82" t="e">
        <f>$AR33/$AR33-$AX33-$AW33</f>
        <v>#DIV/0!</v>
      </c>
      <c r="AZ33" s="82" t="e">
        <f>$AS33/$AU33</f>
        <v>#DIV/0!</v>
      </c>
      <c r="BA33" s="82" t="e">
        <f>$AT33/$AU33-$AZ33</f>
        <v>#DIV/0!</v>
      </c>
      <c r="BB33" s="82" t="e">
        <f>$AU33/$AU33-$BA33-$AZ33</f>
        <v>#DIV/0!</v>
      </c>
    </row>
    <row r="34" spans="1:54">
      <c r="A34">
        <f t="shared" si="23"/>
        <v>0</v>
      </c>
      <c r="J34" s="62"/>
      <c r="K34" s="62"/>
      <c r="L34" s="62"/>
      <c r="M34" s="62"/>
      <c r="N34" s="62"/>
      <c r="O34" s="62"/>
      <c r="P34" s="62"/>
      <c r="Q34" s="62"/>
      <c r="R34" s="62"/>
      <c r="S34" s="62"/>
      <c r="T34" s="62"/>
      <c r="U34" s="62"/>
      <c r="V34" s="62"/>
      <c r="W34" s="62"/>
      <c r="X34" s="62"/>
      <c r="Y34" s="62"/>
      <c r="Z34" s="63"/>
      <c r="AA34" s="63"/>
      <c r="AB34" s="63"/>
      <c r="AD34" s="1" t="e">
        <f>J34*(1-$AE$2*$P34*62415093/$R34)*(1-V34/R34)</f>
        <v>#DIV/0!</v>
      </c>
      <c r="AE34" t="e">
        <f t="shared" si="2"/>
        <v>#DIV/0!</v>
      </c>
      <c r="AF34" s="1" t="e">
        <f>N34*(1-$AE$2*$P34*62415093/$R34)*(1-V34/R34)</f>
        <v>#DIV/0!</v>
      </c>
      <c r="AG34" t="e">
        <f t="shared" si="4"/>
        <v>#DIV/0!</v>
      </c>
      <c r="AQ34" s="1"/>
      <c r="AR34" s="1"/>
      <c r="AS34" s="1"/>
      <c r="AT34" s="1"/>
      <c r="AU34" s="1"/>
    </row>
    <row r="35" spans="1:54">
      <c r="A35">
        <f t="shared" si="23"/>
        <v>0</v>
      </c>
      <c r="B35" t="str">
        <f>IF(NOT(ISBLANK($J35)), IF($T35&lt;Constants!$B$29,"low spike","OK"), "")</f>
        <v/>
      </c>
      <c r="C35" t="str">
        <f>IF(NOT(ISBLANK($J35)), IF((ABS($L34-$L36)/$L34)&gt;Constants!$B$30,"variable mass bias","OK"), "")</f>
        <v/>
      </c>
      <c r="D35" t="str">
        <f>IF(NOT(ISBLANK($J35)), IF((ABS($J34-$J36)/$J34)&gt;Constants!$B$31,"variable IC yield","OK"), "")</f>
        <v/>
      </c>
      <c r="E35" s="49" t="e">
        <f>AK35</f>
        <v>#DIV/0!</v>
      </c>
      <c r="F35" s="49" t="e">
        <f>AL35</f>
        <v>#DIV/0!</v>
      </c>
      <c r="G35" s="49" t="e">
        <f>AM35</f>
        <v>#DIV/0!</v>
      </c>
      <c r="H35" s="49" t="e">
        <f>AN35</f>
        <v>#DIV/0!</v>
      </c>
      <c r="I35" s="1"/>
      <c r="J35" s="62"/>
      <c r="K35" s="62"/>
      <c r="L35" s="62"/>
      <c r="M35" s="62"/>
      <c r="N35" s="62"/>
      <c r="O35" s="62"/>
      <c r="P35" s="62"/>
      <c r="Q35" s="62"/>
      <c r="R35" s="62"/>
      <c r="S35" s="62"/>
      <c r="T35" s="62"/>
      <c r="U35" s="62"/>
      <c r="V35" s="62"/>
      <c r="W35" s="62"/>
      <c r="X35" s="62"/>
      <c r="Y35" s="62"/>
      <c r="Z35" s="63"/>
      <c r="AA35" s="63"/>
      <c r="AB35" s="63"/>
      <c r="AD35" s="1" t="e">
        <f t="shared" ref="AD35" si="34">J35*(1-$AE$2*$P35*62415093/$R35)*(1-V35/R35)</f>
        <v>#DIV/0!</v>
      </c>
      <c r="AE35" t="e">
        <f t="shared" si="2"/>
        <v>#DIV/0!</v>
      </c>
      <c r="AF35" s="1" t="e">
        <f t="shared" ref="AF35" si="35">N35*(1-$AE$2*$P35*62415093/$R35)*(1-V35/R35)</f>
        <v>#DIV/0!</v>
      </c>
      <c r="AG35" t="e">
        <f t="shared" si="4"/>
        <v>#DIV/0!</v>
      </c>
      <c r="AH35" s="1"/>
      <c r="AI35" s="1" t="e">
        <f>AD35*Constants!C$22/AVERAGE(AD34,AD36)</f>
        <v>#DIV/0!</v>
      </c>
      <c r="AJ35" s="1" t="e">
        <f>AI35*SQRT((AE35/AD35)^2+((AD34-AD36)/4/AD34)^2+AVERAGE(AE34/AD34,AE36/AD36)^2)</f>
        <v>#DIV/0!</v>
      </c>
      <c r="AK35" s="1" t="e">
        <f>L35*Constants!C$20/AVERAGE(L34,L36)</f>
        <v>#DIV/0!</v>
      </c>
      <c r="AL35" t="e">
        <f>AK35*SQRT(((M35/L35)^2+((L34-L36)/4/L34)^2)+AVERAGE(M34/L34,M36/L36)^2)</f>
        <v>#DIV/0!</v>
      </c>
      <c r="AM35" s="1" t="e">
        <f>AF35*Constants!C$21/AVERAGE(AF34,AF36)</f>
        <v>#DIV/0!</v>
      </c>
      <c r="AN35" s="1" t="e">
        <f>AM35*SQRT(((AG35/AF35)^2+((AF34-AF36)/AF34/4)^2)+AVERAGE(AG34/AF34,AG36/AF36)^2)</f>
        <v>#DIV/0!</v>
      </c>
      <c r="AP35" t="e">
        <f>$K35/$J35</f>
        <v>#DIV/0!</v>
      </c>
      <c r="AQ35" t="e">
        <f>$AE35/$AD35</f>
        <v>#DIV/0!</v>
      </c>
      <c r="AR35" t="e">
        <f>$AJ35/$AI35</f>
        <v>#DIV/0!</v>
      </c>
      <c r="AS35" t="e">
        <f>$O35/$N35</f>
        <v>#DIV/0!</v>
      </c>
      <c r="AT35" t="e">
        <f>$AG35/$AF35</f>
        <v>#DIV/0!</v>
      </c>
      <c r="AU35" t="e">
        <f>$AN35/$AM35</f>
        <v>#DIV/0!</v>
      </c>
      <c r="AW35" s="82" t="e">
        <f>$AP35/$AR35</f>
        <v>#DIV/0!</v>
      </c>
      <c r="AX35" s="82" t="e">
        <f>$AQ35/$AR35-$AW35</f>
        <v>#DIV/0!</v>
      </c>
      <c r="AY35" s="82" t="e">
        <f>$AR35/$AR35-$AX35-$AW35</f>
        <v>#DIV/0!</v>
      </c>
      <c r="AZ35" s="82" t="e">
        <f>$AS35/$AU35</f>
        <v>#DIV/0!</v>
      </c>
      <c r="BA35" s="82" t="e">
        <f>$AT35/$AU35-$AZ35</f>
        <v>#DIV/0!</v>
      </c>
      <c r="BB35" s="82" t="e">
        <f>$AU35/$AU35-$BA35-$AZ35</f>
        <v>#DIV/0!</v>
      </c>
    </row>
    <row r="36" spans="1:54">
      <c r="A36">
        <f t="shared" si="23"/>
        <v>0</v>
      </c>
      <c r="J36" s="62"/>
      <c r="K36" s="62"/>
      <c r="L36" s="62"/>
      <c r="M36" s="62"/>
      <c r="N36" s="62"/>
      <c r="O36" s="62"/>
      <c r="P36" s="62"/>
      <c r="Q36" s="62"/>
      <c r="R36" s="62"/>
      <c r="S36" s="62"/>
      <c r="T36" s="62"/>
      <c r="U36" s="62"/>
      <c r="V36" s="62"/>
      <c r="W36" s="62"/>
      <c r="X36" s="62"/>
      <c r="Y36" s="62"/>
      <c r="Z36" s="63"/>
      <c r="AA36" s="63"/>
      <c r="AB36" s="63"/>
      <c r="AD36" s="1" t="e">
        <f>J36*(1-$AE$2*$P36*62415093/$R36)*(1-V36/R36)</f>
        <v>#DIV/0!</v>
      </c>
      <c r="AE36" t="e">
        <f t="shared" si="2"/>
        <v>#DIV/0!</v>
      </c>
      <c r="AF36" s="1" t="e">
        <f>N36*(1-$AE$2*$P36*62415093/$R36)*(1-V36/R36)</f>
        <v>#DIV/0!</v>
      </c>
      <c r="AG36" t="e">
        <f t="shared" si="4"/>
        <v>#DIV/0!</v>
      </c>
      <c r="AQ36" s="1"/>
      <c r="AR36" s="1"/>
      <c r="AS36" s="1"/>
      <c r="AT36" s="1"/>
      <c r="AU36" s="1"/>
    </row>
    <row r="37" spans="1:54">
      <c r="A37">
        <f t="shared" si="23"/>
        <v>0</v>
      </c>
      <c r="B37" t="str">
        <f>IF(NOT(ISBLANK($J37)), IF($T37&lt;Constants!$B$29,"low spike","OK"), "")</f>
        <v/>
      </c>
      <c r="C37" t="str">
        <f>IF(NOT(ISBLANK($J37)), IF((ABS($L36-$L38)/$L36)&gt;Constants!$B$30,"variable mass bias","OK"), "")</f>
        <v/>
      </c>
      <c r="D37" t="str">
        <f>IF(NOT(ISBLANK($J37)), IF((ABS($J36-$J38)/$J36)&gt;Constants!$B$31,"variable IC yield","OK"), "")</f>
        <v/>
      </c>
      <c r="E37" s="49" t="e">
        <f>AK37</f>
        <v>#DIV/0!</v>
      </c>
      <c r="F37" s="49" t="e">
        <f>AL37</f>
        <v>#DIV/0!</v>
      </c>
      <c r="G37" s="49" t="e">
        <f>AM37</f>
        <v>#DIV/0!</v>
      </c>
      <c r="H37" s="49" t="e">
        <f>AN37</f>
        <v>#DIV/0!</v>
      </c>
      <c r="I37" s="1"/>
      <c r="J37" s="62"/>
      <c r="K37" s="62"/>
      <c r="L37" s="62"/>
      <c r="M37" s="62"/>
      <c r="N37" s="62"/>
      <c r="O37" s="62"/>
      <c r="P37" s="62"/>
      <c r="Q37" s="62"/>
      <c r="R37" s="62"/>
      <c r="S37" s="62"/>
      <c r="T37" s="62"/>
      <c r="U37" s="62"/>
      <c r="V37" s="62"/>
      <c r="W37" s="62"/>
      <c r="X37" s="62"/>
      <c r="Y37" s="62"/>
      <c r="Z37" s="63"/>
      <c r="AA37" s="63"/>
      <c r="AB37" s="63"/>
      <c r="AD37" s="1" t="e">
        <f t="shared" ref="AD37" si="36">J37*(1-$AE$2*$P37*62415093/$R37)*(1-V37/R37)</f>
        <v>#DIV/0!</v>
      </c>
      <c r="AE37" t="e">
        <f t="shared" si="2"/>
        <v>#DIV/0!</v>
      </c>
      <c r="AF37" s="1" t="e">
        <f t="shared" ref="AF37" si="37">N37*(1-$AE$2*$P37*62415093/$R37)*(1-V37/R37)</f>
        <v>#DIV/0!</v>
      </c>
      <c r="AG37" t="e">
        <f t="shared" si="4"/>
        <v>#DIV/0!</v>
      </c>
      <c r="AH37" s="1"/>
      <c r="AI37" s="1" t="e">
        <f>AD37*Constants!C$22/AVERAGE(AD36,AD38)</f>
        <v>#DIV/0!</v>
      </c>
      <c r="AJ37" s="1" t="e">
        <f>AI37*SQRT((AE37/AD37)^2+((AD36-AD38)/4/AD36)^2+AVERAGE(AE36/AD36,AE38/AD38)^2)</f>
        <v>#DIV/0!</v>
      </c>
      <c r="AK37" s="1" t="e">
        <f>L37*Constants!C$20/AVERAGE(L36,L38)</f>
        <v>#DIV/0!</v>
      </c>
      <c r="AL37" t="e">
        <f>AK37*SQRT(((M37/L37)^2+((L36-L38)/4/L36)^2)+AVERAGE(M36/L36,M38/L38)^2)</f>
        <v>#DIV/0!</v>
      </c>
      <c r="AM37" s="1" t="e">
        <f>AF37*Constants!C$21/AVERAGE(AF36,AF38)</f>
        <v>#DIV/0!</v>
      </c>
      <c r="AN37" s="1" t="e">
        <f>AM37*SQRT(((AG37/AF37)^2+((AF36-AF38)/AF36/4)^2)+AVERAGE(AG36/AF36,AG38/AF38)^2)</f>
        <v>#DIV/0!</v>
      </c>
      <c r="AP37" t="e">
        <f>$K37/$J37</f>
        <v>#DIV/0!</v>
      </c>
      <c r="AQ37" t="e">
        <f>$AE37/$AD37</f>
        <v>#DIV/0!</v>
      </c>
      <c r="AR37" t="e">
        <f>$AJ37/$AI37</f>
        <v>#DIV/0!</v>
      </c>
      <c r="AS37" t="e">
        <f>$O37/$N37</f>
        <v>#DIV/0!</v>
      </c>
      <c r="AT37" t="e">
        <f>$AG37/$AF37</f>
        <v>#DIV/0!</v>
      </c>
      <c r="AU37" t="e">
        <f>$AN37/$AM37</f>
        <v>#DIV/0!</v>
      </c>
      <c r="AW37" s="82" t="e">
        <f>$AP37/$AR37</f>
        <v>#DIV/0!</v>
      </c>
      <c r="AX37" s="82" t="e">
        <f>$AQ37/$AR37-$AW37</f>
        <v>#DIV/0!</v>
      </c>
      <c r="AY37" s="82" t="e">
        <f>$AR37/$AR37-$AX37-$AW37</f>
        <v>#DIV/0!</v>
      </c>
      <c r="AZ37" s="82" t="e">
        <f>$AS37/$AU37</f>
        <v>#DIV/0!</v>
      </c>
      <c r="BA37" s="82" t="e">
        <f>$AT37/$AU37-$AZ37</f>
        <v>#DIV/0!</v>
      </c>
      <c r="BB37" s="82" t="e">
        <f>$AU37/$AU37-$BA37-$AZ37</f>
        <v>#DIV/0!</v>
      </c>
    </row>
    <row r="38" spans="1:54">
      <c r="A38">
        <f t="shared" si="23"/>
        <v>0</v>
      </c>
      <c r="J38" s="62"/>
      <c r="K38" s="62"/>
      <c r="L38" s="62"/>
      <c r="M38" s="62"/>
      <c r="N38" s="62"/>
      <c r="O38" s="62"/>
      <c r="P38" s="62"/>
      <c r="Q38" s="62"/>
      <c r="R38" s="62"/>
      <c r="S38" s="62"/>
      <c r="T38" s="62"/>
      <c r="U38" s="62"/>
      <c r="V38" s="62"/>
      <c r="W38" s="62"/>
      <c r="X38" s="62"/>
      <c r="Y38" s="62"/>
      <c r="Z38" s="63"/>
      <c r="AA38" s="63"/>
      <c r="AB38" s="63"/>
      <c r="AD38" s="1" t="e">
        <f>J38*(1-$AE$2*$P38*62415093/$R38)*(1-V38/R38)</f>
        <v>#DIV/0!</v>
      </c>
      <c r="AE38" t="e">
        <f t="shared" si="2"/>
        <v>#DIV/0!</v>
      </c>
      <c r="AF38" s="1" t="e">
        <f>N38*(1-$AE$2*$P38*62415093/$R38)*(1-V38/R38)</f>
        <v>#DIV/0!</v>
      </c>
      <c r="AG38" t="e">
        <f t="shared" si="4"/>
        <v>#DIV/0!</v>
      </c>
      <c r="AQ38" s="1"/>
      <c r="AR38" s="1"/>
      <c r="AS38" s="1"/>
      <c r="AT38" s="1"/>
      <c r="AU38" s="1"/>
    </row>
    <row r="39" spans="1:54">
      <c r="A39">
        <f t="shared" si="23"/>
        <v>0</v>
      </c>
      <c r="B39" t="str">
        <f>IF(NOT(ISBLANK($J39)), IF($T39&lt;Constants!$B$29,"low spike","OK"), "")</f>
        <v/>
      </c>
      <c r="C39" t="str">
        <f>IF(NOT(ISBLANK($J39)), IF((ABS($L38-$L40)/$L38)&gt;Constants!$B$30,"variable mass bias","OK"), "")</f>
        <v/>
      </c>
      <c r="D39" t="str">
        <f>IF(NOT(ISBLANK($J39)), IF((ABS($J38-$J40)/$J38)&gt;Constants!$B$31,"variable IC yield","OK"), "")</f>
        <v/>
      </c>
      <c r="E39" s="49" t="e">
        <f>AK39</f>
        <v>#DIV/0!</v>
      </c>
      <c r="F39" s="49" t="e">
        <f>AL39</f>
        <v>#DIV/0!</v>
      </c>
      <c r="G39" s="49" t="e">
        <f>AM39</f>
        <v>#DIV/0!</v>
      </c>
      <c r="H39" s="49" t="e">
        <f>AN39</f>
        <v>#DIV/0!</v>
      </c>
      <c r="I39" s="1"/>
      <c r="J39" s="62"/>
      <c r="K39" s="62"/>
      <c r="L39" s="62"/>
      <c r="M39" s="62"/>
      <c r="N39" s="62"/>
      <c r="O39" s="62"/>
      <c r="P39" s="62"/>
      <c r="Q39" s="62"/>
      <c r="R39" s="62"/>
      <c r="S39" s="62"/>
      <c r="T39" s="62"/>
      <c r="U39" s="62"/>
      <c r="V39" s="62"/>
      <c r="W39" s="62"/>
      <c r="X39" s="62"/>
      <c r="Y39" s="62"/>
      <c r="Z39" s="63"/>
      <c r="AA39" s="63"/>
      <c r="AB39" s="63"/>
      <c r="AD39" s="1" t="e">
        <f t="shared" ref="AD39" si="38">J39*(1-$AE$2*$P39*62415093/$R39)*(1-V39/R39)</f>
        <v>#DIV/0!</v>
      </c>
      <c r="AE39" t="e">
        <f t="shared" si="2"/>
        <v>#DIV/0!</v>
      </c>
      <c r="AF39" s="1" t="e">
        <f t="shared" ref="AF39" si="39">N39*(1-$AE$2*$P39*62415093/$R39)*(1-V39/R39)</f>
        <v>#DIV/0!</v>
      </c>
      <c r="AG39" t="e">
        <f t="shared" si="4"/>
        <v>#DIV/0!</v>
      </c>
      <c r="AH39" s="1"/>
      <c r="AI39" s="1" t="e">
        <f>AD39*Constants!C$22/AVERAGE(AD38,AD40)</f>
        <v>#DIV/0!</v>
      </c>
      <c r="AJ39" s="1" t="e">
        <f>AI39*SQRT((AE39/AD39)^2+((AD38-AD40)/4/AD38)^2+AVERAGE(AE38/AD38,AE40/AD40)^2)</f>
        <v>#DIV/0!</v>
      </c>
      <c r="AK39" s="1" t="e">
        <f>L39*Constants!C$20/AVERAGE(L38,L40)</f>
        <v>#DIV/0!</v>
      </c>
      <c r="AL39" t="e">
        <f>AK39*SQRT(((M39/L39)^2+((L38-L40)/4/L38)^2)+AVERAGE(M38/L38,M40/L40)^2)</f>
        <v>#DIV/0!</v>
      </c>
      <c r="AM39" s="1" t="e">
        <f>AF39*Constants!C$21/AVERAGE(AF38,AF40)</f>
        <v>#DIV/0!</v>
      </c>
      <c r="AN39" s="1" t="e">
        <f>AM39*SQRT(((AG39/AF39)^2+((AF38-AF40)/AF38/4)^2)+AVERAGE(AG38/AF38,AG40/AF40)^2)</f>
        <v>#DIV/0!</v>
      </c>
      <c r="AP39" t="e">
        <f>$K39/$J39</f>
        <v>#DIV/0!</v>
      </c>
      <c r="AQ39" t="e">
        <f>$AE39/$AD39</f>
        <v>#DIV/0!</v>
      </c>
      <c r="AR39" t="e">
        <f>$AJ39/$AI39</f>
        <v>#DIV/0!</v>
      </c>
      <c r="AS39" t="e">
        <f>$O39/$N39</f>
        <v>#DIV/0!</v>
      </c>
      <c r="AT39" t="e">
        <f>$AG39/$AF39</f>
        <v>#DIV/0!</v>
      </c>
      <c r="AU39" t="e">
        <f>$AN39/$AM39</f>
        <v>#DIV/0!</v>
      </c>
      <c r="AW39" s="82" t="e">
        <f>$AP39/$AR39</f>
        <v>#DIV/0!</v>
      </c>
      <c r="AX39" s="82" t="e">
        <f>$AQ39/$AR39-$AW39</f>
        <v>#DIV/0!</v>
      </c>
      <c r="AY39" s="82" t="e">
        <f>$AR39/$AR39-$AX39-$AW39</f>
        <v>#DIV/0!</v>
      </c>
      <c r="AZ39" s="82" t="e">
        <f>$AS39/$AU39</f>
        <v>#DIV/0!</v>
      </c>
      <c r="BA39" s="82" t="e">
        <f>$AT39/$AU39-$AZ39</f>
        <v>#DIV/0!</v>
      </c>
      <c r="BB39" s="82" t="e">
        <f>$AU39/$AU39-$BA39-$AZ39</f>
        <v>#DIV/0!</v>
      </c>
    </row>
    <row r="40" spans="1:54">
      <c r="A40">
        <f t="shared" si="23"/>
        <v>0</v>
      </c>
      <c r="J40" s="62"/>
      <c r="K40" s="62"/>
      <c r="L40" s="62"/>
      <c r="M40" s="62"/>
      <c r="N40" s="62"/>
      <c r="O40" s="62"/>
      <c r="P40" s="62"/>
      <c r="Q40" s="62"/>
      <c r="R40" s="62"/>
      <c r="S40" s="62"/>
      <c r="T40" s="62"/>
      <c r="U40" s="62"/>
      <c r="V40" s="62"/>
      <c r="W40" s="62"/>
      <c r="X40" s="62"/>
      <c r="Y40" s="62"/>
      <c r="Z40" s="63"/>
      <c r="AA40" s="63"/>
      <c r="AB40" s="63"/>
      <c r="AD40" s="1" t="e">
        <f>J40*(1-$AE$2*$P40*62415093/$R40)*(1-V40/R40)</f>
        <v>#DIV/0!</v>
      </c>
      <c r="AE40" t="e">
        <f t="shared" si="2"/>
        <v>#DIV/0!</v>
      </c>
      <c r="AF40" s="1" t="e">
        <f>N40*(1-$AE$2*$P40*62415093/$R40)*(1-V40/R40)</f>
        <v>#DIV/0!</v>
      </c>
      <c r="AG40" t="e">
        <f t="shared" si="4"/>
        <v>#DIV/0!</v>
      </c>
      <c r="AQ40" s="1"/>
      <c r="AR40" s="1"/>
      <c r="AS40" s="1"/>
      <c r="AT40" s="1"/>
      <c r="AU40" s="1"/>
    </row>
    <row r="41" spans="1:54">
      <c r="A41">
        <f t="shared" si="23"/>
        <v>0</v>
      </c>
      <c r="B41" t="str">
        <f>IF(NOT(ISBLANK($J41)), IF($T41&lt;Constants!$B$29,"low spike","OK"), "")</f>
        <v/>
      </c>
      <c r="C41" t="str">
        <f>IF(NOT(ISBLANK($J41)), IF((ABS($L40-$L42)/$L40)&gt;Constants!$B$30,"variable mass bias","OK"), "")</f>
        <v/>
      </c>
      <c r="D41" t="str">
        <f>IF(NOT(ISBLANK($J41)), IF((ABS($J40-$J42)/$J40)&gt;Constants!$B$31,"variable IC yield","OK"), "")</f>
        <v/>
      </c>
      <c r="E41" s="49" t="e">
        <f>AK41</f>
        <v>#DIV/0!</v>
      </c>
      <c r="F41" s="49" t="e">
        <f>AL41</f>
        <v>#DIV/0!</v>
      </c>
      <c r="G41" s="49" t="e">
        <f>AM41</f>
        <v>#DIV/0!</v>
      </c>
      <c r="H41" s="49" t="e">
        <f>AN41</f>
        <v>#DIV/0!</v>
      </c>
      <c r="I41" s="1"/>
      <c r="J41" s="62"/>
      <c r="K41" s="62"/>
      <c r="L41" s="62"/>
      <c r="M41" s="62"/>
      <c r="N41" s="62"/>
      <c r="O41" s="62"/>
      <c r="P41" s="62"/>
      <c r="Q41" s="62"/>
      <c r="R41" s="62"/>
      <c r="S41" s="62"/>
      <c r="T41" s="62"/>
      <c r="U41" s="62"/>
      <c r="V41" s="62"/>
      <c r="W41" s="62"/>
      <c r="X41" s="62"/>
      <c r="Y41" s="62"/>
      <c r="Z41" s="63"/>
      <c r="AA41" s="63"/>
      <c r="AB41" s="63"/>
      <c r="AD41" s="1" t="e">
        <f t="shared" ref="AD41" si="40">J41*(1-$AE$2*$P41*62415093/$R41)*(1-V41/R41)</f>
        <v>#DIV/0!</v>
      </c>
      <c r="AE41" t="e">
        <f t="shared" si="2"/>
        <v>#DIV/0!</v>
      </c>
      <c r="AF41" s="1" t="e">
        <f t="shared" ref="AF41" si="41">N41*(1-$AE$2*$P41*62415093/$R41)*(1-V41/R41)</f>
        <v>#DIV/0!</v>
      </c>
      <c r="AG41" t="e">
        <f t="shared" si="4"/>
        <v>#DIV/0!</v>
      </c>
      <c r="AH41" s="1"/>
      <c r="AI41" s="1" t="e">
        <f>AD41*Constants!C$22/AVERAGE(AD40,AD42)</f>
        <v>#DIV/0!</v>
      </c>
      <c r="AJ41" s="1" t="e">
        <f>AI41*SQRT((AE41/AD41)^2+((AD40-AD42)/4/AD40)^2+AVERAGE(AE40/AD40,AE42/AD42)^2)</f>
        <v>#DIV/0!</v>
      </c>
      <c r="AK41" s="1" t="e">
        <f>L41*Constants!C$20/AVERAGE(L40,L42)</f>
        <v>#DIV/0!</v>
      </c>
      <c r="AL41" t="e">
        <f>AK41*SQRT(((M41/L41)^2+((L40-L42)/4/L40)^2)+AVERAGE(M40/L40,M42/L42)^2)</f>
        <v>#DIV/0!</v>
      </c>
      <c r="AM41" s="1" t="e">
        <f>AF41*Constants!C$21/AVERAGE(AF40,AF42)</f>
        <v>#DIV/0!</v>
      </c>
      <c r="AN41" s="1" t="e">
        <f>AM41*SQRT(((AG41/AF41)^2+((AF40-AF42)/AF40/4)^2)+AVERAGE(AG40/AF40,AG42/AF42)^2)</f>
        <v>#DIV/0!</v>
      </c>
      <c r="AP41" t="e">
        <f>$K41/$J41</f>
        <v>#DIV/0!</v>
      </c>
      <c r="AQ41" t="e">
        <f>$AE41/$AD41</f>
        <v>#DIV/0!</v>
      </c>
      <c r="AR41" t="e">
        <f>$AJ41/$AI41</f>
        <v>#DIV/0!</v>
      </c>
      <c r="AS41" t="e">
        <f>$O41/$N41</f>
        <v>#DIV/0!</v>
      </c>
      <c r="AT41" t="e">
        <f>$AG41/$AF41</f>
        <v>#DIV/0!</v>
      </c>
      <c r="AU41" t="e">
        <f>$AN41/$AM41</f>
        <v>#DIV/0!</v>
      </c>
      <c r="AW41" s="82" t="e">
        <f>$AP41/$AR41</f>
        <v>#DIV/0!</v>
      </c>
      <c r="AX41" s="82" t="e">
        <f>$AQ41/$AR41-$AW41</f>
        <v>#DIV/0!</v>
      </c>
      <c r="AY41" s="82" t="e">
        <f>$AR41/$AR41-$AX41-$AW41</f>
        <v>#DIV/0!</v>
      </c>
      <c r="AZ41" s="82" t="e">
        <f>$AS41/$AU41</f>
        <v>#DIV/0!</v>
      </c>
      <c r="BA41" s="82" t="e">
        <f>$AT41/$AU41-$AZ41</f>
        <v>#DIV/0!</v>
      </c>
      <c r="BB41" s="82" t="e">
        <f>$AU41/$AU41-$BA41-$AZ41</f>
        <v>#DIV/0!</v>
      </c>
    </row>
    <row r="42" spans="1:54">
      <c r="A42">
        <f t="shared" si="23"/>
        <v>0</v>
      </c>
      <c r="J42" s="62"/>
      <c r="K42" s="62"/>
      <c r="L42" s="62"/>
      <c r="M42" s="62"/>
      <c r="N42" s="62"/>
      <c r="O42" s="62"/>
      <c r="P42" s="62"/>
      <c r="Q42" s="62"/>
      <c r="R42" s="62"/>
      <c r="S42" s="62"/>
      <c r="T42" s="62"/>
      <c r="U42" s="62"/>
      <c r="V42" s="62"/>
      <c r="W42" s="62"/>
      <c r="X42" s="62"/>
      <c r="Y42" s="62"/>
      <c r="Z42" s="63"/>
      <c r="AA42" s="63"/>
      <c r="AB42" s="63"/>
      <c r="AD42" s="1" t="e">
        <f>J42*(1-$AE$2*$P42*62415093/$R42)*(1-V42/R42)</f>
        <v>#DIV/0!</v>
      </c>
      <c r="AE42" t="e">
        <f t="shared" si="2"/>
        <v>#DIV/0!</v>
      </c>
      <c r="AF42" s="1" t="e">
        <f>N42*(1-$AE$2*$P42*62415093/$R42)*(1-V42/R42)</f>
        <v>#DIV/0!</v>
      </c>
      <c r="AG42" t="e">
        <f t="shared" si="4"/>
        <v>#DIV/0!</v>
      </c>
      <c r="AQ42" s="1"/>
      <c r="AR42" s="1"/>
      <c r="AS42" s="1"/>
      <c r="AT42" s="1"/>
      <c r="AU42" s="1"/>
    </row>
    <row r="43" spans="1:54">
      <c r="A43">
        <f t="shared" si="23"/>
        <v>0</v>
      </c>
      <c r="B43" t="str">
        <f>IF(NOT(ISBLANK($J43)), IF($T43&lt;Constants!$B$29,"low spike","OK"), "")</f>
        <v/>
      </c>
      <c r="C43" t="str">
        <f>IF(NOT(ISBLANK($J43)), IF((ABS($L42-$L44)/$L42)&gt;Constants!$B$30,"variable mass bias","OK"), "")</f>
        <v/>
      </c>
      <c r="D43" t="str">
        <f>IF(NOT(ISBLANK($J43)), IF((ABS($J42-$J44)/$J42)&gt;Constants!$B$31,"variable IC yield","OK"), "")</f>
        <v/>
      </c>
      <c r="E43" s="49" t="e">
        <f>AK43</f>
        <v>#DIV/0!</v>
      </c>
      <c r="F43" s="49" t="e">
        <f>AL43</f>
        <v>#DIV/0!</v>
      </c>
      <c r="G43" s="49" t="e">
        <f>AM43</f>
        <v>#DIV/0!</v>
      </c>
      <c r="H43" s="49" t="e">
        <f>AN43</f>
        <v>#DIV/0!</v>
      </c>
      <c r="I43" s="1"/>
      <c r="J43" s="62"/>
      <c r="K43" s="62"/>
      <c r="L43" s="62"/>
      <c r="M43" s="62"/>
      <c r="N43" s="62"/>
      <c r="O43" s="62"/>
      <c r="P43" s="62"/>
      <c r="Q43" s="62"/>
      <c r="R43" s="62"/>
      <c r="S43" s="62"/>
      <c r="T43" s="62"/>
      <c r="U43" s="62"/>
      <c r="V43" s="62"/>
      <c r="W43" s="62"/>
      <c r="X43" s="62"/>
      <c r="Y43" s="62"/>
      <c r="Z43" s="63"/>
      <c r="AA43" s="63"/>
      <c r="AB43" s="63"/>
      <c r="AD43" s="1" t="e">
        <f t="shared" ref="AD43" si="42">J43*(1-$AE$2*$P43*62415093/$R43)*(1-V43/R43)</f>
        <v>#DIV/0!</v>
      </c>
      <c r="AE43" t="e">
        <f t="shared" si="2"/>
        <v>#DIV/0!</v>
      </c>
      <c r="AF43" s="1" t="e">
        <f t="shared" ref="AF43" si="43">N43*(1-$AE$2*$P43*62415093/$R43)*(1-V43/R43)</f>
        <v>#DIV/0!</v>
      </c>
      <c r="AG43" t="e">
        <f t="shared" si="4"/>
        <v>#DIV/0!</v>
      </c>
      <c r="AH43" s="1"/>
      <c r="AI43" s="1" t="e">
        <f>AD43*Constants!C$22/AVERAGE(AD42,AD44)</f>
        <v>#DIV/0!</v>
      </c>
      <c r="AJ43" s="1" t="e">
        <f>AI43*SQRT((AE43/AD43)^2+((AD42-AD44)/4/AD42)^2+AVERAGE(AE42/AD42,AE44/AD44)^2)</f>
        <v>#DIV/0!</v>
      </c>
      <c r="AK43" s="1" t="e">
        <f>L43*Constants!C$20/AVERAGE(L42,L44)</f>
        <v>#DIV/0!</v>
      </c>
      <c r="AL43" t="e">
        <f>AK43*SQRT(((M43/L43)^2+((L42-L44)/4/L42)^2)+AVERAGE(M42/L42,M44/L44)^2)</f>
        <v>#DIV/0!</v>
      </c>
      <c r="AM43" s="1" t="e">
        <f>AF43*Constants!C$21/AVERAGE(AF42,AF44)</f>
        <v>#DIV/0!</v>
      </c>
      <c r="AN43" s="1" t="e">
        <f>AM43*SQRT(((AG43/AF43)^2+((AF42-AF44)/AF42/4)^2)+AVERAGE(AG42/AF42,AG44/AF44)^2)</f>
        <v>#DIV/0!</v>
      </c>
      <c r="AP43" t="e">
        <f>$K43/$J43</f>
        <v>#DIV/0!</v>
      </c>
      <c r="AQ43" t="e">
        <f>$AE43/$AD43</f>
        <v>#DIV/0!</v>
      </c>
      <c r="AR43" t="e">
        <f>$AJ43/$AI43</f>
        <v>#DIV/0!</v>
      </c>
      <c r="AS43" t="e">
        <f>$O43/$N43</f>
        <v>#DIV/0!</v>
      </c>
      <c r="AT43" t="e">
        <f>$AG43/$AF43</f>
        <v>#DIV/0!</v>
      </c>
      <c r="AU43" t="e">
        <f>$AN43/$AM43</f>
        <v>#DIV/0!</v>
      </c>
      <c r="AW43" s="82" t="e">
        <f>$AP43/$AR43</f>
        <v>#DIV/0!</v>
      </c>
      <c r="AX43" s="82" t="e">
        <f>$AQ43/$AR43-$AW43</f>
        <v>#DIV/0!</v>
      </c>
      <c r="AY43" s="82" t="e">
        <f>$AR43/$AR43-$AX43-$AW43</f>
        <v>#DIV/0!</v>
      </c>
      <c r="AZ43" s="82" t="e">
        <f>$AS43/$AU43</f>
        <v>#DIV/0!</v>
      </c>
      <c r="BA43" s="82" t="e">
        <f>$AT43/$AU43-$AZ43</f>
        <v>#DIV/0!</v>
      </c>
      <c r="BB43" s="82" t="e">
        <f>$AU43/$AU43-$BA43-$AZ43</f>
        <v>#DIV/0!</v>
      </c>
    </row>
    <row r="44" spans="1:54">
      <c r="A44">
        <f t="shared" si="23"/>
        <v>0</v>
      </c>
      <c r="J44" s="62"/>
      <c r="K44" s="62"/>
      <c r="L44" s="62"/>
      <c r="M44" s="62"/>
      <c r="N44" s="62"/>
      <c r="O44" s="62"/>
      <c r="P44" s="62"/>
      <c r="Q44" s="62"/>
      <c r="R44" s="62"/>
      <c r="S44" s="62"/>
      <c r="T44" s="62"/>
      <c r="U44" s="62"/>
      <c r="V44" s="62"/>
      <c r="W44" s="62"/>
      <c r="X44" s="62"/>
      <c r="Y44" s="62"/>
      <c r="Z44" s="63"/>
      <c r="AA44" s="63"/>
      <c r="AB44" s="63"/>
      <c r="AD44" s="1" t="e">
        <f>J44*(1-$AE$2*$P44*62415093/$R44)*(1-V44/R44)</f>
        <v>#DIV/0!</v>
      </c>
      <c r="AE44" t="e">
        <f t="shared" si="2"/>
        <v>#DIV/0!</v>
      </c>
      <c r="AF44" s="1" t="e">
        <f>N44*(1-$AE$2*$P44*62415093/$R44)*(1-V44/R44)</f>
        <v>#DIV/0!</v>
      </c>
      <c r="AG44" t="e">
        <f t="shared" si="4"/>
        <v>#DIV/0!</v>
      </c>
      <c r="AQ44" s="1"/>
      <c r="AR44" s="1"/>
      <c r="AS44" s="1"/>
      <c r="AT44" s="1"/>
      <c r="AU44" s="1"/>
    </row>
    <row r="45" spans="1:54">
      <c r="V45" s="1"/>
      <c r="AI45" s="1"/>
      <c r="AJ45" s="1"/>
      <c r="AK45" s="1"/>
      <c r="AL45" s="1"/>
      <c r="AM45" s="1"/>
      <c r="AN45" s="1"/>
    </row>
    <row r="46" spans="1:54">
      <c r="V46" s="1"/>
    </row>
    <row r="47" spans="1:54">
      <c r="V47" s="1"/>
      <c r="AI47" s="1"/>
    </row>
    <row r="48" spans="1:54">
      <c r="V48" s="1"/>
    </row>
    <row r="49" spans="22:22">
      <c r="V49" s="1"/>
    </row>
    <row r="50" spans="22:22">
      <c r="V50" s="1"/>
    </row>
    <row r="51" spans="22:22">
      <c r="V51" s="1"/>
    </row>
    <row r="52" spans="22:22">
      <c r="V52" s="1"/>
    </row>
    <row r="53" spans="22:22">
      <c r="V53" s="1"/>
    </row>
  </sheetData>
  <sortState xmlns:xlrd2="http://schemas.microsoft.com/office/spreadsheetml/2017/richdata2" ref="J2:AB58">
    <sortCondition ref="AB2:AB58"/>
  </sortState>
  <mergeCells count="4">
    <mergeCell ref="AP2:AR2"/>
    <mergeCell ref="AS2:AU2"/>
    <mergeCell ref="AW2:AY2"/>
    <mergeCell ref="AZ2:BB2"/>
  </mergeCells>
  <conditionalFormatting sqref="P4:P1000">
    <cfRule type="expression" dxfId="16" priority="1">
      <formula>AND(NOT(ISBLANK($J4)), (IF($P4=INT($P4),0,LEN(MID($P4-INT($P4),FIND(".",$P4,1),LEN($P4)-FIND(".",$P4,1)))))&lt;4)</formula>
    </cfRule>
  </conditionalFormatting>
  <conditionalFormatting sqref="Q4:Q1000">
    <cfRule type="expression" dxfId="14" priority="3">
      <formula>AND(NOT(ISBLANK($B4)),Q4/P4&gt;0.01)</formula>
    </cfRule>
  </conditionalFormatting>
  <pageMargins left="0.75" right="0.75" top="1" bottom="1" header="0.5" footer="0.5"/>
  <pageSetup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881" id="{EF861D9F-1248-384C-9148-358902464D2F}">
            <xm:f>AND(NOT(ISBLANK($B4)),P4&gt;Constants!$B$42)</xm:f>
            <x14:dxf>
              <font>
                <color rgb="FF9C6500"/>
              </font>
              <fill>
                <patternFill>
                  <bgColor rgb="FFFFEB9C"/>
                </patternFill>
              </fill>
            </x14:dxf>
          </x14:cfRule>
          <xm:sqref>P4:P1000</xm:sqref>
        </x14:conditionalFormatting>
        <x14:conditionalFormatting xmlns:xm="http://schemas.microsoft.com/office/excel/2006/main">
          <x14:cfRule type="expression" priority="2" id="{E29CB425-543E-514F-A9FD-5BE4DAF95BEA}">
            <xm:f>AND(NOT(ISBLANK($B4)), NOT(ISBLANK($J4)), R4&lt;Constants!$B$45)</xm:f>
            <x14:dxf>
              <font>
                <color rgb="FF9C0006"/>
              </font>
              <fill>
                <patternFill>
                  <bgColor rgb="FFFFC7CE"/>
                </patternFill>
              </fill>
            </x14:dxf>
          </x14:cfRule>
          <x14:cfRule type="expression" priority="291" id="{871D82B0-8B09-F04F-A458-E9241B354CF8}">
            <xm:f>AND(NOT(ISBLANK($B4)),R4&gt;Constants!$B$44)</xm:f>
            <x14:dxf>
              <font>
                <color rgb="FF9C6500"/>
              </font>
              <fill>
                <patternFill>
                  <bgColor rgb="FFFFEB9C"/>
                </patternFill>
              </fill>
            </x14:dxf>
          </x14:cfRule>
          <xm:sqref>R4:R1000</xm:sqref>
        </x14:conditionalFormatting>
        <x14:conditionalFormatting xmlns:xm="http://schemas.microsoft.com/office/excel/2006/main">
          <x14:cfRule type="expression" priority="878" id="{7E656B99-BFF7-774B-BA45-FCFC00E94FDE}">
            <xm:f>AND(NOT(ISBLANK($B4)), NOT(ISBLANK($J4)), T4&lt;Constants!$B$47)</xm:f>
            <x14:dxf>
              <font>
                <color rgb="FF9C0006"/>
              </font>
              <fill>
                <patternFill>
                  <bgColor rgb="FFFFC7CE"/>
                </patternFill>
              </fill>
            </x14:dxf>
          </x14:cfRule>
          <x14:cfRule type="expression" priority="879" id="{86164A7E-0B6C-6C4D-9907-4510F7A106A5}">
            <xm:f>AND(NOT(ISBLANK($B4)),T4&gt;Constants!$B$46)</xm:f>
            <x14:dxf>
              <font>
                <color rgb="FF9C6500"/>
              </font>
              <fill>
                <patternFill>
                  <bgColor rgb="FFFFEB9C"/>
                </patternFill>
              </fill>
            </x14:dxf>
          </x14:cfRule>
          <xm:sqref>T4:T1000</xm:sqref>
        </x14:conditionalFormatting>
        <x14:conditionalFormatting xmlns:xm="http://schemas.microsoft.com/office/excel/2006/main">
          <x14:cfRule type="expression" priority="10" id="{BD871942-D6F0-7449-BC6A-460F0E502567}">
            <xm:f>AND(NOT(ISBLANK($B4)),AQ4&gt;(Constants!$B$38*AP4),(AQ4-AP4)&gt;Constants!$B$37)</xm:f>
            <x14:dxf>
              <font>
                <color rgb="FF9C0006"/>
              </font>
              <fill>
                <patternFill>
                  <bgColor rgb="FFFFC7CE"/>
                </patternFill>
              </fill>
            </x14:dxf>
          </x14:cfRule>
          <x14:cfRule type="expression" priority="11" id="{81240E6D-CD94-BA41-BE99-630D3EC6DF32}">
            <xm:f>AND(NOT(ISBLANK($B4)),AQ4&gt;(Constants!$B$38*AP4))</xm:f>
            <x14:dxf>
              <font>
                <color rgb="FF9C6500"/>
              </font>
              <fill>
                <patternFill>
                  <bgColor rgb="FFFFEB9C"/>
                </patternFill>
              </fill>
            </x14:dxf>
          </x14:cfRule>
          <x14:cfRule type="expression" priority="12" id="{DB9BE3E1-8D3F-A64F-BA78-5DB18212CDC2}">
            <xm:f>AND(NOT(ISBLANK($B4)),(AQ4-AP4)&gt;Constants!$B$37)</xm:f>
            <x14:dxf>
              <font>
                <color rgb="FF006100"/>
              </font>
              <fill>
                <patternFill>
                  <bgColor rgb="FFC6EFCE"/>
                </patternFill>
              </fill>
            </x14:dxf>
          </x14:cfRule>
          <xm:sqref>AQ4:AR1000</xm:sqref>
        </x14:conditionalFormatting>
        <x14:conditionalFormatting xmlns:xm="http://schemas.microsoft.com/office/excel/2006/main">
          <x14:cfRule type="expression" priority="13" id="{8E2A3189-3287-9A4A-90FE-D14C9DFA2E89}">
            <xm:f>AND(NOT(ISBLANK(B5)),AR5&gt;(Constants!$B$38*AQ5),(AR5-AQ5)&gt;Constants!$B$37)</xm:f>
            <x14:dxf>
              <font>
                <color rgb="FF9C0006"/>
              </font>
              <fill>
                <patternFill>
                  <bgColor rgb="FFFFC7CE"/>
                </patternFill>
              </fill>
            </x14:dxf>
          </x14:cfRule>
          <x14:cfRule type="expression" priority="15" id="{069C5E89-77CD-AB4F-B109-7C367E52547F}">
            <xm:f>AND(NOT(ISBLANK(B5)),AR5&gt;(Constants!$B$38*AQ5))</xm:f>
            <x14:dxf>
              <font>
                <color rgb="FF9C6500"/>
              </font>
              <fill>
                <patternFill>
                  <bgColor rgb="FFFFEB9C"/>
                </patternFill>
              </fill>
            </x14:dxf>
          </x14:cfRule>
          <x14:cfRule type="expression" priority="17" id="{EB4CD11B-4043-0640-BA98-EB4DF1B16716}">
            <xm:f>AND(NOT(ISBLANK(B5)),(AR5-AQ5)&gt;Constants!$B$37)</xm:f>
            <x14:dxf>
              <font>
                <color rgb="FF006100"/>
              </font>
              <fill>
                <patternFill>
                  <bgColor rgb="FFC6EFCE"/>
                </patternFill>
              </fill>
            </x14:dxf>
          </x14:cfRule>
          <xm:sqref>AR5:AR1000</xm:sqref>
        </x14:conditionalFormatting>
        <x14:conditionalFormatting xmlns:xm="http://schemas.microsoft.com/office/excel/2006/main">
          <x14:cfRule type="expression" priority="4" id="{FE0993F2-2B05-D948-9F05-685307B8305D}">
            <xm:f>AND(NOT(ISBLANK($B4)),AT4&gt;(Constants!$B$38*AS4),(AT4-AS4)&gt;Constants!$B$37)</xm:f>
            <x14:dxf>
              <font>
                <color rgb="FF9C0006"/>
              </font>
              <fill>
                <patternFill>
                  <bgColor rgb="FFFFC7CE"/>
                </patternFill>
              </fill>
            </x14:dxf>
          </x14:cfRule>
          <x14:cfRule type="expression" priority="5" id="{71A50003-C95D-0645-BF8D-84D883E97280}">
            <xm:f>AND(NOT(ISBLANK($B4)),AT4&gt;(Constants!$B$38*AS4))</xm:f>
            <x14:dxf>
              <font>
                <color rgb="FF9C6500"/>
              </font>
              <fill>
                <patternFill>
                  <bgColor rgb="FFFFEB9C"/>
                </patternFill>
              </fill>
            </x14:dxf>
          </x14:cfRule>
          <x14:cfRule type="expression" priority="6" id="{57451472-0FA7-A140-AF9D-23442A3898F8}">
            <xm:f>AND(NOT(ISBLANK($B4)),(AT4-AS4)&gt;Constants!$B$37)</xm:f>
            <x14:dxf>
              <font>
                <color rgb="FF006100"/>
              </font>
              <fill>
                <patternFill>
                  <bgColor rgb="FFC6EFCE"/>
                </patternFill>
              </fill>
            </x14:dxf>
          </x14:cfRule>
          <xm:sqref>AT4:AU1000</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54"/>
  <sheetViews>
    <sheetView topLeftCell="B4" workbookViewId="0">
      <selection activeCell="N21" sqref="N21"/>
    </sheetView>
  </sheetViews>
  <sheetFormatPr defaultColWidth="11" defaultRowHeight="15.75"/>
  <cols>
    <col min="1" max="1" width="28" customWidth="1"/>
    <col min="13" max="14" width="11.875" bestFit="1" customWidth="1"/>
  </cols>
  <sheetData>
    <row r="1" spans="1:11">
      <c r="A1" s="3" t="s">
        <v>22</v>
      </c>
      <c r="B1" s="4"/>
      <c r="C1" s="5" t="s">
        <v>23</v>
      </c>
      <c r="D1" s="5"/>
    </row>
    <row r="2" spans="1:11">
      <c r="A2" s="10" t="s">
        <v>25</v>
      </c>
      <c r="B2" s="11">
        <v>238.05078499999999</v>
      </c>
      <c r="C2" s="12" t="s">
        <v>26</v>
      </c>
      <c r="D2" s="13">
        <v>1.5512499999999999E-10</v>
      </c>
    </row>
    <row r="3" spans="1:11">
      <c r="A3" s="10" t="s">
        <v>34</v>
      </c>
      <c r="B3" s="11">
        <v>236.04556299999999</v>
      </c>
      <c r="C3" s="13"/>
    </row>
    <row r="4" spans="1:11">
      <c r="A4" s="10" t="s">
        <v>36</v>
      </c>
      <c r="B4" s="11">
        <v>235.043924</v>
      </c>
      <c r="C4" s="13"/>
    </row>
    <row r="5" spans="1:11">
      <c r="A5" s="10" t="s">
        <v>38</v>
      </c>
      <c r="B5" s="11">
        <v>234.04094699999999</v>
      </c>
      <c r="C5" s="12" t="s">
        <v>39</v>
      </c>
      <c r="D5" s="13">
        <v>2.8220605500000003E-6</v>
      </c>
    </row>
    <row r="6" spans="1:11">
      <c r="A6" s="10" t="s">
        <v>43</v>
      </c>
      <c r="B6" s="11">
        <v>233.03962899999999</v>
      </c>
      <c r="C6" s="13"/>
      <c r="D6" s="13"/>
    </row>
    <row r="7" spans="1:11">
      <c r="A7" s="10" t="s">
        <v>46</v>
      </c>
      <c r="B7" s="13">
        <v>232.0380553</v>
      </c>
      <c r="C7" s="12" t="s">
        <v>47</v>
      </c>
      <c r="D7" s="13">
        <v>4.9475000000000002E-11</v>
      </c>
    </row>
    <row r="8" spans="1:11">
      <c r="A8" s="10" t="s">
        <v>49</v>
      </c>
      <c r="B8" s="13">
        <v>230.0331338</v>
      </c>
      <c r="C8" s="12" t="s">
        <v>50</v>
      </c>
      <c r="D8" s="13">
        <v>9.170520780000001E-6</v>
      </c>
    </row>
    <row r="9" spans="1:11" ht="16.149999999999999" thickBot="1">
      <c r="A9" s="25" t="s">
        <v>53</v>
      </c>
      <c r="B9" s="26">
        <v>229.03176199999999</v>
      </c>
      <c r="C9" s="26"/>
      <c r="D9" s="26"/>
    </row>
    <row r="10" spans="1:11" ht="16.149999999999999" thickBot="1"/>
    <row r="11" spans="1:11">
      <c r="A11" s="6" t="s">
        <v>24</v>
      </c>
      <c r="B11" s="7"/>
      <c r="C11" s="8"/>
      <c r="D11" s="8"/>
      <c r="E11" s="8"/>
      <c r="F11" s="8"/>
      <c r="G11" s="8"/>
      <c r="H11" s="9"/>
    </row>
    <row r="12" spans="1:11">
      <c r="A12" s="14"/>
      <c r="B12" t="s">
        <v>27</v>
      </c>
      <c r="C12" s="1" t="s">
        <v>28</v>
      </c>
      <c r="D12" t="s">
        <v>29</v>
      </c>
      <c r="E12" t="s">
        <v>30</v>
      </c>
      <c r="F12" t="s">
        <v>31</v>
      </c>
      <c r="G12" t="s">
        <v>32</v>
      </c>
      <c r="H12" s="15" t="s">
        <v>33</v>
      </c>
      <c r="I12" t="s">
        <v>3</v>
      </c>
      <c r="J12" t="s">
        <v>204</v>
      </c>
      <c r="K12" t="s">
        <v>205</v>
      </c>
    </row>
    <row r="13" spans="1:11">
      <c r="A13" s="14" t="s">
        <v>35</v>
      </c>
      <c r="B13">
        <v>2.8418008370340747E-4</v>
      </c>
      <c r="C13" s="1">
        <v>4.3656412515058804E-5</v>
      </c>
      <c r="D13">
        <v>3.57E-4</v>
      </c>
      <c r="E13">
        <v>3.5688899585084996E-3</v>
      </c>
      <c r="F13">
        <v>5.6890791927183131E-5</v>
      </c>
      <c r="G13">
        <v>0.37247099665446171</v>
      </c>
      <c r="H13" s="16">
        <f>G13*J13</f>
        <v>6.9216754520917103</v>
      </c>
      <c r="I13">
        <v>0.98129648892116261</v>
      </c>
      <c r="J13">
        <v>18.583125972927476</v>
      </c>
      <c r="K13">
        <v>1.7442466578521214E-2</v>
      </c>
    </row>
    <row r="14" spans="1:11" ht="16.149999999999999" thickBot="1">
      <c r="A14" s="17" t="s">
        <v>37</v>
      </c>
      <c r="B14" s="18">
        <v>1.7545077788293085E-4</v>
      </c>
      <c r="C14" s="19">
        <v>4.3055569043463493E-5</v>
      </c>
      <c r="D14" s="77">
        <v>3.6000000000000002E-4</v>
      </c>
      <c r="E14" s="18">
        <v>1.1950837132982323E-3</v>
      </c>
      <c r="F14" s="18">
        <v>5.3835042409610378E-5</v>
      </c>
      <c r="G14" s="18">
        <v>0.32920668495576472</v>
      </c>
      <c r="H14" s="20">
        <f>G14*J14</f>
        <v>2.4228595919861906</v>
      </c>
      <c r="I14">
        <v>0.98129648892116261</v>
      </c>
      <c r="J14">
        <v>7.3596913510785749</v>
      </c>
      <c r="K14">
        <v>5.6732610254575369E-3</v>
      </c>
    </row>
    <row r="15" spans="1:11" ht="16.149999999999999" thickBot="1"/>
    <row r="16" spans="1:11">
      <c r="A16" s="6" t="s">
        <v>40</v>
      </c>
      <c r="B16" s="8"/>
      <c r="C16" s="8" t="s">
        <v>41</v>
      </c>
      <c r="D16" s="9" t="s">
        <v>42</v>
      </c>
    </row>
    <row r="17" spans="1:14">
      <c r="A17" s="21" t="s">
        <v>44</v>
      </c>
      <c r="B17" t="s">
        <v>45</v>
      </c>
      <c r="C17">
        <v>18920.8</v>
      </c>
      <c r="D17" s="22">
        <v>2.7</v>
      </c>
    </row>
    <row r="18" spans="1:14">
      <c r="A18" s="21" t="s">
        <v>44</v>
      </c>
      <c r="B18" t="s">
        <v>48</v>
      </c>
      <c r="C18">
        <v>137.82900000000001</v>
      </c>
      <c r="D18" s="23">
        <v>1.0999999999999999E-2</v>
      </c>
    </row>
    <row r="19" spans="1:14" ht="16.149999999999999" thickBot="1">
      <c r="A19" s="21" t="s">
        <v>51</v>
      </c>
      <c r="B19" t="s">
        <v>52</v>
      </c>
      <c r="C19">
        <v>0.98129648892116261</v>
      </c>
      <c r="D19" s="24">
        <v>1.4999999999999999E-4</v>
      </c>
    </row>
    <row r="20" spans="1:14">
      <c r="A20" s="21" t="s">
        <v>293</v>
      </c>
      <c r="B20" t="s">
        <v>55</v>
      </c>
      <c r="C20" s="27">
        <f>IF($A20="MITh-1",H20,IF(A20="MITh-2",M20,"Please choose 'MITh-1' or 'MITh-2'"))</f>
        <v>13.401493237828435</v>
      </c>
      <c r="D20" s="28">
        <f>IF($A20="MITh-1",I20,IF($A20="MITh-2",N20,"Please choose 'MITh-1' or 'MITh-2'"))</f>
        <v>2.3386571119731001E-3</v>
      </c>
      <c r="F20" s="6" t="s">
        <v>54</v>
      </c>
      <c r="G20" s="8" t="s">
        <v>55</v>
      </c>
      <c r="H20" s="89">
        <v>12.397618073078737</v>
      </c>
      <c r="I20" s="90">
        <v>2.0332863977446107E-3</v>
      </c>
      <c r="K20" s="6" t="s">
        <v>293</v>
      </c>
      <c r="L20" s="8" t="s">
        <v>55</v>
      </c>
      <c r="M20" s="8">
        <v>13.401493237828435</v>
      </c>
      <c r="N20" s="9">
        <v>2.3386571119731001E-3</v>
      </c>
    </row>
    <row r="21" spans="1:14" ht="16.149999999999999" thickBot="1">
      <c r="A21" s="21"/>
      <c r="B21" t="s">
        <v>56</v>
      </c>
      <c r="C21" s="27">
        <f>IF($A20="MITh-1",H21,IF(A20="MITh-2",M21,"Please choose 'MITh-1' or 'MITh-2'"))</f>
        <v>4.9678648462572098E-2</v>
      </c>
      <c r="D21" s="28">
        <f>IF($A20="MITh-1",I21,IF($A20="MITh-2",N21,"Please choose 'MITh-1' or 'MITh-2'"))</f>
        <v>6.2828101662080203E-6</v>
      </c>
      <c r="F21" s="29" t="s">
        <v>54</v>
      </c>
      <c r="G21" s="18" t="s">
        <v>56</v>
      </c>
      <c r="H21" s="30">
        <v>5.0378085319018905E-2</v>
      </c>
      <c r="I21" s="31">
        <v>4.3986826907533244E-6</v>
      </c>
      <c r="K21" s="29" t="s">
        <v>293</v>
      </c>
      <c r="L21" s="18" t="s">
        <v>56</v>
      </c>
      <c r="M21" s="18">
        <v>4.9678648462572098E-2</v>
      </c>
      <c r="N21" s="98">
        <v>6.2828101662080203E-6</v>
      </c>
    </row>
    <row r="22" spans="1:14" ht="16.149999999999999" thickBot="1">
      <c r="A22" s="29"/>
      <c r="B22" s="18" t="s">
        <v>84</v>
      </c>
      <c r="C22" s="30">
        <f>C21/C20</f>
        <v>3.7069487392900387E-3</v>
      </c>
      <c r="D22" s="20"/>
    </row>
    <row r="24" spans="1:14">
      <c r="A24" s="2" t="s">
        <v>117</v>
      </c>
    </row>
    <row r="25" spans="1:14">
      <c r="A25" t="s">
        <v>57</v>
      </c>
      <c r="B25" s="1">
        <v>2.2917410000000001E-6</v>
      </c>
    </row>
    <row r="26" spans="1:14">
      <c r="A26" t="s">
        <v>118</v>
      </c>
      <c r="B26" s="1">
        <f>Instructions!D21</f>
        <v>6.3883454641536821E-7</v>
      </c>
      <c r="C26" t="s">
        <v>289</v>
      </c>
    </row>
    <row r="27" spans="1:14">
      <c r="B27" s="1"/>
    </row>
    <row r="28" spans="1:14">
      <c r="A28" s="2" t="s">
        <v>249</v>
      </c>
      <c r="B28" s="1"/>
    </row>
    <row r="29" spans="1:14">
      <c r="A29" t="s">
        <v>214</v>
      </c>
      <c r="B29">
        <v>0.01</v>
      </c>
      <c r="C29" t="s">
        <v>220</v>
      </c>
    </row>
    <row r="30" spans="1:14">
      <c r="A30" t="s">
        <v>215</v>
      </c>
      <c r="B30">
        <v>5.0000000000000001E-4</v>
      </c>
      <c r="C30" t="s">
        <v>224</v>
      </c>
    </row>
    <row r="31" spans="1:14">
      <c r="A31" t="s">
        <v>216</v>
      </c>
      <c r="B31">
        <v>4.0000000000000001E-3</v>
      </c>
      <c r="C31" t="s">
        <v>224</v>
      </c>
    </row>
    <row r="32" spans="1:14">
      <c r="A32" t="s">
        <v>217</v>
      </c>
      <c r="B32">
        <v>0.03</v>
      </c>
      <c r="C32" t="s">
        <v>220</v>
      </c>
    </row>
    <row r="33" spans="1:4">
      <c r="A33" t="s">
        <v>218</v>
      </c>
      <c r="B33">
        <v>5.0000000000000001E-4</v>
      </c>
      <c r="C33" t="s">
        <v>224</v>
      </c>
    </row>
    <row r="34" spans="1:4">
      <c r="A34" t="s">
        <v>219</v>
      </c>
      <c r="B34">
        <v>4.0000000000000001E-3</v>
      </c>
      <c r="C34" t="s">
        <v>224</v>
      </c>
    </row>
    <row r="36" spans="1:4">
      <c r="A36" s="2" t="s">
        <v>250</v>
      </c>
    </row>
    <row r="37" spans="1:4">
      <c r="A37" s="79" t="s">
        <v>232</v>
      </c>
      <c r="B37">
        <v>1E-3</v>
      </c>
      <c r="C37" t="s">
        <v>224</v>
      </c>
    </row>
    <row r="38" spans="1:4">
      <c r="A38" s="80" t="s">
        <v>233</v>
      </c>
      <c r="B38">
        <v>1.5</v>
      </c>
      <c r="C38" t="s">
        <v>231</v>
      </c>
    </row>
    <row r="39" spans="1:4">
      <c r="A39" s="81" t="s">
        <v>234</v>
      </c>
      <c r="C39" t="s">
        <v>251</v>
      </c>
    </row>
    <row r="41" spans="1:4">
      <c r="A41" s="2" t="s">
        <v>252</v>
      </c>
    </row>
    <row r="42" spans="1:4">
      <c r="A42" s="80" t="s">
        <v>256</v>
      </c>
      <c r="B42">
        <v>50</v>
      </c>
      <c r="C42" t="s">
        <v>220</v>
      </c>
      <c r="D42" t="s">
        <v>255</v>
      </c>
    </row>
    <row r="43" spans="1:4">
      <c r="A43" s="81" t="s">
        <v>257</v>
      </c>
      <c r="B43">
        <v>0.03</v>
      </c>
      <c r="C43" t="s">
        <v>220</v>
      </c>
      <c r="D43" t="s">
        <v>34</v>
      </c>
    </row>
    <row r="44" spans="1:4">
      <c r="A44" s="80" t="s">
        <v>258</v>
      </c>
      <c r="B44">
        <v>300000</v>
      </c>
      <c r="C44" t="s">
        <v>253</v>
      </c>
      <c r="D44" t="s">
        <v>254</v>
      </c>
    </row>
    <row r="45" spans="1:4">
      <c r="A45" s="81" t="s">
        <v>319</v>
      </c>
      <c r="B45">
        <v>1000</v>
      </c>
      <c r="C45" t="s">
        <v>253</v>
      </c>
      <c r="D45" t="s">
        <v>49</v>
      </c>
    </row>
    <row r="46" spans="1:4">
      <c r="A46" s="80" t="s">
        <v>259</v>
      </c>
      <c r="B46">
        <v>0.1</v>
      </c>
      <c r="C46" t="s">
        <v>220</v>
      </c>
      <c r="D46" t="s">
        <v>53</v>
      </c>
    </row>
    <row r="47" spans="1:4">
      <c r="A47" s="81" t="s">
        <v>260</v>
      </c>
      <c r="B47">
        <v>0.01</v>
      </c>
      <c r="C47" t="s">
        <v>220</v>
      </c>
      <c r="D47" t="s">
        <v>53</v>
      </c>
    </row>
    <row r="49" spans="1:2">
      <c r="A49" s="2" t="s">
        <v>305</v>
      </c>
    </row>
    <row r="50" spans="1:2">
      <c r="A50" s="91" t="s">
        <v>323</v>
      </c>
      <c r="B50" t="s">
        <v>306</v>
      </c>
    </row>
    <row r="51" spans="1:2">
      <c r="B51" t="s">
        <v>307</v>
      </c>
    </row>
    <row r="52" spans="1:2">
      <c r="B52" t="s">
        <v>315</v>
      </c>
    </row>
    <row r="53" spans="1:2">
      <c r="A53" s="92" t="s">
        <v>308</v>
      </c>
      <c r="B53" t="s">
        <v>321</v>
      </c>
    </row>
    <row r="54" spans="1:2">
      <c r="B54" t="s">
        <v>322</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27"/>
  <sheetViews>
    <sheetView workbookViewId="0">
      <selection activeCell="E21" sqref="E21"/>
    </sheetView>
  </sheetViews>
  <sheetFormatPr defaultColWidth="11" defaultRowHeight="15.75"/>
  <cols>
    <col min="4" max="4" width="12.75" bestFit="1" customWidth="1"/>
    <col min="5" max="5" width="23.5" customWidth="1"/>
  </cols>
  <sheetData>
    <row r="1" spans="1:1">
      <c r="A1" s="2" t="s">
        <v>119</v>
      </c>
    </row>
    <row r="2" spans="1:1">
      <c r="A2" t="s">
        <v>294</v>
      </c>
    </row>
    <row r="3" spans="1:1">
      <c r="A3" t="s">
        <v>134</v>
      </c>
    </row>
    <row r="4" spans="1:1">
      <c r="A4" t="s">
        <v>135</v>
      </c>
    </row>
    <row r="5" spans="1:1">
      <c r="A5" t="s">
        <v>295</v>
      </c>
    </row>
    <row r="6" spans="1:1">
      <c r="A6" t="s">
        <v>166</v>
      </c>
    </row>
    <row r="7" spans="1:1">
      <c r="A7" t="s">
        <v>167</v>
      </c>
    </row>
    <row r="8" spans="1:1">
      <c r="A8" t="s">
        <v>168</v>
      </c>
    </row>
    <row r="9" spans="1:1">
      <c r="A9" t="s">
        <v>136</v>
      </c>
    </row>
    <row r="10" spans="1:1">
      <c r="A10" t="s">
        <v>169</v>
      </c>
    </row>
    <row r="11" spans="1:1">
      <c r="A11" t="s">
        <v>137</v>
      </c>
    </row>
    <row r="12" spans="1:1">
      <c r="A12" t="s">
        <v>138</v>
      </c>
    </row>
    <row r="13" spans="1:1">
      <c r="A13" t="s">
        <v>170</v>
      </c>
    </row>
    <row r="14" spans="1:1">
      <c r="A14" t="s">
        <v>171</v>
      </c>
    </row>
    <row r="15" spans="1:1">
      <c r="A15" t="s">
        <v>172</v>
      </c>
    </row>
    <row r="17" spans="1:23">
      <c r="A17" t="s">
        <v>120</v>
      </c>
    </row>
    <row r="18" spans="1:23">
      <c r="A18" t="s">
        <v>290</v>
      </c>
      <c r="D18" t="s">
        <v>291</v>
      </c>
      <c r="G18" t="s">
        <v>309</v>
      </c>
    </row>
    <row r="19" spans="1:23">
      <c r="A19" s="1">
        <v>9.9999999999999995E-7</v>
      </c>
      <c r="D19" s="1">
        <v>3.1E-7</v>
      </c>
      <c r="G19">
        <v>62415093</v>
      </c>
    </row>
    <row r="20" spans="1:23">
      <c r="A20" s="60" t="s">
        <v>121</v>
      </c>
      <c r="B20" s="60" t="s">
        <v>122</v>
      </c>
      <c r="C20" s="60" t="s">
        <v>123</v>
      </c>
      <c r="D20" s="60" t="s">
        <v>118</v>
      </c>
      <c r="G20" s="60" t="s">
        <v>286</v>
      </c>
      <c r="H20" s="60" t="s">
        <v>1</v>
      </c>
      <c r="I20" s="60" t="s">
        <v>287</v>
      </c>
      <c r="J20" s="60" t="s">
        <v>1</v>
      </c>
      <c r="K20" s="60" t="s">
        <v>101</v>
      </c>
      <c r="L20" s="60" t="s">
        <v>1</v>
      </c>
      <c r="M20" s="60" t="s">
        <v>102</v>
      </c>
      <c r="N20" s="60" t="s">
        <v>1</v>
      </c>
      <c r="O20" s="60" t="s">
        <v>103</v>
      </c>
      <c r="P20" s="60" t="s">
        <v>1</v>
      </c>
      <c r="Q20" s="60" t="s">
        <v>105</v>
      </c>
      <c r="R20" s="60" t="s">
        <v>106</v>
      </c>
      <c r="S20" s="60" t="s">
        <v>107</v>
      </c>
    </row>
    <row r="21" spans="1:23">
      <c r="A21">
        <f>K21</f>
        <v>11.072039999999999</v>
      </c>
      <c r="B21">
        <f>I21</f>
        <v>370.10449999999997</v>
      </c>
      <c r="C21">
        <f>G21</f>
        <v>526.60739999999998</v>
      </c>
      <c r="D21" s="59">
        <f>EXP(AVERAGE(LN(B21),LN(C21)))/(A21*62415093)</f>
        <v>6.3883454641536821E-7</v>
      </c>
      <c r="E21" t="str">
        <f>IF(AND(K21&lt;1, NOT(ISBLANK(G21))),"232Th voltage too low for reliable tail measurement.", "")</f>
        <v/>
      </c>
      <c r="G21" s="1">
        <v>526.60739999999998</v>
      </c>
      <c r="H21" s="1">
        <v>10.7</v>
      </c>
      <c r="I21" s="1">
        <v>370.10449999999997</v>
      </c>
      <c r="J21" s="1">
        <v>8.23</v>
      </c>
      <c r="K21" s="1">
        <v>11.072039999999999</v>
      </c>
      <c r="L21" s="1">
        <v>2.76E-2</v>
      </c>
      <c r="M21" s="1">
        <v>2186174</v>
      </c>
      <c r="N21" s="1">
        <v>8680</v>
      </c>
      <c r="O21" s="1">
        <v>0.64773610000000004</v>
      </c>
      <c r="P21" s="1">
        <v>3.9399999999999998E-2</v>
      </c>
      <c r="Q21" t="s">
        <v>345</v>
      </c>
      <c r="R21" t="s">
        <v>343</v>
      </c>
      <c r="S21">
        <v>632</v>
      </c>
    </row>
    <row r="22" spans="1:23">
      <c r="A22">
        <f>K22</f>
        <v>0</v>
      </c>
      <c r="B22">
        <f>I22</f>
        <v>0</v>
      </c>
      <c r="C22">
        <f>G22</f>
        <v>0</v>
      </c>
      <c r="D22" s="59" t="e">
        <f t="shared" ref="D22:D23" si="0">EXP(AVERAGE(LN(B22),LN(C22)))/(A22*62415093)</f>
        <v>#NUM!</v>
      </c>
      <c r="E22" t="str">
        <f t="shared" ref="E22:E23" si="1">IF(AND(K22&lt;1, NOT(ISBLANK(G22))),"232Th voltage too low for reliable tail measurement.", "")</f>
        <v/>
      </c>
      <c r="G22" s="63"/>
      <c r="H22" s="63"/>
      <c r="I22" s="63"/>
      <c r="J22" s="63"/>
      <c r="K22" s="63"/>
      <c r="L22" s="63"/>
      <c r="M22" s="63"/>
      <c r="N22" s="63"/>
      <c r="O22" s="63"/>
      <c r="P22" s="63"/>
      <c r="Q22" s="63"/>
      <c r="R22" s="63"/>
      <c r="S22" s="63"/>
    </row>
    <row r="23" spans="1:23">
      <c r="A23">
        <f>K23</f>
        <v>0</v>
      </c>
      <c r="B23">
        <f>I23</f>
        <v>0</v>
      </c>
      <c r="C23">
        <f>G23</f>
        <v>0</v>
      </c>
      <c r="D23" s="59" t="e">
        <f t="shared" si="0"/>
        <v>#NUM!</v>
      </c>
      <c r="E23" t="str">
        <f t="shared" si="1"/>
        <v/>
      </c>
      <c r="G23" s="63"/>
      <c r="H23" s="63"/>
      <c r="I23" s="63"/>
      <c r="J23" s="63"/>
      <c r="K23" s="63"/>
      <c r="L23" s="63"/>
      <c r="M23" s="63"/>
      <c r="N23" s="63"/>
      <c r="O23" s="63"/>
      <c r="P23" s="63"/>
      <c r="Q23" s="63"/>
      <c r="R23" s="63"/>
      <c r="S23" s="63"/>
    </row>
    <row r="25" spans="1:23">
      <c r="G25" t="s">
        <v>314</v>
      </c>
    </row>
    <row r="26" spans="1:23">
      <c r="G26" s="2" t="s">
        <v>5</v>
      </c>
      <c r="H26" s="2" t="s">
        <v>1</v>
      </c>
      <c r="I26" s="2" t="s">
        <v>6</v>
      </c>
      <c r="J26" s="2" t="s">
        <v>1</v>
      </c>
      <c r="K26" s="2" t="s">
        <v>310</v>
      </c>
      <c r="L26" s="2" t="s">
        <v>1</v>
      </c>
      <c r="M26" s="2" t="s">
        <v>11</v>
      </c>
      <c r="N26" s="2" t="s">
        <v>1</v>
      </c>
      <c r="O26" s="2" t="s">
        <v>311</v>
      </c>
      <c r="P26" s="2" t="s">
        <v>1</v>
      </c>
      <c r="Q26" s="2" t="s">
        <v>312</v>
      </c>
      <c r="R26" s="2" t="s">
        <v>1</v>
      </c>
      <c r="S26" s="2" t="s">
        <v>105</v>
      </c>
      <c r="T26" s="2" t="s">
        <v>106</v>
      </c>
      <c r="U26" s="2" t="s">
        <v>107</v>
      </c>
      <c r="W26" s="2" t="s">
        <v>313</v>
      </c>
    </row>
    <row r="27" spans="1:23">
      <c r="W27" t="e">
        <f>K27/G27/$G$19</f>
        <v>#DIV/0!</v>
      </c>
    </row>
  </sheetData>
  <conditionalFormatting sqref="A21:A23">
    <cfRule type="expression" dxfId="0" priority="1">
      <formula>$A$21&lt;1</formula>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workbookViewId="0">
      <selection activeCell="C36" sqref="C36"/>
    </sheetView>
  </sheetViews>
  <sheetFormatPr defaultColWidth="11" defaultRowHeight="15.75"/>
  <sheetData>
    <row r="1" spans="1:18">
      <c r="A1" s="61">
        <v>42170</v>
      </c>
      <c r="B1" t="s">
        <v>165</v>
      </c>
      <c r="R1" s="88" t="s">
        <v>283</v>
      </c>
    </row>
    <row r="2" spans="1:18">
      <c r="B2" t="s">
        <v>182</v>
      </c>
      <c r="R2" t="s">
        <v>278</v>
      </c>
    </row>
    <row r="3" spans="1:18">
      <c r="B3" t="s">
        <v>184</v>
      </c>
      <c r="R3" t="s">
        <v>279</v>
      </c>
    </row>
    <row r="4" spans="1:18">
      <c r="B4" t="s">
        <v>139</v>
      </c>
      <c r="R4" t="s">
        <v>280</v>
      </c>
    </row>
    <row r="5" spans="1:18">
      <c r="B5" t="s">
        <v>186</v>
      </c>
      <c r="R5" t="s">
        <v>281</v>
      </c>
    </row>
    <row r="6" spans="1:18">
      <c r="B6" t="s">
        <v>151</v>
      </c>
      <c r="R6" t="s">
        <v>282</v>
      </c>
    </row>
    <row r="7" spans="1:18">
      <c r="B7" t="s">
        <v>185</v>
      </c>
      <c r="R7" t="s">
        <v>284</v>
      </c>
    </row>
    <row r="8" spans="1:18">
      <c r="B8" t="s">
        <v>173</v>
      </c>
    </row>
    <row r="9" spans="1:18">
      <c r="B9" t="s">
        <v>174</v>
      </c>
    </row>
    <row r="10" spans="1:18">
      <c r="A10" s="61">
        <v>42172</v>
      </c>
      <c r="B10" t="s">
        <v>175</v>
      </c>
    </row>
    <row r="11" spans="1:18">
      <c r="B11" t="s">
        <v>176</v>
      </c>
    </row>
    <row r="12" spans="1:18">
      <c r="A12" s="61">
        <v>42173</v>
      </c>
      <c r="B12" t="s">
        <v>180</v>
      </c>
    </row>
    <row r="13" spans="1:18">
      <c r="A13" s="61">
        <v>42177</v>
      </c>
      <c r="B13" t="s">
        <v>179</v>
      </c>
    </row>
    <row r="14" spans="1:18">
      <c r="A14" s="61">
        <v>42233</v>
      </c>
      <c r="B14" t="s">
        <v>178</v>
      </c>
    </row>
    <row r="15" spans="1:18">
      <c r="B15" t="s">
        <v>181</v>
      </c>
    </row>
    <row r="16" spans="1:18">
      <c r="B16" t="s">
        <v>183</v>
      </c>
    </row>
    <row r="17" spans="1:2">
      <c r="A17" s="61">
        <v>42616</v>
      </c>
      <c r="B17" t="s">
        <v>203</v>
      </c>
    </row>
    <row r="18" spans="1:2">
      <c r="A18" s="61">
        <v>42663</v>
      </c>
      <c r="B18" t="s">
        <v>207</v>
      </c>
    </row>
    <row r="19" spans="1:2">
      <c r="B19" s="2" t="s">
        <v>211</v>
      </c>
    </row>
    <row r="20" spans="1:2">
      <c r="B20" s="2" t="s">
        <v>208</v>
      </c>
    </row>
    <row r="21" spans="1:2">
      <c r="B21" t="s">
        <v>209</v>
      </c>
    </row>
    <row r="22" spans="1:2">
      <c r="B22" s="2" t="s">
        <v>210</v>
      </c>
    </row>
    <row r="23" spans="1:2">
      <c r="A23" s="61">
        <v>42669</v>
      </c>
      <c r="B23" t="s">
        <v>212</v>
      </c>
    </row>
    <row r="24" spans="1:2">
      <c r="A24" s="61">
        <v>43068</v>
      </c>
      <c r="B24" s="2" t="s">
        <v>213</v>
      </c>
    </row>
    <row r="25" spans="1:2">
      <c r="A25" s="61">
        <v>43096</v>
      </c>
      <c r="B25" t="s">
        <v>225</v>
      </c>
    </row>
    <row r="26" spans="1:2">
      <c r="B26" t="s">
        <v>226</v>
      </c>
    </row>
    <row r="27" spans="1:2">
      <c r="A27" s="61">
        <v>43138</v>
      </c>
      <c r="B27" t="s">
        <v>242</v>
      </c>
    </row>
    <row r="28" spans="1:2">
      <c r="B28" t="s">
        <v>273</v>
      </c>
    </row>
    <row r="29" spans="1:2">
      <c r="B29" t="s">
        <v>275</v>
      </c>
    </row>
    <row r="30" spans="1:2">
      <c r="B30" t="s">
        <v>274</v>
      </c>
    </row>
    <row r="31" spans="1:2">
      <c r="B31" t="s">
        <v>271</v>
      </c>
    </row>
    <row r="32" spans="1:2">
      <c r="B32" t="s">
        <v>272</v>
      </c>
    </row>
    <row r="33" spans="1:2">
      <c r="A33" s="61">
        <v>43145</v>
      </c>
      <c r="B33" t="s">
        <v>285</v>
      </c>
    </row>
    <row r="34" spans="1:2">
      <c r="A34" s="61">
        <v>43147</v>
      </c>
      <c r="B34" t="s">
        <v>288</v>
      </c>
    </row>
    <row r="35" spans="1:2">
      <c r="B35" t="s">
        <v>292</v>
      </c>
    </row>
    <row r="36" spans="1:2">
      <c r="A36" s="61">
        <v>43158</v>
      </c>
      <c r="B36" t="s">
        <v>296</v>
      </c>
    </row>
    <row r="37" spans="1:2">
      <c r="A37" s="61">
        <v>43180</v>
      </c>
      <c r="B37" t="s">
        <v>297</v>
      </c>
    </row>
    <row r="38" spans="1:2">
      <c r="B38" t="s">
        <v>298</v>
      </c>
    </row>
    <row r="39" spans="1:2">
      <c r="A39" s="61">
        <v>43201</v>
      </c>
      <c r="B39" t="s">
        <v>299</v>
      </c>
    </row>
    <row r="40" spans="1:2">
      <c r="B40" t="s">
        <v>300</v>
      </c>
    </row>
    <row r="41" spans="1:2">
      <c r="A41" s="61">
        <v>43206</v>
      </c>
      <c r="B41" t="s">
        <v>301</v>
      </c>
    </row>
    <row r="42" spans="1:2">
      <c r="B42" t="s">
        <v>302</v>
      </c>
    </row>
    <row r="43" spans="1:2">
      <c r="A43" s="61">
        <v>43210</v>
      </c>
      <c r="B43" t="s">
        <v>303</v>
      </c>
    </row>
    <row r="44" spans="1:2">
      <c r="A44" s="61">
        <v>43213</v>
      </c>
      <c r="B44" t="s">
        <v>304</v>
      </c>
    </row>
    <row r="45" spans="1:2">
      <c r="A45" s="61">
        <v>43221</v>
      </c>
      <c r="B45" t="s">
        <v>316</v>
      </c>
    </row>
    <row r="46" spans="1:2">
      <c r="B46" t="s">
        <v>317</v>
      </c>
    </row>
    <row r="47" spans="1:2">
      <c r="B47" t="s">
        <v>318</v>
      </c>
    </row>
    <row r="48" spans="1:2">
      <c r="B48" t="s">
        <v>320</v>
      </c>
    </row>
    <row r="49" spans="1:2">
      <c r="A49" s="61">
        <v>43227</v>
      </c>
      <c r="B49" t="s">
        <v>324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AA701-CA63-4E35-B5D3-7CFFFD341610}">
  <dimension ref="A1:Q38"/>
  <sheetViews>
    <sheetView workbookViewId="0">
      <selection activeCell="A14" sqref="A14"/>
    </sheetView>
  </sheetViews>
  <sheetFormatPr defaultRowHeight="15.75"/>
  <cols>
    <col min="1" max="1" width="12" customWidth="1"/>
    <col min="3" max="3" width="9" bestFit="1" customWidth="1"/>
    <col min="5" max="5" width="10.375" bestFit="1" customWidth="1"/>
    <col min="9" max="9" width="10.875" bestFit="1" customWidth="1"/>
    <col min="11" max="11" width="10.875" bestFit="1" customWidth="1"/>
    <col min="13" max="13" width="12.625" bestFit="1" customWidth="1"/>
    <col min="14" max="14" width="13.375" bestFit="1" customWidth="1"/>
    <col min="15" max="15" width="21.25" bestFit="1" customWidth="1"/>
    <col min="16" max="16" width="13.375" bestFit="1" customWidth="1"/>
  </cols>
  <sheetData>
    <row r="1" spans="1:17">
      <c r="A1" t="s">
        <v>325</v>
      </c>
    </row>
    <row r="2" spans="1:17" s="88" customFormat="1">
      <c r="A2" s="88" t="s">
        <v>0</v>
      </c>
      <c r="B2" s="88" t="s">
        <v>1</v>
      </c>
      <c r="C2" s="88" t="s">
        <v>2</v>
      </c>
      <c r="D2" s="88" t="s">
        <v>1</v>
      </c>
      <c r="E2" s="88" t="s">
        <v>3</v>
      </c>
      <c r="F2" s="88" t="s">
        <v>1</v>
      </c>
      <c r="G2" s="88" t="s">
        <v>4</v>
      </c>
      <c r="H2" s="88" t="s">
        <v>1</v>
      </c>
      <c r="I2" s="88" t="s">
        <v>5</v>
      </c>
      <c r="J2" s="88" t="s">
        <v>1</v>
      </c>
      <c r="K2" s="88" t="s">
        <v>6</v>
      </c>
      <c r="L2" s="88" t="s">
        <v>1</v>
      </c>
      <c r="M2" s="88" t="s">
        <v>7</v>
      </c>
      <c r="N2" s="88" t="s">
        <v>1</v>
      </c>
      <c r="O2" s="88" t="s">
        <v>105</v>
      </c>
      <c r="P2" s="88" t="s">
        <v>106</v>
      </c>
      <c r="Q2" s="88" t="s">
        <v>107</v>
      </c>
    </row>
    <row r="3" spans="1:17">
      <c r="A3" s="1">
        <v>311274.59999999998</v>
      </c>
      <c r="B3" s="1">
        <v>192000</v>
      </c>
      <c r="C3" s="1">
        <v>140.53749999999999</v>
      </c>
      <c r="D3" s="1">
        <v>1.1299999999999999E-2</v>
      </c>
      <c r="E3" s="1">
        <v>-1.7096720000000001</v>
      </c>
      <c r="F3" s="1">
        <v>1.01</v>
      </c>
      <c r="G3" s="1">
        <v>22649.99</v>
      </c>
      <c r="H3" s="1">
        <v>15.7</v>
      </c>
      <c r="I3" s="1">
        <v>12.4931</v>
      </c>
      <c r="J3" s="1">
        <v>7.1999999999999998E-3</v>
      </c>
      <c r="K3" s="1">
        <v>7.9175449999999998E-6</v>
      </c>
      <c r="L3" s="1">
        <v>5.3399999999999997E-6</v>
      </c>
      <c r="M3" s="1">
        <v>34430.639999999999</v>
      </c>
      <c r="N3" s="1">
        <v>28.6</v>
      </c>
      <c r="O3" t="s">
        <v>337</v>
      </c>
      <c r="P3" t="s">
        <v>327</v>
      </c>
      <c r="Q3">
        <v>523</v>
      </c>
    </row>
    <row r="4" spans="1:17">
      <c r="A4" s="1">
        <v>0.10742350000000001</v>
      </c>
      <c r="B4" s="1">
        <v>9.5399999999999999E-3</v>
      </c>
      <c r="C4" s="1">
        <v>-48.502429999999997</v>
      </c>
      <c r="D4" s="1">
        <v>74.8</v>
      </c>
      <c r="E4" s="1">
        <v>1.0005949999999999</v>
      </c>
      <c r="F4" s="1">
        <v>3.3500000000000001E-4</v>
      </c>
      <c r="G4" s="1">
        <v>343.37880000000001</v>
      </c>
      <c r="H4" s="1">
        <v>29.3</v>
      </c>
      <c r="I4" s="1">
        <v>3.4948679999999999E-3</v>
      </c>
      <c r="J4" s="1">
        <v>3.1399999999999999E-4</v>
      </c>
      <c r="K4" s="1">
        <v>3.2504640000000001E-2</v>
      </c>
      <c r="L4" s="1">
        <v>6.7199999999999994E-5</v>
      </c>
      <c r="M4" s="1">
        <v>633.09429999999998</v>
      </c>
      <c r="N4" s="1">
        <v>4.18</v>
      </c>
      <c r="O4" t="s">
        <v>336</v>
      </c>
      <c r="P4" t="s">
        <v>327</v>
      </c>
      <c r="Q4">
        <v>526</v>
      </c>
    </row>
    <row r="5" spans="1:17">
      <c r="A5" s="1">
        <v>-422132.8</v>
      </c>
      <c r="B5" s="1">
        <v>268000</v>
      </c>
      <c r="C5" s="1">
        <v>140.69990000000001</v>
      </c>
      <c r="D5" s="1">
        <v>1.11E-2</v>
      </c>
      <c r="E5" s="1">
        <v>1.378295</v>
      </c>
      <c r="F5" s="1">
        <v>0.44900000000000001</v>
      </c>
      <c r="G5" s="1">
        <v>22710.61</v>
      </c>
      <c r="H5" s="1">
        <v>19.7</v>
      </c>
      <c r="I5" s="1">
        <v>11.71904</v>
      </c>
      <c r="J5" s="1">
        <v>5.62E-3</v>
      </c>
      <c r="K5" s="1">
        <v>-1.058264E-5</v>
      </c>
      <c r="L5" s="1">
        <v>4.5199999999999999E-6</v>
      </c>
      <c r="M5" s="1">
        <v>32211.47</v>
      </c>
      <c r="N5" s="1">
        <v>32.299999999999997</v>
      </c>
      <c r="O5" t="s">
        <v>337</v>
      </c>
      <c r="P5" t="s">
        <v>327</v>
      </c>
      <c r="Q5">
        <v>529</v>
      </c>
    </row>
    <row r="6" spans="1:17">
      <c r="A6" s="1">
        <v>146.9597</v>
      </c>
      <c r="B6" s="1">
        <v>1.03E-2</v>
      </c>
      <c r="C6" s="1">
        <v>140.58340000000001</v>
      </c>
      <c r="D6" s="1">
        <v>1.0999999999999999E-2</v>
      </c>
      <c r="E6" s="1">
        <v>1.000999</v>
      </c>
      <c r="F6" s="1">
        <v>2.1800000000000001E-4</v>
      </c>
      <c r="G6" s="1">
        <v>20796.14</v>
      </c>
      <c r="H6" s="1">
        <v>11.8</v>
      </c>
      <c r="I6" s="1">
        <v>13.795339999999999</v>
      </c>
      <c r="J6" s="1">
        <v>1.14E-2</v>
      </c>
      <c r="K6" s="1">
        <v>9.3871529999999995E-2</v>
      </c>
      <c r="L6" s="1">
        <v>7.4999999999999993E-5</v>
      </c>
      <c r="M6" s="1">
        <v>41408.620000000003</v>
      </c>
      <c r="N6" s="1">
        <v>39.299999999999997</v>
      </c>
      <c r="O6" t="s">
        <v>326</v>
      </c>
      <c r="P6" t="s">
        <v>327</v>
      </c>
      <c r="Q6">
        <v>532</v>
      </c>
    </row>
    <row r="7" spans="1:17">
      <c r="A7" s="1">
        <v>423902.1</v>
      </c>
      <c r="B7" s="1">
        <v>421000</v>
      </c>
      <c r="C7" s="1">
        <v>140.66650000000001</v>
      </c>
      <c r="D7" s="1">
        <v>1.29E-2</v>
      </c>
      <c r="E7" s="1">
        <v>1.81891</v>
      </c>
      <c r="F7" s="1">
        <v>1.86</v>
      </c>
      <c r="G7" s="1">
        <v>22682.9</v>
      </c>
      <c r="H7" s="1">
        <v>15.5</v>
      </c>
      <c r="I7" s="1">
        <v>12.261900000000001</v>
      </c>
      <c r="J7" s="1">
        <v>6.8900000000000003E-3</v>
      </c>
      <c r="K7" s="1">
        <v>-1.4004590000000001E-5</v>
      </c>
      <c r="L7" s="1">
        <v>6.2400000000000004E-6</v>
      </c>
      <c r="M7" s="1">
        <v>33744.400000000001</v>
      </c>
      <c r="N7" s="1">
        <v>26.9</v>
      </c>
      <c r="O7" t="s">
        <v>337</v>
      </c>
      <c r="P7" t="s">
        <v>327</v>
      </c>
      <c r="Q7">
        <v>535</v>
      </c>
    </row>
    <row r="8" spans="1:17">
      <c r="A8" s="1">
        <v>484.24680000000001</v>
      </c>
      <c r="B8" s="1">
        <v>3.1099999999999999E-2</v>
      </c>
      <c r="C8" s="1">
        <v>140.49109999999999</v>
      </c>
      <c r="D8" s="1">
        <v>4.4999999999999997E-3</v>
      </c>
      <c r="E8" s="1">
        <v>1.000076</v>
      </c>
      <c r="F8" s="1">
        <v>3.3100000000000002E-4</v>
      </c>
      <c r="G8" s="1">
        <v>21369.82</v>
      </c>
      <c r="H8" s="1">
        <v>7.72</v>
      </c>
      <c r="I8" s="1">
        <v>44.846559999999997</v>
      </c>
      <c r="J8" s="1">
        <v>3.3099999999999997E-2</v>
      </c>
      <c r="K8" s="1">
        <v>9.2610970000000001E-2</v>
      </c>
      <c r="L8" s="1">
        <v>6.86E-5</v>
      </c>
      <c r="M8" s="1">
        <v>130998.7</v>
      </c>
      <c r="N8" s="1">
        <v>103</v>
      </c>
      <c r="O8" t="s">
        <v>328</v>
      </c>
      <c r="P8" t="s">
        <v>327</v>
      </c>
      <c r="Q8">
        <v>538</v>
      </c>
    </row>
    <row r="9" spans="1:17">
      <c r="A9" s="1">
        <v>-237026.5</v>
      </c>
      <c r="B9" s="1">
        <v>329000</v>
      </c>
      <c r="C9" s="1">
        <v>140.61269999999999</v>
      </c>
      <c r="D9" s="1">
        <v>1.01E-2</v>
      </c>
      <c r="E9" s="1">
        <v>-0.35673759999999999</v>
      </c>
      <c r="F9" s="1">
        <v>0.85499999999999998</v>
      </c>
      <c r="G9" s="1">
        <v>22623.43</v>
      </c>
      <c r="H9" s="1">
        <v>19.3</v>
      </c>
      <c r="I9" s="1">
        <v>12.458349999999999</v>
      </c>
      <c r="J9" s="1">
        <v>7.3200000000000001E-3</v>
      </c>
      <c r="K9" s="1">
        <v>-1.661058E-6</v>
      </c>
      <c r="L9" s="1">
        <v>5.5400000000000003E-6</v>
      </c>
      <c r="M9" s="1">
        <v>34375.43</v>
      </c>
      <c r="N9" s="1">
        <v>33.799999999999997</v>
      </c>
      <c r="O9" t="s">
        <v>337</v>
      </c>
      <c r="P9" t="s">
        <v>327</v>
      </c>
      <c r="Q9">
        <v>541</v>
      </c>
    </row>
    <row r="10" spans="1:17">
      <c r="A10" s="1">
        <v>540.36030000000005</v>
      </c>
      <c r="B10" s="1">
        <v>7.3099999999999998E-2</v>
      </c>
      <c r="C10" s="1">
        <v>140.4665</v>
      </c>
      <c r="D10" s="1">
        <v>7.45E-3</v>
      </c>
      <c r="E10" s="1">
        <v>1.0000100000000001</v>
      </c>
      <c r="F10" s="1">
        <v>2.2499999999999999E-4</v>
      </c>
      <c r="G10" s="1">
        <v>21326.94</v>
      </c>
      <c r="H10" s="1">
        <v>10.8</v>
      </c>
      <c r="I10" s="1">
        <v>24.212350000000001</v>
      </c>
      <c r="J10" s="1">
        <v>2.0199999999999999E-2</v>
      </c>
      <c r="K10" s="1">
        <v>4.480787E-2</v>
      </c>
      <c r="L10" s="1">
        <v>3.9900000000000001E-5</v>
      </c>
      <c r="M10" s="1">
        <v>70867.539999999994</v>
      </c>
      <c r="N10" s="1">
        <v>58.2</v>
      </c>
      <c r="O10" t="s">
        <v>329</v>
      </c>
      <c r="P10" t="s">
        <v>327</v>
      </c>
      <c r="Q10">
        <v>544</v>
      </c>
    </row>
    <row r="11" spans="1:17">
      <c r="A11" s="1">
        <v>-45751.53</v>
      </c>
      <c r="B11" s="1">
        <v>327000</v>
      </c>
      <c r="C11" s="1">
        <v>140.63120000000001</v>
      </c>
      <c r="D11" s="1">
        <v>8.5599999999999999E-3</v>
      </c>
      <c r="E11" s="1">
        <v>0.42529899999999998</v>
      </c>
      <c r="F11" s="1">
        <v>0.89900000000000002</v>
      </c>
      <c r="G11" s="1">
        <v>22610.58</v>
      </c>
      <c r="H11" s="1">
        <v>15.3</v>
      </c>
      <c r="I11" s="1">
        <v>12.606629999999999</v>
      </c>
      <c r="J11" s="1">
        <v>1.23E-2</v>
      </c>
      <c r="K11" s="1">
        <v>-1.028124E-5</v>
      </c>
      <c r="L11" s="1">
        <v>4.4900000000000002E-6</v>
      </c>
      <c r="M11" s="1">
        <v>34830.54</v>
      </c>
      <c r="N11" s="1">
        <v>37.9</v>
      </c>
      <c r="O11" t="s">
        <v>337</v>
      </c>
      <c r="P11" t="s">
        <v>327</v>
      </c>
      <c r="Q11">
        <v>547</v>
      </c>
    </row>
    <row r="12" spans="1:17">
      <c r="A12" s="1">
        <v>950.37950000000001</v>
      </c>
      <c r="B12" s="1">
        <v>0.16200000000000001</v>
      </c>
      <c r="C12" s="1">
        <v>140.45679999999999</v>
      </c>
      <c r="D12" s="1">
        <v>5.8399999999999997E-3</v>
      </c>
      <c r="E12" s="1">
        <v>1.0002390000000001</v>
      </c>
      <c r="F12" s="1">
        <v>2.6699999999999998E-4</v>
      </c>
      <c r="G12" s="1">
        <v>21439.63</v>
      </c>
      <c r="H12" s="1">
        <v>9.18</v>
      </c>
      <c r="I12" s="1">
        <v>38.442689999999999</v>
      </c>
      <c r="J12" s="1">
        <v>5.0500000000000003E-2</v>
      </c>
      <c r="K12" s="1">
        <v>4.0449829999999999E-2</v>
      </c>
      <c r="L12" s="1">
        <v>5.2899999999999998E-5</v>
      </c>
      <c r="M12" s="1">
        <v>112006</v>
      </c>
      <c r="N12" s="1">
        <v>119</v>
      </c>
      <c r="O12" t="s">
        <v>330</v>
      </c>
      <c r="P12" t="s">
        <v>327</v>
      </c>
      <c r="Q12">
        <v>550</v>
      </c>
    </row>
    <row r="13" spans="1:17">
      <c r="A13" s="1">
        <v>-342470.8</v>
      </c>
      <c r="B13" s="1">
        <v>366000</v>
      </c>
      <c r="C13" s="1">
        <v>140.5796</v>
      </c>
      <c r="D13" s="1">
        <v>1.04E-2</v>
      </c>
      <c r="E13" s="1">
        <v>-1.419322</v>
      </c>
      <c r="F13" s="1">
        <v>0.9</v>
      </c>
      <c r="G13" s="1">
        <v>22589.97</v>
      </c>
      <c r="H13" s="1">
        <v>15</v>
      </c>
      <c r="I13" s="1">
        <v>12.745649999999999</v>
      </c>
      <c r="J13" s="1">
        <v>8.0499999999999999E-3</v>
      </c>
      <c r="K13" s="1">
        <v>2.3667940000000002E-6</v>
      </c>
      <c r="L13" s="1">
        <v>3.8500000000000004E-6</v>
      </c>
      <c r="M13" s="1">
        <v>35219.97</v>
      </c>
      <c r="N13" s="1">
        <v>31.1</v>
      </c>
      <c r="O13" t="s">
        <v>337</v>
      </c>
      <c r="P13" t="s">
        <v>327</v>
      </c>
      <c r="Q13">
        <v>553</v>
      </c>
    </row>
    <row r="14" spans="1:17">
      <c r="A14" s="1">
        <v>590.47839999999997</v>
      </c>
      <c r="B14" s="1">
        <v>0.109</v>
      </c>
      <c r="C14" s="1">
        <v>140.4744</v>
      </c>
      <c r="D14" s="1">
        <v>6.6499999999999997E-3</v>
      </c>
      <c r="E14" s="1">
        <v>0.99939679999999997</v>
      </c>
      <c r="F14" s="1">
        <v>2.8800000000000001E-4</v>
      </c>
      <c r="G14" s="1">
        <v>21332.880000000001</v>
      </c>
      <c r="H14" s="1">
        <v>9.99</v>
      </c>
      <c r="I14" s="1">
        <v>28.322790000000001</v>
      </c>
      <c r="J14" s="1">
        <v>2.18E-2</v>
      </c>
      <c r="K14" s="1">
        <v>4.7965870000000001E-2</v>
      </c>
      <c r="L14" s="1">
        <v>3.7400000000000001E-5</v>
      </c>
      <c r="M14" s="1">
        <v>82875.81</v>
      </c>
      <c r="N14" s="1">
        <v>81.5</v>
      </c>
      <c r="O14" t="s">
        <v>331</v>
      </c>
      <c r="P14" t="s">
        <v>327</v>
      </c>
      <c r="Q14">
        <v>556</v>
      </c>
    </row>
    <row r="15" spans="1:17">
      <c r="A15" s="1">
        <v>439780.7</v>
      </c>
      <c r="B15" s="1">
        <v>198000</v>
      </c>
      <c r="C15" s="1">
        <v>140.58099999999999</v>
      </c>
      <c r="D15" s="1">
        <v>1.2500000000000001E-2</v>
      </c>
      <c r="E15" s="1">
        <v>0.56546149999999995</v>
      </c>
      <c r="F15" s="1">
        <v>1.57</v>
      </c>
      <c r="G15" s="1">
        <v>22596.02</v>
      </c>
      <c r="H15" s="1">
        <v>17.3</v>
      </c>
      <c r="I15" s="1">
        <v>12.781219999999999</v>
      </c>
      <c r="J15" s="1">
        <v>7.7099999999999998E-3</v>
      </c>
      <c r="K15" s="1">
        <v>2.029319E-5</v>
      </c>
      <c r="L15" s="1">
        <v>5.6899999999999997E-6</v>
      </c>
      <c r="M15" s="1">
        <v>35308.959999999999</v>
      </c>
      <c r="N15" s="1">
        <v>33.1</v>
      </c>
      <c r="O15" t="s">
        <v>337</v>
      </c>
      <c r="P15" t="s">
        <v>327</v>
      </c>
      <c r="Q15">
        <v>559</v>
      </c>
    </row>
    <row r="16" spans="1:17">
      <c r="A16" s="1">
        <v>519.36720000000003</v>
      </c>
      <c r="B16" s="1">
        <v>5.4600000000000003E-2</v>
      </c>
      <c r="C16" s="1">
        <v>140.46940000000001</v>
      </c>
      <c r="D16" s="1">
        <v>7.9399999999999991E-3</v>
      </c>
      <c r="E16" s="1">
        <v>0.99983299999999997</v>
      </c>
      <c r="F16" s="1">
        <v>2.5599999999999999E-4</v>
      </c>
      <c r="G16" s="1">
        <v>21334.76</v>
      </c>
      <c r="H16" s="1">
        <v>10.5</v>
      </c>
      <c r="I16" s="1">
        <v>32.504950000000001</v>
      </c>
      <c r="J16" s="1">
        <v>3.1099999999999999E-2</v>
      </c>
      <c r="K16" s="1">
        <v>6.2585719999999997E-2</v>
      </c>
      <c r="L16" s="1">
        <v>6.0699999999999998E-5</v>
      </c>
      <c r="M16" s="1">
        <v>95104.5</v>
      </c>
      <c r="N16" s="1">
        <v>93.5</v>
      </c>
      <c r="O16" t="s">
        <v>332</v>
      </c>
      <c r="P16" t="s">
        <v>327</v>
      </c>
      <c r="Q16">
        <v>562</v>
      </c>
    </row>
    <row r="17" spans="1:17">
      <c r="A17" s="1">
        <v>165064</v>
      </c>
      <c r="B17" s="1">
        <v>136000</v>
      </c>
      <c r="C17" s="1">
        <v>140.64009999999999</v>
      </c>
      <c r="D17" s="1">
        <v>1.15E-2</v>
      </c>
      <c r="E17" s="1">
        <v>-2.0920619999999999</v>
      </c>
      <c r="F17" s="1">
        <v>1.17</v>
      </c>
      <c r="G17" s="1">
        <v>22591.65</v>
      </c>
      <c r="H17" s="1">
        <v>15.5</v>
      </c>
      <c r="I17" s="1">
        <v>12.51371</v>
      </c>
      <c r="J17" s="1">
        <v>4.3700000000000003E-2</v>
      </c>
      <c r="K17" s="1">
        <v>6.0631800000000001E-6</v>
      </c>
      <c r="L17" s="1">
        <v>6.0299999999999999E-6</v>
      </c>
      <c r="M17" s="1">
        <v>34576.120000000003</v>
      </c>
      <c r="N17" s="1">
        <v>119</v>
      </c>
      <c r="O17" t="s">
        <v>337</v>
      </c>
      <c r="P17" t="s">
        <v>327</v>
      </c>
      <c r="Q17">
        <v>565</v>
      </c>
    </row>
    <row r="18" spans="1:17">
      <c r="A18" s="1">
        <v>711.72739999999999</v>
      </c>
      <c r="B18" s="1">
        <v>8.6099999999999996E-2</v>
      </c>
      <c r="C18" s="1">
        <v>140.53120000000001</v>
      </c>
      <c r="D18" s="1">
        <v>6.0000000000000001E-3</v>
      </c>
      <c r="E18" s="1">
        <v>0.99997749999999996</v>
      </c>
      <c r="F18" s="1">
        <v>2.41E-4</v>
      </c>
      <c r="G18" s="1">
        <v>21414.95</v>
      </c>
      <c r="H18" s="1">
        <v>10.4</v>
      </c>
      <c r="I18" s="1">
        <v>39.566450000000003</v>
      </c>
      <c r="J18" s="1">
        <v>2.5000000000000001E-2</v>
      </c>
      <c r="K18" s="1">
        <v>5.5592139999999998E-2</v>
      </c>
      <c r="L18" s="1">
        <v>3.4700000000000003E-5</v>
      </c>
      <c r="M18" s="1">
        <v>115332.1</v>
      </c>
      <c r="N18" s="1">
        <v>88.8</v>
      </c>
      <c r="O18" t="s">
        <v>333</v>
      </c>
      <c r="P18" t="s">
        <v>327</v>
      </c>
      <c r="Q18">
        <v>568</v>
      </c>
    </row>
    <row r="19" spans="1:17">
      <c r="A19" s="1">
        <v>67182.649999999994</v>
      </c>
      <c r="B19" s="1">
        <v>273000</v>
      </c>
      <c r="C19" s="1">
        <v>140.60339999999999</v>
      </c>
      <c r="D19" s="1">
        <v>1.06E-2</v>
      </c>
      <c r="E19" s="1">
        <v>1.137505</v>
      </c>
      <c r="F19" s="1">
        <v>1.1399999999999999</v>
      </c>
      <c r="G19" s="1">
        <v>22619.64</v>
      </c>
      <c r="H19" s="1">
        <v>15.6</v>
      </c>
      <c r="I19" s="1">
        <v>12.804830000000001</v>
      </c>
      <c r="J19" s="1">
        <v>7.1300000000000001E-3</v>
      </c>
      <c r="K19" s="1">
        <v>-7.5982910000000001E-6</v>
      </c>
      <c r="L19" s="1">
        <v>4.6800000000000001E-6</v>
      </c>
      <c r="M19" s="1">
        <v>35337.17</v>
      </c>
      <c r="N19" s="1">
        <v>32</v>
      </c>
      <c r="O19" t="s">
        <v>337</v>
      </c>
      <c r="P19" t="s">
        <v>327</v>
      </c>
      <c r="Q19">
        <v>571</v>
      </c>
    </row>
    <row r="20" spans="1:17">
      <c r="A20" s="1">
        <v>636.67690000000005</v>
      </c>
      <c r="B20" s="1">
        <v>7.4499999999999997E-2</v>
      </c>
      <c r="C20" s="1">
        <v>140.50720000000001</v>
      </c>
      <c r="D20" s="1">
        <v>6.0200000000000002E-3</v>
      </c>
      <c r="E20" s="1">
        <v>1.0002439999999999</v>
      </c>
      <c r="F20" s="1">
        <v>3.21E-4</v>
      </c>
      <c r="G20" s="1">
        <v>21380.78</v>
      </c>
      <c r="H20" s="1">
        <v>9.7899999999999991</v>
      </c>
      <c r="I20" s="1">
        <v>33.951230000000002</v>
      </c>
      <c r="J20" s="1">
        <v>2.3E-2</v>
      </c>
      <c r="K20" s="1">
        <v>5.3325709999999998E-2</v>
      </c>
      <c r="L20" s="1">
        <v>3.7100000000000001E-5</v>
      </c>
      <c r="M20" s="1">
        <v>99122.57</v>
      </c>
      <c r="N20" s="1">
        <v>85.5</v>
      </c>
      <c r="O20" t="s">
        <v>334</v>
      </c>
      <c r="P20" t="s">
        <v>327</v>
      </c>
      <c r="Q20">
        <v>574</v>
      </c>
    </row>
    <row r="21" spans="1:17">
      <c r="A21" s="1">
        <v>-447744.5</v>
      </c>
      <c r="B21" s="1">
        <v>345000</v>
      </c>
      <c r="C21" s="1">
        <v>140.64230000000001</v>
      </c>
      <c r="D21" s="1">
        <v>8.4899999999999993E-3</v>
      </c>
      <c r="E21" s="1">
        <v>1.413333</v>
      </c>
      <c r="F21" s="1">
        <v>0.66700000000000004</v>
      </c>
      <c r="G21" s="1">
        <v>22583.37</v>
      </c>
      <c r="H21" s="1">
        <v>17.5</v>
      </c>
      <c r="I21" s="1">
        <v>12.740740000000001</v>
      </c>
      <c r="J21" s="1">
        <v>4.6699999999999997E-3</v>
      </c>
      <c r="K21" s="1">
        <v>-1.171805E-5</v>
      </c>
      <c r="L21" s="1">
        <v>5.8599999999999998E-6</v>
      </c>
      <c r="M21" s="1">
        <v>35216.800000000003</v>
      </c>
      <c r="N21" s="1">
        <v>26.4</v>
      </c>
      <c r="O21" t="s">
        <v>337</v>
      </c>
      <c r="P21" t="s">
        <v>327</v>
      </c>
      <c r="Q21">
        <v>577</v>
      </c>
    </row>
    <row r="22" spans="1:17">
      <c r="A22" s="1">
        <v>208.03030000000001</v>
      </c>
      <c r="B22" s="1">
        <v>1.4800000000000001E-2</v>
      </c>
      <c r="C22" s="1">
        <v>140.4502</v>
      </c>
      <c r="D22" s="1">
        <v>5.0499999999999998E-3</v>
      </c>
      <c r="E22" s="1">
        <v>1.0005360000000001</v>
      </c>
      <c r="F22" s="1">
        <v>3.1E-4</v>
      </c>
      <c r="G22" s="1">
        <v>11120.7</v>
      </c>
      <c r="H22" s="1">
        <v>4.24</v>
      </c>
      <c r="I22" s="1">
        <v>27.224</v>
      </c>
      <c r="J22" s="1">
        <v>2.4899999999999999E-2</v>
      </c>
      <c r="K22" s="1">
        <v>0.1308656</v>
      </c>
      <c r="L22" s="1">
        <v>1.2E-4</v>
      </c>
      <c r="M22" s="1">
        <v>152812.5</v>
      </c>
      <c r="N22" s="1">
        <v>148</v>
      </c>
      <c r="O22" t="s">
        <v>335</v>
      </c>
      <c r="P22" t="s">
        <v>327</v>
      </c>
      <c r="Q22">
        <v>580</v>
      </c>
    </row>
    <row r="23" spans="1:17">
      <c r="A23" s="1">
        <v>-287674.7</v>
      </c>
      <c r="B23" s="1">
        <v>423000</v>
      </c>
      <c r="C23" s="1">
        <v>140.65129999999999</v>
      </c>
      <c r="D23" s="1">
        <v>1.3599999999999999E-2</v>
      </c>
      <c r="E23" s="1">
        <v>-1.5839019999999999</v>
      </c>
      <c r="F23" s="1">
        <v>1.6</v>
      </c>
      <c r="G23" s="1">
        <v>22571.24</v>
      </c>
      <c r="H23" s="1">
        <v>14.8</v>
      </c>
      <c r="I23" s="1">
        <v>12.65685</v>
      </c>
      <c r="J23" s="1">
        <v>8.5199999999999998E-3</v>
      </c>
      <c r="K23" s="1">
        <v>2.8426710000000002E-6</v>
      </c>
      <c r="L23" s="1">
        <v>6.8600000000000004E-6</v>
      </c>
      <c r="M23" s="1">
        <v>35003.72</v>
      </c>
      <c r="N23" s="1">
        <v>36.200000000000003</v>
      </c>
      <c r="O23" t="s">
        <v>337</v>
      </c>
      <c r="P23" t="s">
        <v>327</v>
      </c>
      <c r="Q23">
        <v>584</v>
      </c>
    </row>
    <row r="26" spans="1:17">
      <c r="A26" t="s">
        <v>338</v>
      </c>
    </row>
    <row r="27" spans="1:17">
      <c r="A27" s="88" t="s">
        <v>5</v>
      </c>
      <c r="B27" s="88" t="s">
        <v>1</v>
      </c>
      <c r="C27" s="88" t="s">
        <v>6</v>
      </c>
      <c r="D27" s="88" t="s">
        <v>1</v>
      </c>
      <c r="E27" s="88" t="s">
        <v>310</v>
      </c>
      <c r="F27" s="88" t="s">
        <v>1</v>
      </c>
      <c r="G27" s="88" t="s">
        <v>11</v>
      </c>
      <c r="H27" s="88" t="s">
        <v>1</v>
      </c>
      <c r="I27" s="88" t="s">
        <v>311</v>
      </c>
      <c r="J27" s="88" t="s">
        <v>1</v>
      </c>
      <c r="K27" s="88" t="s">
        <v>312</v>
      </c>
      <c r="L27" s="88" t="s">
        <v>1</v>
      </c>
      <c r="M27" s="88" t="s">
        <v>105</v>
      </c>
      <c r="N27" s="88" t="s">
        <v>106</v>
      </c>
      <c r="O27" s="88" t="s">
        <v>107</v>
      </c>
    </row>
    <row r="28" spans="1:17">
      <c r="A28" s="1">
        <v>12.50118</v>
      </c>
      <c r="B28" s="1">
        <v>2.5899999999999999E-2</v>
      </c>
      <c r="C28" s="1">
        <v>1.7674200000000001E-5</v>
      </c>
      <c r="D28" s="1">
        <v>1.1800000000000001E-5</v>
      </c>
      <c r="E28" s="1">
        <v>713.69190000000003</v>
      </c>
      <c r="F28" s="1">
        <v>6.29</v>
      </c>
      <c r="G28" s="1">
        <v>342.24250000000001</v>
      </c>
      <c r="H28" s="1">
        <v>8.9499999999999993</v>
      </c>
      <c r="I28" s="1">
        <v>102.0124</v>
      </c>
      <c r="J28" s="1">
        <v>7.81</v>
      </c>
      <c r="K28" s="1">
        <v>58.006990000000002</v>
      </c>
      <c r="L28" s="1">
        <v>3.38</v>
      </c>
      <c r="M28" t="s">
        <v>339</v>
      </c>
      <c r="N28" t="s">
        <v>327</v>
      </c>
      <c r="O28">
        <v>524</v>
      </c>
    </row>
    <row r="29" spans="1:17">
      <c r="A29" s="1">
        <v>11.461259999999999</v>
      </c>
      <c r="B29" s="1">
        <v>6.3200000000000006E-2</v>
      </c>
      <c r="C29" s="1">
        <v>4.2946990000000003E-6</v>
      </c>
      <c r="D29" s="1">
        <v>6.0599999999999996E-6</v>
      </c>
      <c r="E29" s="1">
        <v>590.27509999999995</v>
      </c>
      <c r="F29" s="1">
        <v>22.5</v>
      </c>
      <c r="G29" s="1">
        <v>298.43689999999998</v>
      </c>
      <c r="H29" s="1">
        <v>7.7</v>
      </c>
      <c r="I29" s="1">
        <v>88.610720000000001</v>
      </c>
      <c r="J29" s="1">
        <v>5.47</v>
      </c>
      <c r="K29" s="1">
        <v>50.40607</v>
      </c>
      <c r="L29" s="1">
        <v>2.16</v>
      </c>
      <c r="M29" t="s">
        <v>339</v>
      </c>
      <c r="N29" t="s">
        <v>327</v>
      </c>
      <c r="O29">
        <v>530</v>
      </c>
    </row>
    <row r="30" spans="1:17">
      <c r="A30" s="1">
        <v>12.04284</v>
      </c>
      <c r="B30" s="1">
        <v>2.93E-2</v>
      </c>
      <c r="C30" s="1">
        <v>1.5930829999999999E-5</v>
      </c>
      <c r="D30" s="1">
        <v>8.14E-6</v>
      </c>
      <c r="E30" s="1">
        <v>608.67759999999998</v>
      </c>
      <c r="F30" s="1">
        <v>6.22</v>
      </c>
      <c r="G30" s="1">
        <v>318.6395</v>
      </c>
      <c r="H30" s="1">
        <v>8.4600000000000009</v>
      </c>
      <c r="I30" s="1">
        <v>85.810379999999995</v>
      </c>
      <c r="J30" s="1">
        <v>2.17</v>
      </c>
      <c r="K30" s="1">
        <v>48.605849999999997</v>
      </c>
      <c r="L30" s="1">
        <v>3.17</v>
      </c>
      <c r="M30" t="s">
        <v>339</v>
      </c>
      <c r="N30" t="s">
        <v>327</v>
      </c>
      <c r="O30">
        <v>536</v>
      </c>
    </row>
    <row r="31" spans="1:17">
      <c r="A31" s="1">
        <v>12.333550000000001</v>
      </c>
      <c r="B31" s="1">
        <v>1.46E-2</v>
      </c>
      <c r="C31" s="1">
        <v>2.363394E-5</v>
      </c>
      <c r="D31" s="1">
        <v>5.3499999999999996E-6</v>
      </c>
      <c r="E31" s="1">
        <v>639.08169999999996</v>
      </c>
      <c r="F31" s="1">
        <v>15.2</v>
      </c>
      <c r="G31" s="1">
        <v>303.63760000000002</v>
      </c>
      <c r="H31" s="1">
        <v>11.6</v>
      </c>
      <c r="I31" s="1">
        <v>98.411919999999995</v>
      </c>
      <c r="J31" s="1">
        <v>3.44</v>
      </c>
      <c r="K31" s="1">
        <v>52.406320000000001</v>
      </c>
      <c r="L31" s="1">
        <v>3.36</v>
      </c>
      <c r="M31" t="s">
        <v>339</v>
      </c>
      <c r="N31" t="s">
        <v>327</v>
      </c>
      <c r="O31">
        <v>542</v>
      </c>
    </row>
    <row r="32" spans="1:17">
      <c r="A32" s="1">
        <v>12.61748</v>
      </c>
      <c r="B32" s="1">
        <v>3.3000000000000002E-2</v>
      </c>
      <c r="C32" s="1">
        <v>1.440793E-5</v>
      </c>
      <c r="D32" s="1">
        <v>7.1400000000000002E-6</v>
      </c>
      <c r="E32" s="1">
        <v>671.48609999999996</v>
      </c>
      <c r="F32" s="1">
        <v>13.3</v>
      </c>
      <c r="G32" s="1">
        <v>313.83890000000002</v>
      </c>
      <c r="H32" s="1">
        <v>9.27</v>
      </c>
      <c r="I32" s="1">
        <v>99.61206</v>
      </c>
      <c r="J32" s="1">
        <v>3.19</v>
      </c>
      <c r="K32" s="1">
        <v>48.20581</v>
      </c>
      <c r="L32" s="1">
        <v>2.87</v>
      </c>
      <c r="M32" t="s">
        <v>339</v>
      </c>
      <c r="N32" t="s">
        <v>327</v>
      </c>
      <c r="O32">
        <v>548</v>
      </c>
    </row>
    <row r="33" spans="1:15">
      <c r="A33" s="1">
        <v>12.66583</v>
      </c>
      <c r="B33" s="1">
        <v>1.6500000000000001E-2</v>
      </c>
      <c r="C33" s="1">
        <v>-5.4522800000000002E-7</v>
      </c>
      <c r="D33" s="1">
        <v>5.4E-6</v>
      </c>
      <c r="E33" s="1">
        <v>677.28689999999995</v>
      </c>
      <c r="F33" s="1">
        <v>13.8</v>
      </c>
      <c r="G33" s="1">
        <v>323.44009999999997</v>
      </c>
      <c r="H33" s="1">
        <v>7.67</v>
      </c>
      <c r="I33" s="1">
        <v>88.210669999999993</v>
      </c>
      <c r="J33" s="1">
        <v>3.96</v>
      </c>
      <c r="K33" s="1">
        <v>51.406199999999998</v>
      </c>
      <c r="L33" s="1">
        <v>3.17</v>
      </c>
      <c r="M33" t="s">
        <v>339</v>
      </c>
      <c r="N33" t="s">
        <v>327</v>
      </c>
      <c r="O33">
        <v>554</v>
      </c>
    </row>
    <row r="34" spans="1:15">
      <c r="A34" s="1">
        <v>12.690849999999999</v>
      </c>
      <c r="B34" s="1">
        <v>3.85E-2</v>
      </c>
      <c r="C34" s="1">
        <v>2.7012230000000001E-5</v>
      </c>
      <c r="D34" s="1">
        <v>6.6699999999999997E-6</v>
      </c>
      <c r="E34" s="1">
        <v>676.48680000000002</v>
      </c>
      <c r="F34" s="1">
        <v>12.3</v>
      </c>
      <c r="G34" s="1">
        <v>324.64019999999999</v>
      </c>
      <c r="H34" s="1">
        <v>9.74</v>
      </c>
      <c r="I34" s="1">
        <v>100.6122</v>
      </c>
      <c r="J34" s="1">
        <v>6.33</v>
      </c>
      <c r="K34" s="1">
        <v>47.805759999999999</v>
      </c>
      <c r="L34" s="1">
        <v>2.0299999999999998</v>
      </c>
      <c r="M34" t="s">
        <v>339</v>
      </c>
      <c r="N34" t="s">
        <v>327</v>
      </c>
      <c r="O34">
        <v>560</v>
      </c>
    </row>
    <row r="35" spans="1:15">
      <c r="A35" s="1">
        <v>12.517440000000001</v>
      </c>
      <c r="B35" s="1">
        <v>8.5199999999999998E-2</v>
      </c>
      <c r="C35" s="1">
        <v>1.7307099999999999E-5</v>
      </c>
      <c r="D35" s="1">
        <v>1.0699999999999999E-5</v>
      </c>
      <c r="E35" s="1">
        <v>629.88040000000001</v>
      </c>
      <c r="F35" s="1">
        <v>11.3</v>
      </c>
      <c r="G35" s="1">
        <v>317.4393</v>
      </c>
      <c r="H35" s="1">
        <v>9.92</v>
      </c>
      <c r="I35" s="1">
        <v>90.810990000000004</v>
      </c>
      <c r="J35" s="1">
        <v>3.11</v>
      </c>
      <c r="K35" s="1">
        <v>46.605609999999999</v>
      </c>
      <c r="L35" s="1">
        <v>3.59</v>
      </c>
      <c r="M35" t="s">
        <v>339</v>
      </c>
      <c r="N35" t="s">
        <v>327</v>
      </c>
      <c r="O35">
        <v>566</v>
      </c>
    </row>
    <row r="36" spans="1:15">
      <c r="A36" s="1">
        <v>12.69627</v>
      </c>
      <c r="B36" s="1">
        <v>2.64E-2</v>
      </c>
      <c r="C36" s="1">
        <v>9.6681789999999992E-6</v>
      </c>
      <c r="D36" s="1">
        <v>1.3200000000000001E-5</v>
      </c>
      <c r="E36" s="1">
        <v>673.28639999999996</v>
      </c>
      <c r="F36" s="1">
        <v>11.2</v>
      </c>
      <c r="G36" s="1">
        <v>336.44170000000003</v>
      </c>
      <c r="H36" s="1">
        <v>7.69</v>
      </c>
      <c r="I36" s="1">
        <v>96.811719999999994</v>
      </c>
      <c r="J36" s="1">
        <v>4.78</v>
      </c>
      <c r="K36" s="1">
        <v>53.806489999999997</v>
      </c>
      <c r="L36" s="1">
        <v>5.25</v>
      </c>
      <c r="M36" t="s">
        <v>339</v>
      </c>
      <c r="N36" t="s">
        <v>327</v>
      </c>
      <c r="O36">
        <v>572</v>
      </c>
    </row>
    <row r="37" spans="1:15">
      <c r="A37" s="1">
        <v>12.46002</v>
      </c>
      <c r="B37" s="1">
        <v>5.6800000000000003E-2</v>
      </c>
      <c r="C37" s="1">
        <v>1.4554570000000001E-5</v>
      </c>
      <c r="D37" s="1">
        <v>8.3699999999999995E-6</v>
      </c>
      <c r="E37" s="1">
        <v>614.87840000000006</v>
      </c>
      <c r="F37" s="1">
        <v>9.4700000000000006</v>
      </c>
      <c r="G37" s="1">
        <v>317.03919999999999</v>
      </c>
      <c r="H37" s="1">
        <v>4.72</v>
      </c>
      <c r="I37" s="1">
        <v>101.6123</v>
      </c>
      <c r="J37" s="1">
        <v>2.84</v>
      </c>
      <c r="K37" s="1">
        <v>47.405709999999999</v>
      </c>
      <c r="L37" s="1">
        <v>1.44</v>
      </c>
      <c r="M37" t="s">
        <v>339</v>
      </c>
      <c r="N37" t="s">
        <v>327</v>
      </c>
      <c r="O37">
        <v>578</v>
      </c>
    </row>
    <row r="38" spans="1:15">
      <c r="A38" s="1">
        <v>12.384869999999999</v>
      </c>
      <c r="B38" s="1">
        <v>6.8599999999999994E-2</v>
      </c>
      <c r="C38" s="1">
        <v>2.0693329999999999E-5</v>
      </c>
      <c r="D38" s="1">
        <v>1.19E-5</v>
      </c>
      <c r="E38" s="1">
        <v>644.28240000000005</v>
      </c>
      <c r="F38" s="1">
        <v>10.4</v>
      </c>
      <c r="G38" s="1">
        <v>317.83929999999998</v>
      </c>
      <c r="H38" s="1">
        <v>5.69</v>
      </c>
      <c r="I38" s="1">
        <v>88.810739999999996</v>
      </c>
      <c r="J38" s="1">
        <v>4.6399999999999997</v>
      </c>
      <c r="K38" s="1">
        <v>52.406320000000001</v>
      </c>
      <c r="L38" s="1">
        <v>3.36</v>
      </c>
      <c r="M38" t="s">
        <v>339</v>
      </c>
      <c r="N38" t="s">
        <v>327</v>
      </c>
      <c r="O38">
        <v>585</v>
      </c>
    </row>
  </sheetData>
  <sortState xmlns:xlrd2="http://schemas.microsoft.com/office/spreadsheetml/2017/richdata2" ref="A3:Q23">
    <sortCondition ref="Q3:Q23"/>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37B46-EA8C-4956-A0BA-743183E03F99}">
  <dimension ref="A1:S28"/>
  <sheetViews>
    <sheetView topLeftCell="C1" workbookViewId="0">
      <selection activeCell="C14" sqref="C14"/>
    </sheetView>
  </sheetViews>
  <sheetFormatPr defaultRowHeight="15.75"/>
  <cols>
    <col min="1" max="1" width="14.375" customWidth="1"/>
    <col min="3" max="3" width="12" bestFit="1" customWidth="1"/>
    <col min="5" max="5" width="12" bestFit="1" customWidth="1"/>
    <col min="9" max="9" width="10.5" bestFit="1" customWidth="1"/>
    <col min="15" max="15" width="21.625" bestFit="1" customWidth="1"/>
    <col min="17" max="17" width="21.25" bestFit="1" customWidth="1"/>
    <col min="18" max="18" width="13.375" bestFit="1" customWidth="1"/>
    <col min="19" max="19" width="11.25" bestFit="1" customWidth="1"/>
  </cols>
  <sheetData>
    <row r="1" spans="1:19">
      <c r="A1" t="s">
        <v>325</v>
      </c>
    </row>
    <row r="2" spans="1:19">
      <c r="A2" s="88" t="s">
        <v>340</v>
      </c>
      <c r="B2" s="88" t="s">
        <v>1</v>
      </c>
      <c r="C2" s="88" t="s">
        <v>99</v>
      </c>
      <c r="D2" s="88" t="s">
        <v>1</v>
      </c>
      <c r="E2" s="88" t="s">
        <v>100</v>
      </c>
      <c r="F2" s="88" t="s">
        <v>1</v>
      </c>
      <c r="G2" s="88" t="s">
        <v>101</v>
      </c>
      <c r="H2" s="88" t="s">
        <v>1</v>
      </c>
      <c r="I2" s="88" t="s">
        <v>102</v>
      </c>
      <c r="J2" s="88" t="s">
        <v>1</v>
      </c>
      <c r="K2" s="88" t="s">
        <v>103</v>
      </c>
      <c r="L2" s="88" t="s">
        <v>1</v>
      </c>
      <c r="M2" s="88" t="s">
        <v>341</v>
      </c>
      <c r="N2" s="88" t="s">
        <v>1</v>
      </c>
      <c r="O2" s="88" t="s">
        <v>342</v>
      </c>
      <c r="P2" s="88" t="s">
        <v>1</v>
      </c>
      <c r="Q2" s="88" t="s">
        <v>105</v>
      </c>
      <c r="R2" s="88" t="s">
        <v>106</v>
      </c>
      <c r="S2" s="88" t="s">
        <v>107</v>
      </c>
    </row>
    <row r="3" spans="1:19">
      <c r="A3" s="1">
        <v>3.1486449999999998E-3</v>
      </c>
      <c r="B3" s="1">
        <v>2.2199999999999999E-6</v>
      </c>
      <c r="C3" s="1">
        <v>13.6807</v>
      </c>
      <c r="D3" s="1">
        <v>5.3699999999999998E-3</v>
      </c>
      <c r="E3" s="1">
        <v>4.3075719999999998E-2</v>
      </c>
      <c r="F3" s="1">
        <v>3.7100000000000001E-5</v>
      </c>
      <c r="G3" s="1">
        <v>0.2137329</v>
      </c>
      <c r="H3" s="1">
        <v>1.8000000000000001E-4</v>
      </c>
      <c r="I3" s="1">
        <v>42008.14</v>
      </c>
      <c r="J3" s="1">
        <v>48.6</v>
      </c>
      <c r="K3" s="1">
        <v>1.5623059999999999E-2</v>
      </c>
      <c r="L3" s="1">
        <v>1.5699999999999999E-5</v>
      </c>
      <c r="M3" s="1">
        <v>9.0632750000000002E-4</v>
      </c>
      <c r="N3" s="1">
        <v>6.5300000000000002E-5</v>
      </c>
      <c r="O3" s="1">
        <v>0.90010800000000002</v>
      </c>
      <c r="P3" s="1">
        <v>6.9200000000000001E-9</v>
      </c>
      <c r="Q3" t="s">
        <v>344</v>
      </c>
      <c r="R3" t="s">
        <v>343</v>
      </c>
      <c r="S3">
        <v>588</v>
      </c>
    </row>
    <row r="4" spans="1:19">
      <c r="A4" s="1">
        <v>3.148554E-3</v>
      </c>
      <c r="B4" s="1">
        <v>2.0899999999999999E-6</v>
      </c>
      <c r="C4" s="1">
        <v>13.688269999999999</v>
      </c>
      <c r="D4" s="1">
        <v>5.5999999999999999E-3</v>
      </c>
      <c r="E4" s="1">
        <v>4.3077039999999997E-2</v>
      </c>
      <c r="F4" s="1">
        <v>2.8399999999999999E-5</v>
      </c>
      <c r="G4" s="1">
        <v>0.21147050000000001</v>
      </c>
      <c r="H4" s="1">
        <v>3.0299999999999999E-4</v>
      </c>
      <c r="I4" s="1">
        <v>41571.050000000003</v>
      </c>
      <c r="J4" s="1">
        <v>51.3</v>
      </c>
      <c r="K4" s="1">
        <v>1.5460069999999999E-2</v>
      </c>
      <c r="L4" s="1">
        <v>2.0100000000000001E-5</v>
      </c>
      <c r="M4" s="1">
        <v>9.2377659999999995E-4</v>
      </c>
      <c r="N4" s="1">
        <v>1.73E-4</v>
      </c>
      <c r="O4" s="1">
        <v>1.0667949999999999</v>
      </c>
      <c r="P4" s="1">
        <v>3.6600000000000002E-9</v>
      </c>
      <c r="Q4" t="s">
        <v>344</v>
      </c>
      <c r="R4" t="s">
        <v>343</v>
      </c>
      <c r="S4">
        <v>590</v>
      </c>
    </row>
    <row r="5" spans="1:19">
      <c r="A5" s="1">
        <v>7.9190089999999999E-4</v>
      </c>
      <c r="B5" s="1">
        <v>1.25E-4</v>
      </c>
      <c r="C5" s="1">
        <v>0.65219570000000004</v>
      </c>
      <c r="D5" s="1">
        <v>0.60499999999999998</v>
      </c>
      <c r="E5" s="1">
        <v>9.4154839999999998E-5</v>
      </c>
      <c r="F5" s="1">
        <v>5.6899999999999997E-6</v>
      </c>
      <c r="G5" s="1">
        <v>8.1019429999999997E-4</v>
      </c>
      <c r="H5" s="1">
        <v>7.5199999999999996E-4</v>
      </c>
      <c r="I5" s="1">
        <v>7.2859619999999996</v>
      </c>
      <c r="J5" s="1">
        <v>0.437</v>
      </c>
      <c r="K5" s="1">
        <v>1.240007E-3</v>
      </c>
      <c r="L5" s="1">
        <v>3.5700000000000001E-6</v>
      </c>
      <c r="M5" s="1">
        <v>6.9294680000000003E-3</v>
      </c>
      <c r="N5" s="1">
        <v>5.0799999999999999E-4</v>
      </c>
      <c r="O5" s="1">
        <v>1.631775</v>
      </c>
      <c r="P5" s="1">
        <v>4.5900000000000001E-9</v>
      </c>
      <c r="Q5" t="s">
        <v>336</v>
      </c>
      <c r="R5" t="s">
        <v>343</v>
      </c>
      <c r="S5">
        <v>592</v>
      </c>
    </row>
    <row r="6" spans="1:19">
      <c r="A6" s="1">
        <v>3.146233E-3</v>
      </c>
      <c r="B6" s="1">
        <v>1.7099999999999999E-6</v>
      </c>
      <c r="C6" s="1">
        <v>13.68005</v>
      </c>
      <c r="D6" s="1">
        <v>4.4000000000000003E-3</v>
      </c>
      <c r="E6" s="1">
        <v>4.305726E-2</v>
      </c>
      <c r="F6" s="1">
        <v>2.5999999999999998E-5</v>
      </c>
      <c r="G6" s="1">
        <v>0.2125949</v>
      </c>
      <c r="H6" s="1">
        <v>1.6699999999999999E-4</v>
      </c>
      <c r="I6" s="1">
        <v>41768.51</v>
      </c>
      <c r="J6" s="1">
        <v>39.1</v>
      </c>
      <c r="K6" s="1">
        <v>1.554052E-2</v>
      </c>
      <c r="L6" s="1">
        <v>1.2099999999999999E-5</v>
      </c>
      <c r="M6" s="1">
        <v>4.778297E-4</v>
      </c>
      <c r="N6" s="1">
        <v>5.63E-5</v>
      </c>
      <c r="O6" s="1">
        <v>0.8071142</v>
      </c>
      <c r="P6" s="1">
        <v>0</v>
      </c>
      <c r="Q6" t="s">
        <v>344</v>
      </c>
      <c r="R6" t="s">
        <v>343</v>
      </c>
      <c r="S6">
        <v>594</v>
      </c>
    </row>
    <row r="7" spans="1:19">
      <c r="A7" s="1">
        <v>6.9381770000000005E-5</v>
      </c>
      <c r="B7" s="1">
        <v>2.4299999999999999E-7</v>
      </c>
      <c r="C7" s="1">
        <v>22.19847</v>
      </c>
      <c r="D7" s="1">
        <v>7.7099999999999998E-3</v>
      </c>
      <c r="E7" s="1">
        <v>1.5401659999999999E-3</v>
      </c>
      <c r="F7" s="1">
        <v>5.3800000000000002E-6</v>
      </c>
      <c r="G7" s="1">
        <v>0.29885060000000002</v>
      </c>
      <c r="H7" s="1">
        <v>3.2000000000000003E-4</v>
      </c>
      <c r="I7" s="1">
        <v>1294.289</v>
      </c>
      <c r="J7" s="1">
        <v>4.55</v>
      </c>
      <c r="K7" s="1">
        <v>1.3462719999999999E-2</v>
      </c>
      <c r="L7" s="1">
        <v>1.5500000000000001E-5</v>
      </c>
      <c r="M7" s="1">
        <v>5.2032579999999999</v>
      </c>
      <c r="N7" s="1">
        <v>5.2399999999999999E-3</v>
      </c>
      <c r="O7" s="1">
        <v>1.266818</v>
      </c>
      <c r="P7" s="1">
        <v>0</v>
      </c>
      <c r="Q7" t="s">
        <v>326</v>
      </c>
      <c r="R7" t="s">
        <v>343</v>
      </c>
      <c r="S7">
        <v>596</v>
      </c>
    </row>
    <row r="8" spans="1:19">
      <c r="A8" s="1">
        <v>3.1473220000000001E-3</v>
      </c>
      <c r="B8" s="1">
        <v>2.0499999999999999E-6</v>
      </c>
      <c r="C8" s="1">
        <v>13.673109999999999</v>
      </c>
      <c r="D8" s="1">
        <v>3.3300000000000001E-3</v>
      </c>
      <c r="E8" s="1">
        <v>4.3033719999999998E-2</v>
      </c>
      <c r="F8" s="1">
        <v>3.1300000000000002E-5</v>
      </c>
      <c r="G8" s="1">
        <v>0.21877089999999999</v>
      </c>
      <c r="H8" s="1">
        <v>1.7100000000000001E-4</v>
      </c>
      <c r="I8" s="1">
        <v>42980.06</v>
      </c>
      <c r="J8" s="1">
        <v>39.4</v>
      </c>
      <c r="K8" s="1">
        <v>1.6000090000000002E-2</v>
      </c>
      <c r="L8" s="1">
        <v>1.24E-5</v>
      </c>
      <c r="M8" s="1">
        <v>5.7286770000000004E-4</v>
      </c>
      <c r="N8" s="1">
        <v>4.6199999999999998E-5</v>
      </c>
      <c r="O8" s="1">
        <v>1.0667949999999999</v>
      </c>
      <c r="P8" s="1">
        <v>3.6600000000000002E-9</v>
      </c>
      <c r="Q8" t="s">
        <v>344</v>
      </c>
      <c r="R8" t="s">
        <v>343</v>
      </c>
      <c r="S8">
        <v>598</v>
      </c>
    </row>
    <row r="9" spans="1:19">
      <c r="A9" s="1">
        <v>5.1353659999999997E-4</v>
      </c>
      <c r="B9" s="1">
        <v>1.02E-6</v>
      </c>
      <c r="C9" s="1">
        <v>11.080970000000001</v>
      </c>
      <c r="D9" s="1">
        <v>4.7200000000000002E-3</v>
      </c>
      <c r="E9" s="1">
        <v>5.6904980000000004E-3</v>
      </c>
      <c r="F9" s="1">
        <v>1.19E-5</v>
      </c>
      <c r="G9" s="1">
        <v>0.16568379999999999</v>
      </c>
      <c r="H9" s="1">
        <v>1.9699999999999999E-4</v>
      </c>
      <c r="I9" s="1">
        <v>5311.1019999999999</v>
      </c>
      <c r="J9" s="1">
        <v>11.3</v>
      </c>
      <c r="K9" s="1">
        <v>1.495225E-2</v>
      </c>
      <c r="L9" s="1">
        <v>2.1100000000000001E-5</v>
      </c>
      <c r="M9" s="1">
        <v>19.419080000000001</v>
      </c>
      <c r="N9" s="1">
        <v>2.1600000000000001E-2</v>
      </c>
      <c r="O9" s="1">
        <v>1.166806</v>
      </c>
      <c r="P9" s="1">
        <v>0</v>
      </c>
      <c r="Q9" t="s">
        <v>328</v>
      </c>
      <c r="R9" t="s">
        <v>343</v>
      </c>
      <c r="S9">
        <v>600</v>
      </c>
    </row>
    <row r="10" spans="1:19">
      <c r="A10" s="1">
        <v>3.143631E-3</v>
      </c>
      <c r="B10" s="1">
        <v>1.77E-6</v>
      </c>
      <c r="C10" s="1">
        <v>13.67001</v>
      </c>
      <c r="D10" s="1">
        <v>4.5900000000000003E-3</v>
      </c>
      <c r="E10" s="1">
        <v>4.2973440000000002E-2</v>
      </c>
      <c r="F10" s="1">
        <v>2.5899999999999999E-5</v>
      </c>
      <c r="G10" s="1">
        <v>0.2243328</v>
      </c>
      <c r="H10" s="1">
        <v>2.1699999999999999E-4</v>
      </c>
      <c r="I10" s="1">
        <v>44021.02</v>
      </c>
      <c r="J10" s="1">
        <v>43.6</v>
      </c>
      <c r="K10" s="1">
        <v>1.6410620000000001E-2</v>
      </c>
      <c r="L10" s="1">
        <v>1.6699999999999999E-5</v>
      </c>
      <c r="M10" s="1">
        <v>2.3820140000000001E-4</v>
      </c>
      <c r="N10" s="1">
        <v>3.7799999999999997E-5</v>
      </c>
      <c r="O10" s="1">
        <v>1.016788</v>
      </c>
      <c r="P10" s="1">
        <v>0</v>
      </c>
      <c r="Q10" t="s">
        <v>344</v>
      </c>
      <c r="R10" t="s">
        <v>343</v>
      </c>
      <c r="S10">
        <v>602</v>
      </c>
    </row>
    <row r="11" spans="1:19">
      <c r="A11" s="1">
        <v>1.9654580000000001E-4</v>
      </c>
      <c r="B11" s="1">
        <v>5.7000000000000005E-7</v>
      </c>
      <c r="C11" s="1">
        <v>21.16384</v>
      </c>
      <c r="D11" s="1">
        <v>1.2E-2</v>
      </c>
      <c r="E11" s="1">
        <v>4.1596890000000003E-3</v>
      </c>
      <c r="F11" s="1">
        <v>1.26E-5</v>
      </c>
      <c r="G11" s="1">
        <v>0.1893743</v>
      </c>
      <c r="H11" s="1">
        <v>2.7799999999999998E-4</v>
      </c>
      <c r="I11" s="1">
        <v>2323.4160000000002</v>
      </c>
      <c r="J11" s="1">
        <v>7.87</v>
      </c>
      <c r="K11" s="1">
        <v>8.948124E-3</v>
      </c>
      <c r="L11" s="1">
        <v>1.52E-5</v>
      </c>
      <c r="M11" s="1">
        <v>13.072139999999999</v>
      </c>
      <c r="N11" s="1">
        <v>1.7000000000000001E-2</v>
      </c>
      <c r="O11" s="1">
        <v>2.050246</v>
      </c>
      <c r="P11" s="1">
        <v>8.8900000000000005E-9</v>
      </c>
      <c r="Q11" t="s">
        <v>329</v>
      </c>
      <c r="R11" t="s">
        <v>343</v>
      </c>
      <c r="S11">
        <v>604</v>
      </c>
    </row>
    <row r="12" spans="1:19">
      <c r="A12" s="1">
        <v>3.151881E-3</v>
      </c>
      <c r="B12" s="1">
        <v>1.73E-6</v>
      </c>
      <c r="C12" s="1">
        <v>13.6654</v>
      </c>
      <c r="D12" s="1">
        <v>4.7299999999999998E-3</v>
      </c>
      <c r="E12" s="1">
        <v>4.3071739999999997E-2</v>
      </c>
      <c r="F12" s="1">
        <v>2.9099999999999999E-5</v>
      </c>
      <c r="G12" s="1">
        <v>0.22506200000000001</v>
      </c>
      <c r="H12" s="1">
        <v>2.6499999999999999E-4</v>
      </c>
      <c r="I12" s="1">
        <v>44280.22</v>
      </c>
      <c r="J12" s="1">
        <v>58.2</v>
      </c>
      <c r="K12" s="1">
        <v>1.646951E-2</v>
      </c>
      <c r="L12" s="1">
        <v>1.95E-5</v>
      </c>
      <c r="M12" s="1">
        <v>5.3607299999999997E-4</v>
      </c>
      <c r="N12" s="1">
        <v>6.19E-5</v>
      </c>
      <c r="O12" s="1">
        <v>0.93344510000000003</v>
      </c>
      <c r="P12" s="1">
        <v>1.73E-9</v>
      </c>
      <c r="Q12" t="s">
        <v>344</v>
      </c>
      <c r="R12" t="s">
        <v>343</v>
      </c>
      <c r="S12">
        <v>606</v>
      </c>
    </row>
    <row r="13" spans="1:19">
      <c r="A13" s="1">
        <v>4.558753E-4</v>
      </c>
      <c r="B13" s="1">
        <v>9.6200000000000006E-7</v>
      </c>
      <c r="C13" s="1">
        <v>17.86149</v>
      </c>
      <c r="D13" s="1">
        <v>7.6600000000000001E-3</v>
      </c>
      <c r="E13" s="1">
        <v>8.1425319999999992E-3</v>
      </c>
      <c r="F13" s="1">
        <v>1.59E-5</v>
      </c>
      <c r="G13" s="1">
        <v>0.17710300000000001</v>
      </c>
      <c r="H13" s="1">
        <v>2.5000000000000001E-4</v>
      </c>
      <c r="I13" s="1">
        <v>5039.7479999999996</v>
      </c>
      <c r="J13" s="1">
        <v>12.7</v>
      </c>
      <c r="K13" s="1">
        <v>9.9153950000000005E-3</v>
      </c>
      <c r="L13" s="1">
        <v>1.4600000000000001E-5</v>
      </c>
      <c r="M13" s="1">
        <v>22.359359999999999</v>
      </c>
      <c r="N13" s="1">
        <v>2.8400000000000002E-2</v>
      </c>
      <c r="O13" s="1">
        <v>1.0334570000000001</v>
      </c>
      <c r="P13" s="1">
        <v>0</v>
      </c>
      <c r="Q13" t="s">
        <v>330</v>
      </c>
      <c r="R13" t="s">
        <v>343</v>
      </c>
      <c r="S13">
        <v>608</v>
      </c>
    </row>
    <row r="14" spans="1:19">
      <c r="A14" s="1">
        <v>3.1456259999999999E-3</v>
      </c>
      <c r="B14" s="1">
        <v>2.2500000000000001E-6</v>
      </c>
      <c r="C14" s="1">
        <v>13.6807</v>
      </c>
      <c r="D14" s="1">
        <v>4.7600000000000003E-3</v>
      </c>
      <c r="E14" s="1">
        <v>4.3034429999999999E-2</v>
      </c>
      <c r="F14" s="1">
        <v>3.6600000000000002E-5</v>
      </c>
      <c r="G14" s="1">
        <v>0.2251261</v>
      </c>
      <c r="H14" s="1">
        <v>1.6200000000000001E-4</v>
      </c>
      <c r="I14" s="1">
        <v>44204.82</v>
      </c>
      <c r="J14" s="1">
        <v>41.7</v>
      </c>
      <c r="K14" s="1">
        <v>1.6455790000000001E-2</v>
      </c>
      <c r="L14" s="1">
        <v>1.26E-5</v>
      </c>
      <c r="M14" s="1">
        <v>5.4622809999999998E-4</v>
      </c>
      <c r="N14" s="1">
        <v>5.2200000000000002E-5</v>
      </c>
      <c r="O14" s="1">
        <v>0.88343950000000004</v>
      </c>
      <c r="P14" s="1">
        <v>6.4300000000000003E-9</v>
      </c>
      <c r="Q14" t="s">
        <v>344</v>
      </c>
      <c r="R14" t="s">
        <v>343</v>
      </c>
      <c r="S14">
        <v>610</v>
      </c>
    </row>
    <row r="15" spans="1:19">
      <c r="A15" s="1">
        <v>2.810103E-3</v>
      </c>
      <c r="B15" s="1">
        <v>6.37E-6</v>
      </c>
      <c r="C15" s="1">
        <v>1.865327</v>
      </c>
      <c r="D15" s="1">
        <v>8.52E-4</v>
      </c>
      <c r="E15" s="1">
        <v>5.241758E-3</v>
      </c>
      <c r="F15" s="1">
        <v>1.2099999999999999E-5</v>
      </c>
      <c r="G15" s="1">
        <v>2.6577259999999998E-2</v>
      </c>
      <c r="H15" s="1">
        <v>3.2400000000000001E-5</v>
      </c>
      <c r="I15" s="1">
        <v>4662.0469999999996</v>
      </c>
      <c r="J15" s="1">
        <v>13.2</v>
      </c>
      <c r="K15" s="1">
        <v>1.424808E-2</v>
      </c>
      <c r="L15" s="1">
        <v>1.7399999999999999E-5</v>
      </c>
      <c r="M15" s="1">
        <v>26.096430000000002</v>
      </c>
      <c r="N15" s="1">
        <v>3.2599999999999997E-2</v>
      </c>
      <c r="O15" s="1">
        <v>1.283487</v>
      </c>
      <c r="P15" s="1">
        <v>6.17E-9</v>
      </c>
      <c r="Q15" t="s">
        <v>331</v>
      </c>
      <c r="R15" t="s">
        <v>343</v>
      </c>
      <c r="S15">
        <v>612</v>
      </c>
    </row>
    <row r="16" spans="1:19">
      <c r="A16" s="1">
        <v>3.1446130000000001E-3</v>
      </c>
      <c r="B16" s="1">
        <v>1.5E-6</v>
      </c>
      <c r="C16" s="1">
        <v>13.68356</v>
      </c>
      <c r="D16" s="1">
        <v>4.5799999999999999E-3</v>
      </c>
      <c r="E16" s="1">
        <v>4.3029539999999998E-2</v>
      </c>
      <c r="F16" s="1">
        <v>2.7800000000000001E-5</v>
      </c>
      <c r="G16" s="1">
        <v>0.22787830000000001</v>
      </c>
      <c r="H16" s="1">
        <v>2.03E-4</v>
      </c>
      <c r="I16" s="1">
        <v>44730.99</v>
      </c>
      <c r="J16" s="1">
        <v>48.3</v>
      </c>
      <c r="K16" s="1">
        <v>1.6653459999999998E-2</v>
      </c>
      <c r="L16" s="1">
        <v>1.4600000000000001E-5</v>
      </c>
      <c r="M16" s="1">
        <v>4.5205480000000002E-4</v>
      </c>
      <c r="N16" s="1">
        <v>4.7500000000000003E-5</v>
      </c>
      <c r="O16" s="1">
        <v>0.92993570000000003</v>
      </c>
      <c r="P16" s="1">
        <v>0</v>
      </c>
      <c r="Q16" t="s">
        <v>344</v>
      </c>
      <c r="R16" t="s">
        <v>343</v>
      </c>
      <c r="S16">
        <v>614</v>
      </c>
    </row>
    <row r="17" spans="1:19">
      <c r="A17" s="1">
        <v>5.6225839999999999E-3</v>
      </c>
      <c r="B17" s="1">
        <v>1.1399999999999999E-5</v>
      </c>
      <c r="C17" s="1">
        <v>0.86541310000000005</v>
      </c>
      <c r="D17" s="1">
        <v>6.96E-4</v>
      </c>
      <c r="E17" s="1">
        <v>4.865856E-3</v>
      </c>
      <c r="F17" s="1">
        <v>1.0499999999999999E-5</v>
      </c>
      <c r="G17" s="1">
        <v>9.3348839999999999E-3</v>
      </c>
      <c r="H17" s="1">
        <v>1.19E-5</v>
      </c>
      <c r="I17" s="1">
        <v>3276.2840000000001</v>
      </c>
      <c r="J17" s="1">
        <v>7.71</v>
      </c>
      <c r="K17" s="1">
        <v>1.078667E-2</v>
      </c>
      <c r="L17" s="1">
        <v>1.24E-5</v>
      </c>
      <c r="M17" s="1">
        <v>8.2868449999999996</v>
      </c>
      <c r="N17" s="1">
        <v>7.5700000000000003E-3</v>
      </c>
      <c r="O17" s="1">
        <v>1.583523</v>
      </c>
      <c r="P17" s="1">
        <v>4.4699999999999997E-9</v>
      </c>
      <c r="Q17" t="s">
        <v>332</v>
      </c>
      <c r="R17" t="s">
        <v>343</v>
      </c>
      <c r="S17">
        <v>616</v>
      </c>
    </row>
    <row r="18" spans="1:19">
      <c r="A18" s="1">
        <v>3.1484249999999998E-3</v>
      </c>
      <c r="B18" s="1">
        <v>2.3199999999999998E-6</v>
      </c>
      <c r="C18" s="1">
        <v>13.683350000000001</v>
      </c>
      <c r="D18" s="1">
        <v>6.1500000000000001E-3</v>
      </c>
      <c r="E18" s="1">
        <v>4.3094170000000001E-2</v>
      </c>
      <c r="F18" s="1">
        <v>3.9100000000000002E-5</v>
      </c>
      <c r="G18" s="1">
        <v>0.23699819999999999</v>
      </c>
      <c r="H18" s="1">
        <v>1.33E-3</v>
      </c>
      <c r="I18" s="1">
        <v>46569.51</v>
      </c>
      <c r="J18" s="1">
        <v>272</v>
      </c>
      <c r="K18" s="1">
        <v>1.733757E-2</v>
      </c>
      <c r="L18" s="1">
        <v>9.5199999999999997E-5</v>
      </c>
      <c r="M18" s="1">
        <v>-6.0471579999999997E-5</v>
      </c>
      <c r="N18" s="1">
        <v>3.9499999999999998E-5</v>
      </c>
      <c r="O18" s="1">
        <v>1.5001800000000001</v>
      </c>
      <c r="P18" s="1">
        <v>0</v>
      </c>
      <c r="Q18" t="s">
        <v>344</v>
      </c>
      <c r="R18" t="s">
        <v>343</v>
      </c>
      <c r="S18">
        <v>618</v>
      </c>
    </row>
    <row r="19" spans="1:19">
      <c r="A19" s="1">
        <v>5.0438050000000002E-3</v>
      </c>
      <c r="B19" s="1">
        <v>7.3599999999999998E-6</v>
      </c>
      <c r="C19" s="1">
        <v>1.415602</v>
      </c>
      <c r="D19" s="1">
        <v>6.7900000000000002E-4</v>
      </c>
      <c r="E19" s="1">
        <v>7.1399849999999997E-3</v>
      </c>
      <c r="F19" s="1">
        <v>9.9299999999999998E-6</v>
      </c>
      <c r="G19" s="1">
        <v>1.9156579999999999E-2</v>
      </c>
      <c r="H19" s="1">
        <v>2.3E-5</v>
      </c>
      <c r="I19" s="1">
        <v>6031.3739999999998</v>
      </c>
      <c r="J19" s="1">
        <v>12.1</v>
      </c>
      <c r="K19" s="1">
        <v>1.3532519999999999E-2</v>
      </c>
      <c r="L19" s="1">
        <v>1.7099999999999999E-5</v>
      </c>
      <c r="M19" s="1">
        <v>20.065829999999998</v>
      </c>
      <c r="N19" s="1">
        <v>2.2100000000000002E-2</v>
      </c>
      <c r="O19" s="1">
        <v>1.683535</v>
      </c>
      <c r="P19" s="1">
        <v>7.6600000000000004E-9</v>
      </c>
      <c r="Q19" t="s">
        <v>333</v>
      </c>
      <c r="R19" t="s">
        <v>343</v>
      </c>
      <c r="S19">
        <v>620</v>
      </c>
    </row>
    <row r="20" spans="1:19">
      <c r="A20" s="1">
        <v>3.1456100000000001E-3</v>
      </c>
      <c r="B20" s="1">
        <v>2.48E-6</v>
      </c>
      <c r="C20" s="1">
        <v>13.67643</v>
      </c>
      <c r="D20" s="1">
        <v>4.3E-3</v>
      </c>
      <c r="E20" s="1">
        <v>4.3011389999999997E-2</v>
      </c>
      <c r="F20" s="1">
        <v>4.2799999999999997E-5</v>
      </c>
      <c r="G20" s="1">
        <v>0.23342560000000001</v>
      </c>
      <c r="H20" s="1">
        <v>2.5000000000000001E-4</v>
      </c>
      <c r="I20" s="1">
        <v>45834.15</v>
      </c>
      <c r="J20" s="1">
        <v>56.6</v>
      </c>
      <c r="K20" s="1">
        <v>1.7071570000000001E-2</v>
      </c>
      <c r="L20" s="1">
        <v>2.0000000000000002E-5</v>
      </c>
      <c r="M20" s="1">
        <v>3.3887540000000001E-4</v>
      </c>
      <c r="N20" s="1">
        <v>3.4499999999999998E-5</v>
      </c>
      <c r="O20" s="1">
        <v>1.333493</v>
      </c>
      <c r="P20" s="1">
        <v>0</v>
      </c>
      <c r="Q20" t="s">
        <v>344</v>
      </c>
      <c r="R20" t="s">
        <v>343</v>
      </c>
      <c r="S20">
        <v>622</v>
      </c>
    </row>
    <row r="21" spans="1:19">
      <c r="A21" s="1">
        <v>8.6529239999999996E-4</v>
      </c>
      <c r="B21" s="1">
        <v>1.9999999999999999E-6</v>
      </c>
      <c r="C21" s="1">
        <v>7.8411470000000003</v>
      </c>
      <c r="D21" s="1">
        <v>4.8599999999999997E-3</v>
      </c>
      <c r="E21" s="1">
        <v>6.7860819999999997E-3</v>
      </c>
      <c r="F21" s="1">
        <v>1.5299999999999999E-5</v>
      </c>
      <c r="G21" s="1">
        <v>7.0413089999999998E-2</v>
      </c>
      <c r="H21" s="1">
        <v>8.81E-5</v>
      </c>
      <c r="I21" s="1">
        <v>3796.2649999999999</v>
      </c>
      <c r="J21" s="1">
        <v>10.9</v>
      </c>
      <c r="K21" s="1">
        <v>8.9800169999999999E-3</v>
      </c>
      <c r="L21" s="1">
        <v>1.2099999999999999E-5</v>
      </c>
      <c r="M21" s="1">
        <v>7.5797939999999997</v>
      </c>
      <c r="N21" s="1">
        <v>7.9799999999999992E-3</v>
      </c>
      <c r="O21" s="1">
        <v>0.9501136</v>
      </c>
      <c r="P21" s="1">
        <v>5.4000000000000004E-9</v>
      </c>
      <c r="Q21" t="s">
        <v>334</v>
      </c>
      <c r="R21" t="s">
        <v>343</v>
      </c>
      <c r="S21">
        <v>624</v>
      </c>
    </row>
    <row r="22" spans="1:19">
      <c r="A22" s="1">
        <v>3.149757E-3</v>
      </c>
      <c r="B22" s="1">
        <v>1.79E-6</v>
      </c>
      <c r="C22" s="1">
        <v>13.67451</v>
      </c>
      <c r="D22" s="1">
        <v>4.5900000000000003E-3</v>
      </c>
      <c r="E22" s="1">
        <v>4.3071360000000003E-2</v>
      </c>
      <c r="F22" s="1">
        <v>2.6400000000000001E-5</v>
      </c>
      <c r="G22" s="1">
        <v>0.23984159999999999</v>
      </c>
      <c r="H22" s="1">
        <v>2.12E-4</v>
      </c>
      <c r="I22" s="1">
        <v>47156.24</v>
      </c>
      <c r="J22" s="1">
        <v>49.7</v>
      </c>
      <c r="K22" s="1">
        <v>1.7539349999999999E-2</v>
      </c>
      <c r="L22" s="1">
        <v>1.5400000000000002E-5</v>
      </c>
      <c r="M22" s="1">
        <v>5.4385510000000002E-4</v>
      </c>
      <c r="N22" s="1">
        <v>3.57E-5</v>
      </c>
      <c r="O22" s="1">
        <v>0.83343319999999999</v>
      </c>
      <c r="P22" s="1">
        <v>0</v>
      </c>
      <c r="Q22" t="s">
        <v>344</v>
      </c>
      <c r="R22" t="s">
        <v>343</v>
      </c>
      <c r="S22">
        <v>626</v>
      </c>
    </row>
    <row r="23" spans="1:19">
      <c r="A23" s="1">
        <v>1.5713319999999999E-3</v>
      </c>
      <c r="B23" s="1">
        <v>2.3300000000000001E-6</v>
      </c>
      <c r="C23" s="1">
        <v>12.056940000000001</v>
      </c>
      <c r="D23" s="1">
        <v>4.6600000000000001E-3</v>
      </c>
      <c r="E23" s="1">
        <v>1.8945489999999999E-2</v>
      </c>
      <c r="F23" s="1">
        <v>2.97E-5</v>
      </c>
      <c r="G23" s="1">
        <v>0.1412882</v>
      </c>
      <c r="H23" s="1">
        <v>2.0000000000000001E-4</v>
      </c>
      <c r="I23" s="1">
        <v>13858.14</v>
      </c>
      <c r="J23" s="1">
        <v>23.7</v>
      </c>
      <c r="K23" s="1">
        <v>1.171845E-2</v>
      </c>
      <c r="L23" s="1">
        <v>1.6900000000000001E-5</v>
      </c>
      <c r="M23" s="1">
        <v>3.5930550000000001</v>
      </c>
      <c r="N23" s="1">
        <v>4.6699999999999997E-3</v>
      </c>
      <c r="O23" s="1">
        <v>1.383499</v>
      </c>
      <c r="P23" s="1">
        <v>0</v>
      </c>
      <c r="Q23" t="s">
        <v>335</v>
      </c>
      <c r="R23" t="s">
        <v>343</v>
      </c>
      <c r="S23">
        <v>628</v>
      </c>
    </row>
    <row r="24" spans="1:19">
      <c r="A24" s="1">
        <v>3.148058E-3</v>
      </c>
      <c r="B24" s="1">
        <v>2.5399999999999998E-6</v>
      </c>
      <c r="C24" s="1">
        <v>13.675179999999999</v>
      </c>
      <c r="D24" s="1">
        <v>4.2500000000000003E-3</v>
      </c>
      <c r="E24" s="1">
        <v>4.3050239999999997E-2</v>
      </c>
      <c r="F24" s="1">
        <v>3.6600000000000002E-5</v>
      </c>
      <c r="G24" s="1">
        <v>0.23794309999999999</v>
      </c>
      <c r="H24" s="1">
        <v>2.81E-4</v>
      </c>
      <c r="I24" s="1">
        <v>46757.63</v>
      </c>
      <c r="J24" s="1">
        <v>64.7</v>
      </c>
      <c r="K24" s="1">
        <v>1.7399669999999999E-2</v>
      </c>
      <c r="L24" s="1">
        <v>2.09E-5</v>
      </c>
      <c r="M24" s="1">
        <v>4.1783290000000002E-4</v>
      </c>
      <c r="N24" s="1">
        <v>2.62E-5</v>
      </c>
      <c r="O24" s="1">
        <v>1.2001440000000001</v>
      </c>
      <c r="P24" s="1">
        <v>6.4000000000000002E-9</v>
      </c>
      <c r="Q24" t="s">
        <v>344</v>
      </c>
      <c r="R24" t="s">
        <v>343</v>
      </c>
      <c r="S24">
        <v>630</v>
      </c>
    </row>
    <row r="28" spans="1:19">
      <c r="N28" s="1"/>
    </row>
  </sheetData>
  <sortState xmlns:xlrd2="http://schemas.microsoft.com/office/spreadsheetml/2017/richdata2" ref="C3:S24">
    <sortCondition ref="S3:S2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Summary</vt:lpstr>
      <vt:lpstr>U-Th data</vt:lpstr>
      <vt:lpstr>U data</vt:lpstr>
      <vt:lpstr>Th data</vt:lpstr>
      <vt:lpstr>Constants</vt:lpstr>
      <vt:lpstr>Instructions</vt:lpstr>
      <vt:lpstr>Version</vt:lpstr>
      <vt:lpstr>U</vt:lpstr>
      <vt:lpstr>Th</vt:lpstr>
    </vt:vector>
  </TitlesOfParts>
  <Company>Columbia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McGee User</dc:creator>
  <cp:lastModifiedBy>Benjamin Hayden Tiger</cp:lastModifiedBy>
  <dcterms:created xsi:type="dcterms:W3CDTF">2014-09-09T18:41:55Z</dcterms:created>
  <dcterms:modified xsi:type="dcterms:W3CDTF">2024-05-10T18:47:27Z</dcterms:modified>
</cp:coreProperties>
</file>