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MIT-WHOI stuff/other_projs/U-Th software/mad_test_2/"/>
    </mc:Choice>
  </mc:AlternateContent>
  <xr:revisionPtr revIDLastSave="0" documentId="8_{7CF93B1D-9213-4228-84C1-6E33F9311333}" xr6:coauthVersionLast="47" xr6:coauthVersionMax="47" xr10:uidLastSave="{00000000-0000-0000-0000-000000000000}"/>
  <bookViews>
    <workbookView xWindow="-98" yWindow="-98" windowWidth="19396" windowHeight="11475" tabRatio="500" firstSheet="1" activeTab="6" xr2:uid="{00000000-000D-0000-FFFF-FFFF00000000}"/>
  </bookViews>
  <sheets>
    <sheet name="U-Th data" sheetId="9" r:id="rId1"/>
    <sheet name="U data" sheetId="1" r:id="rId2"/>
    <sheet name="Th data" sheetId="3" r:id="rId3"/>
    <sheet name="Constants" sheetId="2" r:id="rId4"/>
    <sheet name="Instructions" sheetId="10" r:id="rId5"/>
    <sheet name="Version" sheetId="11" r:id="rId6"/>
    <sheet name="U" sheetId="12" r:id="rId7"/>
    <sheet name="Th" sheetId="13" r:id="rId8"/>
  </sheets>
  <definedNames>
    <definedName name="solver_adj" localSheetId="0" hidden="1">'U-Th data'!#REF!</definedName>
    <definedName name="solver_cvg" localSheetId="0" hidden="1">0.0001</definedName>
    <definedName name="solver_drv" localSheetId="0" hidden="1">1</definedName>
    <definedName name="solver_eng" localSheetId="0" hidden="1">1</definedName>
    <definedName name="solver_itr" localSheetId="0" hidden="1">2147483647</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opt" localSheetId="0" hidden="1">'U-Th data'!#REF!</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S14" i="9" l="1"/>
  <c r="BA14" i="9" s="1"/>
  <c r="AV14" i="9"/>
  <c r="AW14" i="9"/>
  <c r="T14" i="9" s="1"/>
  <c r="AX14" i="9"/>
  <c r="U14" i="9" s="1"/>
  <c r="AZ14" i="9"/>
  <c r="BB14" i="9"/>
  <c r="BE14" i="9"/>
  <c r="BH14" i="9"/>
  <c r="BK14" i="9"/>
  <c r="BN14" i="9"/>
  <c r="U15" i="9"/>
  <c r="AB15" i="9" s="1"/>
  <c r="AS15" i="9"/>
  <c r="AZ15" i="9" s="1"/>
  <c r="H64" i="9" s="1"/>
  <c r="J64" i="9" s="1"/>
  <c r="AU15" i="9"/>
  <c r="AV15" i="9"/>
  <c r="S15" i="9" s="1"/>
  <c r="AW15" i="9"/>
  <c r="T15" i="9" s="1"/>
  <c r="AX15" i="9"/>
  <c r="AY15" i="9"/>
  <c r="BA15" i="9"/>
  <c r="BC15" i="9"/>
  <c r="BE15" i="9"/>
  <c r="BH15" i="9"/>
  <c r="BK15" i="9"/>
  <c r="BN15" i="9"/>
  <c r="T16" i="9"/>
  <c r="Z16" i="9" s="1"/>
  <c r="U16" i="9"/>
  <c r="AB16" i="9" s="1"/>
  <c r="AS16" i="9"/>
  <c r="AY16" i="9" s="1"/>
  <c r="I65" i="9" s="1"/>
  <c r="K65" i="9" s="1"/>
  <c r="AT16" i="9"/>
  <c r="R16" i="9" s="1"/>
  <c r="AU16" i="9"/>
  <c r="AV16" i="9"/>
  <c r="AW16" i="9"/>
  <c r="AX16" i="9"/>
  <c r="AZ16" i="9"/>
  <c r="BB16" i="9"/>
  <c r="BC16" i="9"/>
  <c r="BE16" i="9"/>
  <c r="BH16" i="9"/>
  <c r="BK16" i="9"/>
  <c r="BN16" i="9"/>
  <c r="AS17" i="9"/>
  <c r="AW17" i="9" s="1"/>
  <c r="T17" i="9" s="1"/>
  <c r="AT17" i="9"/>
  <c r="R17" i="9" s="1"/>
  <c r="AU17" i="9"/>
  <c r="BE17" i="9"/>
  <c r="BH17" i="9"/>
  <c r="BK17" i="9"/>
  <c r="BN17" i="9"/>
  <c r="AS18" i="9"/>
  <c r="AV18" i="9" s="1"/>
  <c r="AT18" i="9"/>
  <c r="R18" i="9" s="1"/>
  <c r="BE18" i="9"/>
  <c r="BH18" i="9"/>
  <c r="BK18" i="9"/>
  <c r="BN18" i="9"/>
  <c r="AS19" i="9"/>
  <c r="AV19" i="9" s="1"/>
  <c r="BE19" i="9"/>
  <c r="BH19" i="9"/>
  <c r="BK19" i="9"/>
  <c r="BN19" i="9"/>
  <c r="R20" i="9"/>
  <c r="V20" i="9" s="1"/>
  <c r="AS20" i="9"/>
  <c r="AU20" i="9" s="1"/>
  <c r="AT20" i="9"/>
  <c r="AV20" i="9"/>
  <c r="AX20" i="9"/>
  <c r="U20" i="9" s="1"/>
  <c r="BB20" i="9"/>
  <c r="BC20" i="9"/>
  <c r="BE20" i="9"/>
  <c r="BH20" i="9"/>
  <c r="BK20" i="9"/>
  <c r="BN20" i="9"/>
  <c r="AS21" i="9"/>
  <c r="AT21" i="9" s="1"/>
  <c r="R21" i="9" s="1"/>
  <c r="BB21" i="9"/>
  <c r="BC21" i="9"/>
  <c r="BE21" i="9"/>
  <c r="BH21" i="9"/>
  <c r="BK21" i="9"/>
  <c r="BN21" i="9"/>
  <c r="R22" i="9"/>
  <c r="V22" i="9" s="1"/>
  <c r="T22" i="9"/>
  <c r="Z22" i="9"/>
  <c r="AA22" i="9"/>
  <c r="AS22" i="9"/>
  <c r="AU22" i="9" s="1"/>
  <c r="AT22" i="9"/>
  <c r="AV22" i="9"/>
  <c r="S22" i="9" s="1"/>
  <c r="AW22" i="9"/>
  <c r="AX22" i="9"/>
  <c r="U22" i="9" s="1"/>
  <c r="AY22" i="9"/>
  <c r="AZ22" i="9"/>
  <c r="BA22" i="9"/>
  <c r="BB22" i="9"/>
  <c r="BC22" i="9"/>
  <c r="BE22" i="9"/>
  <c r="BH22" i="9"/>
  <c r="BK22" i="9"/>
  <c r="BN22" i="9"/>
  <c r="AS23" i="9"/>
  <c r="AT23" i="9" s="1"/>
  <c r="R23" i="9" s="1"/>
  <c r="AY23" i="9"/>
  <c r="AZ23" i="9"/>
  <c r="BA23" i="9"/>
  <c r="BC23" i="9"/>
  <c r="BE23" i="9"/>
  <c r="BH23" i="9"/>
  <c r="BK23" i="9"/>
  <c r="BN23" i="9"/>
  <c r="A63" i="9"/>
  <c r="H63" i="9"/>
  <c r="J63" i="9" s="1"/>
  <c r="A64" i="9"/>
  <c r="I64" i="9"/>
  <c r="K64" i="9" s="1"/>
  <c r="A65" i="9"/>
  <c r="H65" i="9"/>
  <c r="J65" i="9" s="1"/>
  <c r="V21" i="9" l="1"/>
  <c r="W21" i="9"/>
  <c r="V23" i="9"/>
  <c r="W23" i="9"/>
  <c r="AB20" i="9"/>
  <c r="AC20" i="9"/>
  <c r="S16" i="9"/>
  <c r="X16" i="9" s="1"/>
  <c r="V18" i="9"/>
  <c r="W18" i="9"/>
  <c r="W17" i="9"/>
  <c r="V17" i="9"/>
  <c r="AB14" i="9"/>
  <c r="AC14" i="9"/>
  <c r="Z17" i="9"/>
  <c r="AA17" i="9"/>
  <c r="Z15" i="9"/>
  <c r="AA15" i="9"/>
  <c r="Z14" i="9"/>
  <c r="AA14" i="9"/>
  <c r="AB22" i="9"/>
  <c r="AC22" i="9"/>
  <c r="S19" i="9"/>
  <c r="V16" i="9"/>
  <c r="W16" i="9"/>
  <c r="S14" i="9"/>
  <c r="AU19" i="9"/>
  <c r="BB23" i="9"/>
  <c r="AT19" i="9"/>
  <c r="R19" i="9" s="1"/>
  <c r="AU18" i="9"/>
  <c r="AV17" i="9"/>
  <c r="AY14" i="9"/>
  <c r="I63" i="9" s="1"/>
  <c r="K63" i="9" s="1"/>
  <c r="AX23" i="9"/>
  <c r="U23" i="9" s="1"/>
  <c r="BL22" i="9"/>
  <c r="Y22" i="9"/>
  <c r="AZ21" i="9"/>
  <c r="BA20" i="9"/>
  <c r="S20" i="9" s="1"/>
  <c r="BB19" i="9"/>
  <c r="BC18" i="9"/>
  <c r="AT15" i="9"/>
  <c r="R15" i="9" s="1"/>
  <c r="AU14" i="9"/>
  <c r="BA21" i="9"/>
  <c r="BC19" i="9"/>
  <c r="AW23" i="9"/>
  <c r="T23" i="9" s="1"/>
  <c r="X22" i="9"/>
  <c r="AY21" i="9"/>
  <c r="AZ20" i="9"/>
  <c r="BA19" i="9"/>
  <c r="BB18" i="9"/>
  <c r="BC17" i="9"/>
  <c r="AT14" i="9"/>
  <c r="R14" i="9" s="1"/>
  <c r="AV23" i="9"/>
  <c r="S23" i="9" s="1"/>
  <c r="X23" i="9" s="1"/>
  <c r="W22" i="9"/>
  <c r="AX21" i="9"/>
  <c r="U21" i="9" s="1"/>
  <c r="AY20" i="9"/>
  <c r="AZ19" i="9"/>
  <c r="BA18" i="9"/>
  <c r="S18" i="9" s="1"/>
  <c r="BB17" i="9"/>
  <c r="AC16" i="9"/>
  <c r="AU23" i="9"/>
  <c r="AY19" i="9"/>
  <c r="AW21" i="9"/>
  <c r="T21" i="9" s="1"/>
  <c r="AZ18" i="9"/>
  <c r="BA17" i="9"/>
  <c r="AC15" i="9"/>
  <c r="AV21" i="9"/>
  <c r="AW20" i="9"/>
  <c r="T20" i="9" s="1"/>
  <c r="W20" i="9"/>
  <c r="AX19" i="9"/>
  <c r="U19" i="9" s="1"/>
  <c r="AY18" i="9"/>
  <c r="AZ17" i="9"/>
  <c r="BA16" i="9"/>
  <c r="AA16" i="9"/>
  <c r="BB15" i="9"/>
  <c r="BC14" i="9"/>
  <c r="AU21" i="9"/>
  <c r="AW19" i="9"/>
  <c r="T19" i="9" s="1"/>
  <c r="AX18" i="9"/>
  <c r="U18" i="9" s="1"/>
  <c r="AY17" i="9"/>
  <c r="AW18" i="9"/>
  <c r="T18" i="9" s="1"/>
  <c r="AX17" i="9"/>
  <c r="U17" i="9" s="1"/>
  <c r="X18" i="9" l="1"/>
  <c r="Y18" i="9"/>
  <c r="Y20" i="9"/>
  <c r="X20" i="9"/>
  <c r="BF22" i="9"/>
  <c r="V19" i="9"/>
  <c r="W19" i="9"/>
  <c r="X19" i="9"/>
  <c r="Y19" i="9"/>
  <c r="Y15" i="9"/>
  <c r="V15" i="9"/>
  <c r="X15" i="9"/>
  <c r="W15" i="9"/>
  <c r="Y23" i="9"/>
  <c r="BL16" i="9"/>
  <c r="X14" i="9"/>
  <c r="W14" i="9"/>
  <c r="V14" i="9"/>
  <c r="Y14" i="9"/>
  <c r="BO22" i="9"/>
  <c r="BF17" i="9"/>
  <c r="BF23" i="9"/>
  <c r="BL14" i="9"/>
  <c r="AD23" i="9"/>
  <c r="BO16" i="9"/>
  <c r="BF16" i="9"/>
  <c r="AB19" i="9"/>
  <c r="AC19" i="9"/>
  <c r="BI22" i="9"/>
  <c r="AD16" i="9"/>
  <c r="BL15" i="9"/>
  <c r="Z18" i="9"/>
  <c r="AA18" i="9"/>
  <c r="BF20" i="9"/>
  <c r="Y16" i="9"/>
  <c r="AA21" i="9"/>
  <c r="Z21" i="9"/>
  <c r="AB17" i="9"/>
  <c r="AC17" i="9"/>
  <c r="Z20" i="9"/>
  <c r="AA20" i="9"/>
  <c r="BL17" i="9"/>
  <c r="BF21" i="9"/>
  <c r="AB18" i="9"/>
  <c r="AC18" i="9"/>
  <c r="AA23" i="9"/>
  <c r="Z23" i="9"/>
  <c r="AD18" i="9"/>
  <c r="BO20" i="9"/>
  <c r="AC21" i="9"/>
  <c r="AB21" i="9"/>
  <c r="AC23" i="9"/>
  <c r="AB23" i="9"/>
  <c r="BF18" i="9"/>
  <c r="S21" i="9"/>
  <c r="Z19" i="9"/>
  <c r="AA19" i="9"/>
  <c r="BO15" i="9"/>
  <c r="S17" i="9"/>
  <c r="AD22" i="9"/>
  <c r="BO14" i="9"/>
  <c r="Y17" i="9" l="1"/>
  <c r="X17" i="9"/>
  <c r="BO21" i="9"/>
  <c r="BI16" i="9"/>
  <c r="BF19" i="9"/>
  <c r="AD19" i="9"/>
  <c r="BL18" i="9"/>
  <c r="BI23" i="9"/>
  <c r="BL19" i="9"/>
  <c r="BF15" i="9"/>
  <c r="BL20" i="9"/>
  <c r="X21" i="9"/>
  <c r="Y21" i="9"/>
  <c r="AD15" i="9"/>
  <c r="BO17" i="9"/>
  <c r="BI15" i="9"/>
  <c r="AD20" i="9"/>
  <c r="BI20" i="9"/>
  <c r="BL23" i="9"/>
  <c r="BI14" i="9"/>
  <c r="BI18" i="9"/>
  <c r="BO23" i="9"/>
  <c r="BO18" i="9"/>
  <c r="BL21" i="9"/>
  <c r="AD14" i="9"/>
  <c r="BI19" i="9"/>
  <c r="BO19" i="9"/>
  <c r="BF14" i="9"/>
  <c r="BI21" i="9" l="1"/>
  <c r="BI17" i="9"/>
  <c r="AD21" i="9"/>
  <c r="AD17" i="9"/>
  <c r="D54" i="9" l="1"/>
  <c r="G62" i="9"/>
  <c r="G61" i="9"/>
  <c r="G60" i="9"/>
  <c r="G59" i="9"/>
  <c r="G58" i="9"/>
  <c r="G57" i="9"/>
  <c r="G56" i="9"/>
  <c r="G55" i="9"/>
  <c r="G54" i="9"/>
  <c r="G53" i="9"/>
  <c r="F62" i="9"/>
  <c r="F61" i="9"/>
  <c r="F60" i="9"/>
  <c r="F59" i="9"/>
  <c r="F58" i="9"/>
  <c r="F57" i="9"/>
  <c r="F56" i="9"/>
  <c r="F55" i="9"/>
  <c r="F54" i="9"/>
  <c r="F53" i="9"/>
  <c r="E62" i="9"/>
  <c r="E61" i="9"/>
  <c r="E60" i="9"/>
  <c r="E59" i="9"/>
  <c r="E58" i="9"/>
  <c r="E57" i="9"/>
  <c r="E56" i="9"/>
  <c r="E55" i="9"/>
  <c r="E54" i="9"/>
  <c r="E53" i="9"/>
  <c r="D62" i="9"/>
  <c r="D61" i="9"/>
  <c r="D60" i="9"/>
  <c r="D59" i="9"/>
  <c r="D58" i="9"/>
  <c r="D57" i="9"/>
  <c r="D56" i="9"/>
  <c r="D55" i="9"/>
  <c r="D53" i="9"/>
  <c r="J13" i="9" a="1"/>
  <c r="J13" i="9" s="1"/>
  <c r="J12" i="9" a="1"/>
  <c r="J12" i="9" s="1"/>
  <c r="J11" i="9" a="1"/>
  <c r="J11" i="9" s="1"/>
  <c r="J10" i="9" a="1"/>
  <c r="J10" i="9" s="1"/>
  <c r="J9" i="9" a="1"/>
  <c r="J9" i="9" s="1"/>
  <c r="J8" i="9" a="1"/>
  <c r="J8" i="9" s="1"/>
  <c r="J7" i="9" a="1"/>
  <c r="J7" i="9" s="1"/>
  <c r="J6" i="9" a="1"/>
  <c r="J6" i="9" s="1"/>
  <c r="J5" i="9" a="1"/>
  <c r="J5" i="9" s="1"/>
  <c r="J4" i="9" a="1"/>
  <c r="J4" i="9" s="1"/>
  <c r="F13" i="9" a="1"/>
  <c r="F13" i="9" s="1"/>
  <c r="F12" i="9" a="1"/>
  <c r="F12" i="9" s="1"/>
  <c r="F11" i="9" a="1"/>
  <c r="F11" i="9" s="1"/>
  <c r="F10" i="9" a="1"/>
  <c r="F10" i="9" s="1"/>
  <c r="F9" i="9" a="1"/>
  <c r="F9" i="9" s="1"/>
  <c r="F8" i="9" a="1"/>
  <c r="F8" i="9" s="1"/>
  <c r="F7" i="9" a="1"/>
  <c r="F7" i="9" s="1"/>
  <c r="F6" i="9" a="1"/>
  <c r="F6" i="9" s="1"/>
  <c r="F5" i="9" a="1"/>
  <c r="F5" i="9" s="1"/>
  <c r="F4" i="9" a="1"/>
  <c r="F4" i="9" s="1"/>
  <c r="AB24" i="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l="1"/>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AK41" i="3"/>
  <c r="AL41" i="3" s="1"/>
  <c r="AK37" i="3"/>
  <c r="E37" i="3" s="1"/>
  <c r="AK35" i="3"/>
  <c r="AL35" i="3" s="1"/>
  <c r="F35" i="3" s="1"/>
  <c r="AK33" i="3"/>
  <c r="AL33" i="3" s="1"/>
  <c r="F33" i="3" s="1"/>
  <c r="AK29" i="3"/>
  <c r="AL29" i="3" s="1"/>
  <c r="F29" i="3" s="1"/>
  <c r="AK25" i="3"/>
  <c r="AK23" i="3"/>
  <c r="AL23" i="3"/>
  <c r="AK21" i="3"/>
  <c r="AL21" i="3" s="1"/>
  <c r="F21" i="3" s="1"/>
  <c r="AK13" i="3"/>
  <c r="AK11" i="3"/>
  <c r="AL11" i="3"/>
  <c r="F11" i="3" s="1"/>
  <c r="AK7" i="3"/>
  <c r="AL7" i="3" s="1"/>
  <c r="F7"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AT5" i="1"/>
  <c r="AZ5" i="1" s="1"/>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T22" i="1"/>
  <c r="AX22" i="1"/>
  <c r="CT21" i="1"/>
  <c r="AT21" i="1"/>
  <c r="AZ21" i="1"/>
  <c r="AS21" i="1"/>
  <c r="AV21" i="1" s="1"/>
  <c r="AX21" i="1"/>
  <c r="BD20" i="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AS14" i="1"/>
  <c r="AV14" i="1" s="1"/>
  <c r="AT14" i="1"/>
  <c r="AW14" i="1" s="1"/>
  <c r="BI14" i="1" s="1"/>
  <c r="BJ14" i="1" s="1"/>
  <c r="BP14" i="1" s="1"/>
  <c r="AX14" i="1"/>
  <c r="CT13" i="1"/>
  <c r="AT13" i="1"/>
  <c r="AZ13" i="1" s="1"/>
  <c r="AS13" i="1"/>
  <c r="AV13" i="1"/>
  <c r="AX13" i="1"/>
  <c r="BD12" i="1"/>
  <c r="AS12" i="1"/>
  <c r="AV12" i="1" s="1"/>
  <c r="AT12" i="1"/>
  <c r="AZ12" i="1" s="1"/>
  <c r="AX12" i="1"/>
  <c r="CT11" i="1"/>
  <c r="AT11" i="1"/>
  <c r="AZ11" i="1" s="1"/>
  <c r="AS11" i="1"/>
  <c r="AV11" i="1"/>
  <c r="AX11" i="1"/>
  <c r="BD10" i="1"/>
  <c r="AS10" i="1"/>
  <c r="AV10" i="1" s="1"/>
  <c r="AT10" i="1"/>
  <c r="AX10" i="1"/>
  <c r="CT9" i="1"/>
  <c r="AT9" i="1"/>
  <c r="AZ9" i="1" s="1"/>
  <c r="AS9" i="1"/>
  <c r="AX9" i="1"/>
  <c r="BD8" i="1"/>
  <c r="AS8" i="1"/>
  <c r="AV8" i="1" s="1"/>
  <c r="AT8" i="1"/>
  <c r="AZ8" i="1" s="1"/>
  <c r="AX8" i="1"/>
  <c r="CT7" i="1"/>
  <c r="AT7" i="1"/>
  <c r="AZ7" i="1" s="1"/>
  <c r="AS7" i="1"/>
  <c r="AV7" i="1"/>
  <c r="AX7" i="1"/>
  <c r="BD6" i="1"/>
  <c r="AS6" i="1"/>
  <c r="AV6" i="1"/>
  <c r="AT6" i="1"/>
  <c r="AZ6" i="1"/>
  <c r="AX6" i="1"/>
  <c r="AS5" i="1"/>
  <c r="AV5" i="1" s="1"/>
  <c r="AX5" i="1"/>
  <c r="BD4" i="1"/>
  <c r="AS4" i="1"/>
  <c r="AV4" i="1" s="1"/>
  <c r="AT4" i="1"/>
  <c r="AZ4" i="1" s="1"/>
  <c r="AX4" i="1"/>
  <c r="CT5" i="1"/>
  <c r="BN6" i="9"/>
  <c r="AS6" i="9"/>
  <c r="AS4" i="9"/>
  <c r="BA4" i="9" s="1"/>
  <c r="BN7" i="9"/>
  <c r="AS7" i="9"/>
  <c r="AV7" i="9" s="1"/>
  <c r="BN8" i="9"/>
  <c r="AS8" i="9"/>
  <c r="BA8" i="9" s="1"/>
  <c r="BN9" i="9"/>
  <c r="AS9" i="9"/>
  <c r="AY9" i="9" s="1"/>
  <c r="I58" i="9" s="1"/>
  <c r="K58" i="9" s="1"/>
  <c r="BN10" i="9"/>
  <c r="AS10" i="9"/>
  <c r="BB10" i="9" s="1"/>
  <c r="BN11" i="9"/>
  <c r="AS11" i="9"/>
  <c r="BB11" i="9" s="1"/>
  <c r="BN12" i="9"/>
  <c r="AS12" i="9"/>
  <c r="AX12" i="9" s="1"/>
  <c r="U12" i="9" s="1"/>
  <c r="BN13" i="9"/>
  <c r="AS13" i="9"/>
  <c r="AX13" i="9" s="1"/>
  <c r="U13" i="9" s="1"/>
  <c r="AS5" i="9"/>
  <c r="AU5" i="9" s="1"/>
  <c r="BN5" i="9"/>
  <c r="BN4" i="9"/>
  <c r="BE7" i="9"/>
  <c r="BE8" i="9"/>
  <c r="BE9" i="9"/>
  <c r="BE10" i="9"/>
  <c r="BE11" i="9"/>
  <c r="BE12" i="9"/>
  <c r="BA12" i="9"/>
  <c r="BE13" i="9"/>
  <c r="BE6" i="9"/>
  <c r="BA6" i="9"/>
  <c r="BE5" i="9"/>
  <c r="BE4"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C22" i="2"/>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F43" i="3"/>
  <c r="AW6" i="9"/>
  <c r="T6" i="9" s="1"/>
  <c r="AA6" i="9" s="1"/>
  <c r="AW4" i="9"/>
  <c r="T4" i="9" s="1"/>
  <c r="Z4" i="9" s="1"/>
  <c r="AW9" i="9"/>
  <c r="T9" i="9" s="1"/>
  <c r="AW12" i="9"/>
  <c r="T12" i="9" s="1"/>
  <c r="BK5" i="9"/>
  <c r="BK6" i="9"/>
  <c r="BK7" i="9"/>
  <c r="BK8" i="9"/>
  <c r="BK9" i="9"/>
  <c r="BK10" i="9"/>
  <c r="BK11" i="9"/>
  <c r="BK12" i="9"/>
  <c r="BK13" i="9"/>
  <c r="BK4" i="9"/>
  <c r="BH5" i="9"/>
  <c r="BH6" i="9"/>
  <c r="BH7" i="9"/>
  <c r="BH8" i="9"/>
  <c r="BH9" i="9"/>
  <c r="BH10" i="9"/>
  <c r="BH11" i="9"/>
  <c r="BH12" i="9"/>
  <c r="BH13" i="9"/>
  <c r="BH4" i="9"/>
  <c r="AU10" i="1"/>
  <c r="BB6" i="9"/>
  <c r="BC7" i="9"/>
  <c r="BC10" i="9"/>
  <c r="H13" i="2"/>
  <c r="BC4" i="9"/>
  <c r="BB4" i="9"/>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8" i="9"/>
  <c r="T38" i="9"/>
  <c r="S39" i="9"/>
  <c r="T39" i="9"/>
  <c r="S40" i="9"/>
  <c r="T40" i="9"/>
  <c r="S41" i="9"/>
  <c r="T41" i="9"/>
  <c r="S42" i="9"/>
  <c r="T42" i="9"/>
  <c r="S43" i="9"/>
  <c r="T43" i="9"/>
  <c r="S44" i="9"/>
  <c r="T44" i="9"/>
  <c r="S45" i="9"/>
  <c r="T45" i="9"/>
  <c r="S46" i="9"/>
  <c r="T46" i="9"/>
  <c r="A29" i="9"/>
  <c r="A30" i="9"/>
  <c r="A31" i="9"/>
  <c r="A32" i="9"/>
  <c r="A33" i="9"/>
  <c r="A34" i="9"/>
  <c r="A35" i="9"/>
  <c r="A36" i="9"/>
  <c r="AK5" i="3"/>
  <c r="E5" i="3" s="1"/>
  <c r="A44" i="3"/>
  <c r="E43" i="3"/>
  <c r="A43" i="3"/>
  <c r="A42" i="3"/>
  <c r="A41" i="3"/>
  <c r="A40" i="3"/>
  <c r="A39" i="3"/>
  <c r="A38" i="3"/>
  <c r="A37" i="3"/>
  <c r="A36" i="3"/>
  <c r="E35" i="3"/>
  <c r="A35" i="3"/>
  <c r="A34" i="3"/>
  <c r="E33" i="3"/>
  <c r="A33" i="3"/>
  <c r="A32" i="3"/>
  <c r="A31" i="3"/>
  <c r="A30" i="3"/>
  <c r="E29" i="3"/>
  <c r="A29" i="3"/>
  <c r="A28" i="3"/>
  <c r="A27" i="3"/>
  <c r="AU42" i="1"/>
  <c r="A42" i="1"/>
  <c r="A40" i="1"/>
  <c r="E7" i="3"/>
  <c r="A28" i="9"/>
  <c r="E11" i="3"/>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9" i="9"/>
  <c r="AU7" i="9"/>
  <c r="AU6" i="9"/>
  <c r="AU4"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AV12" i="9"/>
  <c r="S12" i="9" s="1"/>
  <c r="BB12" i="9"/>
  <c r="E21" i="3"/>
  <c r="AZ10" i="9"/>
  <c r="H59" i="9" s="1"/>
  <c r="J59" i="9" s="1"/>
  <c r="AV15" i="1"/>
  <c r="AW70" i="1"/>
  <c r="BD33" i="1"/>
  <c r="AU33" i="1" s="1"/>
  <c r="AV46" i="1"/>
  <c r="BA46" i="1"/>
  <c r="AF65" i="1"/>
  <c r="AH65" i="1"/>
  <c r="AI65" i="1" s="1"/>
  <c r="AL65" i="1"/>
  <c r="AJ65" i="1"/>
  <c r="AK65" i="1" s="1"/>
  <c r="AY12" i="9"/>
  <c r="I61" i="9" s="1"/>
  <c r="K61" i="9" s="1"/>
  <c r="AT12" i="9"/>
  <c r="R12" i="9" s="1"/>
  <c r="AZ12" i="9"/>
  <c r="H61" i="9" s="1"/>
  <c r="J61" i="9" s="1"/>
  <c r="AU12" i="9"/>
  <c r="AX6" i="9"/>
  <c r="U6" i="9" s="1"/>
  <c r="AC6" i="9" s="1"/>
  <c r="AT6" i="9"/>
  <c r="R6" i="9" s="1"/>
  <c r="AZ6" i="9"/>
  <c r="H55" i="9" s="1"/>
  <c r="J55" i="9" s="1"/>
  <c r="AV6" i="9"/>
  <c r="S6" i="9" s="1"/>
  <c r="BC6" i="9"/>
  <c r="AY6" i="9"/>
  <c r="I55" i="9" s="1"/>
  <c r="K55" i="9" s="1"/>
  <c r="AY7" i="9"/>
  <c r="I56" i="9" s="1"/>
  <c r="K56" i="9" s="1"/>
  <c r="AZ39" i="1"/>
  <c r="AV58" i="1"/>
  <c r="AZ60" i="1"/>
  <c r="AZ7" i="9"/>
  <c r="H56" i="9" s="1"/>
  <c r="J56" i="9" s="1"/>
  <c r="AV23" i="1"/>
  <c r="AG47" i="1"/>
  <c r="AZ48" i="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L5" i="3"/>
  <c r="F5" i="3" s="1"/>
  <c r="AM87" i="1"/>
  <c r="BQ77" i="1"/>
  <c r="BL77" i="1"/>
  <c r="BR77" i="1" s="1"/>
  <c r="AM49" i="1"/>
  <c r="AV60" i="1"/>
  <c r="BC60" i="1" s="1"/>
  <c r="BB60" i="1" s="1"/>
  <c r="AW60" i="1"/>
  <c r="AJ61" i="1"/>
  <c r="AK61" i="1"/>
  <c r="AL61" i="1"/>
  <c r="AF61" i="1"/>
  <c r="AH61" i="1"/>
  <c r="AI61" i="1" s="1"/>
  <c r="AV63" i="1"/>
  <c r="AV65" i="1"/>
  <c r="BD79" i="1"/>
  <c r="BP70" i="1"/>
  <c r="AU45" i="1"/>
  <c r="BA45" i="1"/>
  <c r="BA12" i="1"/>
  <c r="AW12" i="1"/>
  <c r="BO12" i="1" s="1"/>
  <c r="CC12" i="1" s="1"/>
  <c r="AU12" i="1"/>
  <c r="BC12" i="1"/>
  <c r="BB12" i="1" s="1"/>
  <c r="AZ20" i="1"/>
  <c r="BC20" i="1"/>
  <c r="BB20" i="1" s="1"/>
  <c r="AW20" i="1"/>
  <c r="BO20" i="1" s="1"/>
  <c r="CC20" i="1" s="1"/>
  <c r="BO72" i="1"/>
  <c r="BI72" i="1"/>
  <c r="BJ72" i="1" s="1"/>
  <c r="CC67" i="1"/>
  <c r="CC47" i="1"/>
  <c r="BD41" i="1"/>
  <c r="AZ10" i="1"/>
  <c r="AW10" i="1"/>
  <c r="BO10" i="1" s="1"/>
  <c r="AZ50" i="1"/>
  <c r="BA50" i="1"/>
  <c r="AV9" i="1"/>
  <c r="AF39" i="1"/>
  <c r="AL39" i="1"/>
  <c r="AH39" i="1"/>
  <c r="AI39" i="1"/>
  <c r="AU40" i="1"/>
  <c r="BA40" i="1"/>
  <c r="BC40" i="1"/>
  <c r="BB40" i="1" s="1"/>
  <c r="AH87" i="1"/>
  <c r="AI87" i="1" s="1"/>
  <c r="AJ87" i="1"/>
  <c r="AK87" i="1"/>
  <c r="AF87" i="1"/>
  <c r="AG87" i="1" s="1"/>
  <c r="AV24" i="1"/>
  <c r="BA24" i="1" s="1"/>
  <c r="AW24" i="1"/>
  <c r="AV30" i="1"/>
  <c r="BC30" i="1" s="1"/>
  <c r="BB30" i="1" s="1"/>
  <c r="BF66" i="1"/>
  <c r="AW4" i="1"/>
  <c r="BI4" i="1" s="1"/>
  <c r="BP4" i="1" s="1"/>
  <c r="AU4" i="1"/>
  <c r="BA4" i="1"/>
  <c r="AU6" i="1"/>
  <c r="AW38" i="1"/>
  <c r="BA38" i="1"/>
  <c r="BC38" i="1"/>
  <c r="BB38" i="1" s="1"/>
  <c r="AV48" i="1"/>
  <c r="BA48" i="1"/>
  <c r="BG64" i="1"/>
  <c r="AF75" i="1"/>
  <c r="AG75" i="1" s="1"/>
  <c r="AJ75" i="1"/>
  <c r="AK75" i="1"/>
  <c r="BB8" i="9"/>
  <c r="AW6" i="1"/>
  <c r="AV32" i="1"/>
  <c r="BC32" i="1" s="1"/>
  <c r="BB32" i="1"/>
  <c r="AV44" i="1"/>
  <c r="AV52" i="1"/>
  <c r="BC52" i="1" s="1"/>
  <c r="BB52" i="1" s="1"/>
  <c r="AW52" i="1"/>
  <c r="BI52" i="1" s="1"/>
  <c r="AV8" i="9"/>
  <c r="AF67" i="1"/>
  <c r="AL67" i="1"/>
  <c r="AH67" i="1"/>
  <c r="AJ67" i="1"/>
  <c r="AK67" i="1"/>
  <c r="AZ68" i="1"/>
  <c r="AY68" i="1" s="1"/>
  <c r="BA68" i="1"/>
  <c r="BC68" i="1"/>
  <c r="BB68" i="1" s="1"/>
  <c r="BA70" i="1"/>
  <c r="BC70" i="1"/>
  <c r="BB70" i="1"/>
  <c r="AU70" i="1"/>
  <c r="F23" i="3"/>
  <c r="E23" i="3"/>
  <c r="F41" i="3"/>
  <c r="E41" i="3"/>
  <c r="AW10" i="9"/>
  <c r="T10" i="9" s="1"/>
  <c r="Z10" i="9" s="1"/>
  <c r="AW30" i="1"/>
  <c r="AW32" i="1"/>
  <c r="BO32" i="1" s="1"/>
  <c r="AV88" i="1"/>
  <c r="BA88" i="1" s="1"/>
  <c r="AW88" i="1"/>
  <c r="AW36" i="1"/>
  <c r="AW64" i="1"/>
  <c r="BI64" i="1" s="1"/>
  <c r="BO64" i="1"/>
  <c r="AW68" i="1"/>
  <c r="AH81" i="1"/>
  <c r="AI81" i="1" s="1"/>
  <c r="AF81" i="1"/>
  <c r="BD81" i="1" s="1"/>
  <c r="AG81" i="1"/>
  <c r="AW86" i="1"/>
  <c r="BI12" i="1"/>
  <c r="BJ12" i="1" s="1"/>
  <c r="BI38" i="1"/>
  <c r="BO38" i="1"/>
  <c r="BC24" i="1"/>
  <c r="BB24" i="1" s="1"/>
  <c r="AW41" i="1"/>
  <c r="BI41" i="1" s="1"/>
  <c r="BP72" i="1"/>
  <c r="CD72" i="1"/>
  <c r="AU79" i="1"/>
  <c r="BM79" i="1" s="1"/>
  <c r="BD75" i="1"/>
  <c r="BO68" i="1"/>
  <c r="BI68" i="1"/>
  <c r="BI32" i="1"/>
  <c r="BO30" i="1"/>
  <c r="CC31" i="1" s="1"/>
  <c r="BI30" i="1"/>
  <c r="BS64" i="1"/>
  <c r="BC48" i="1"/>
  <c r="BB48" i="1" s="1"/>
  <c r="BO4" i="1"/>
  <c r="CC5" i="1" s="1"/>
  <c r="CC72" i="1"/>
  <c r="CC73" i="1"/>
  <c r="BA60" i="1"/>
  <c r="BN77" i="1"/>
  <c r="AG67" i="1"/>
  <c r="BI86" i="1"/>
  <c r="BO86" i="1"/>
  <c r="AM67" i="1"/>
  <c r="BT66" i="1"/>
  <c r="BS66" i="1"/>
  <c r="CK66" i="1" s="1"/>
  <c r="AM39" i="1"/>
  <c r="BI20" i="1"/>
  <c r="BJ20" i="1" s="1"/>
  <c r="BK45" i="1"/>
  <c r="BM45" i="1"/>
  <c r="AM61" i="1"/>
  <c r="BO60" i="1"/>
  <c r="BU77" i="1"/>
  <c r="BV77" i="1"/>
  <c r="CC32" i="1"/>
  <c r="BK79" i="1"/>
  <c r="BQ79" i="1" s="1"/>
  <c r="BV79" i="1" s="1"/>
  <c r="BP12" i="1"/>
  <c r="BW77" i="1"/>
  <c r="BX77" i="1" s="1"/>
  <c r="CC60" i="1"/>
  <c r="BJ4"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BC6" i="1"/>
  <c r="BB6" i="1" s="1"/>
  <c r="BI6" i="1"/>
  <c r="BA6" i="1"/>
  <c r="BO6" i="1"/>
  <c r="CC6" i="1" s="1"/>
  <c r="BA36" i="1"/>
  <c r="BO36" i="1"/>
  <c r="BI36" i="1"/>
  <c r="BC36" i="1"/>
  <c r="BB36" i="1"/>
  <c r="BC37" i="1"/>
  <c r="BB37" i="1" s="1"/>
  <c r="AW37" i="1"/>
  <c r="BA37" i="1"/>
  <c r="AU37" i="1"/>
  <c r="BA44" i="1"/>
  <c r="BC44" i="1"/>
  <c r="BB44" i="1" s="1"/>
  <c r="BI24" i="1"/>
  <c r="BJ24" i="1" s="1"/>
  <c r="BO24" i="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BF68" i="1"/>
  <c r="BG68" i="1"/>
  <c r="BD87" i="1"/>
  <c r="BD39" i="1"/>
  <c r="AG39" i="1"/>
  <c r="BA54" i="1"/>
  <c r="BA52" i="1"/>
  <c r="BA89" i="1"/>
  <c r="BC89" i="1"/>
  <c r="BB89" i="1" s="1"/>
  <c r="AU89" i="1"/>
  <c r="AW89" i="1"/>
  <c r="BB33" i="1"/>
  <c r="AM33" i="1"/>
  <c r="BI84" i="1"/>
  <c r="BO84" i="1"/>
  <c r="AU49" i="1"/>
  <c r="AW49" i="1"/>
  <c r="BC49" i="1"/>
  <c r="BB49" i="1"/>
  <c r="BA49" i="1"/>
  <c r="BO54" i="1"/>
  <c r="CC83" i="1"/>
  <c r="CC82" i="1"/>
  <c r="BO77" i="1"/>
  <c r="BI77" i="1"/>
  <c r="BI54" i="1"/>
  <c r="CD81" i="1"/>
  <c r="CC80" i="1"/>
  <c r="CC81" i="1"/>
  <c r="BJ42" i="1"/>
  <c r="BP42" i="1" s="1"/>
  <c r="CD42" i="1" s="1"/>
  <c r="AI69" i="1"/>
  <c r="BD69" i="1"/>
  <c r="BC58" i="1"/>
  <c r="BB58" i="1"/>
  <c r="BA58" i="1"/>
  <c r="AW45" i="1"/>
  <c r="BO45" i="1" s="1"/>
  <c r="BD57" i="1"/>
  <c r="AG57" i="1"/>
  <c r="BC45" i="1"/>
  <c r="BB45" i="1" s="1"/>
  <c r="BJ40" i="1"/>
  <c r="BP40" i="1" s="1"/>
  <c r="CD40" i="1" s="1"/>
  <c r="BC16" i="1"/>
  <c r="BB16" i="1" s="1"/>
  <c r="BA16" i="1"/>
  <c r="AV22" i="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H68" i="1"/>
  <c r="BT68" i="1"/>
  <c r="BS68" i="1"/>
  <c r="CK68" i="1"/>
  <c r="BP88" i="1"/>
  <c r="CD88" i="1" s="1"/>
  <c r="BJ88" i="1"/>
  <c r="BZ75" i="1"/>
  <c r="BO37" i="1"/>
  <c r="BI37" i="1"/>
  <c r="BJ36" i="1"/>
  <c r="BP36" i="1" s="1"/>
  <c r="CD36" i="1" s="1"/>
  <c r="CC7" i="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CC25" i="1"/>
  <c r="CC24" i="1"/>
  <c r="BJ6" i="1"/>
  <c r="BP6" i="1" s="1"/>
  <c r="CD6" i="1" s="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Y8" i="9" l="1"/>
  <c r="I57" i="9" s="1"/>
  <c r="K57" i="9" s="1"/>
  <c r="AW7" i="9"/>
  <c r="T7" i="9" s="1"/>
  <c r="Z7" i="9" s="1"/>
  <c r="AZ13" i="9"/>
  <c r="H62" i="9" s="1"/>
  <c r="J62" i="9" s="1"/>
  <c r="AB6" i="9"/>
  <c r="BO6" i="9" s="1"/>
  <c r="AX7" i="9"/>
  <c r="U7" i="9" s="1"/>
  <c r="AC7" i="9" s="1"/>
  <c r="AU13" i="9"/>
  <c r="AT7" i="9"/>
  <c r="R7" i="9" s="1"/>
  <c r="AA4" i="9"/>
  <c r="BL4" i="9" s="1"/>
  <c r="BB7" i="9"/>
  <c r="BA7" i="9"/>
  <c r="AZ8" i="9"/>
  <c r="H57" i="9" s="1"/>
  <c r="J57" i="9" s="1"/>
  <c r="AV10" i="9"/>
  <c r="BC12" i="9"/>
  <c r="AY10" i="9"/>
  <c r="I59" i="9" s="1"/>
  <c r="K59" i="9" s="1"/>
  <c r="AX9" i="9"/>
  <c r="U9" i="9" s="1"/>
  <c r="AC9" i="9" s="1"/>
  <c r="AX10" i="9"/>
  <c r="U10" i="9" s="1"/>
  <c r="AC10" i="9" s="1"/>
  <c r="AU10" i="9"/>
  <c r="AV13" i="9"/>
  <c r="BA13" i="9"/>
  <c r="AY5" i="9"/>
  <c r="I54" i="9" s="1"/>
  <c r="K54" i="9" s="1"/>
  <c r="AT10" i="9"/>
  <c r="R10" i="9" s="1"/>
  <c r="W10" i="9" s="1"/>
  <c r="S7" i="9"/>
  <c r="Y7" i="9" s="1"/>
  <c r="AW13" i="9"/>
  <c r="T13" i="9" s="1"/>
  <c r="BA10" i="9"/>
  <c r="BC13" i="9"/>
  <c r="X12" i="9"/>
  <c r="BB13" i="9"/>
  <c r="X6" i="9"/>
  <c r="Z12" i="9"/>
  <c r="AA12" i="9"/>
  <c r="V6" i="9"/>
  <c r="AD6" i="9" s="1"/>
  <c r="W6" i="9"/>
  <c r="BF6" i="9" s="1"/>
  <c r="S8" i="9"/>
  <c r="AT13" i="9"/>
  <c r="R13" i="9" s="1"/>
  <c r="BC9" i="9"/>
  <c r="AZ5" i="9"/>
  <c r="H54" i="9" s="1"/>
  <c r="J54" i="9" s="1"/>
  <c r="BB9" i="9"/>
  <c r="BA9" i="9"/>
  <c r="V12" i="9"/>
  <c r="AT9" i="9"/>
  <c r="R9" i="9" s="1"/>
  <c r="Y12" i="9"/>
  <c r="AV9" i="9"/>
  <c r="AV4" i="9"/>
  <c r="W12" i="9"/>
  <c r="AZ9" i="9"/>
  <c r="H58" i="9" s="1"/>
  <c r="J58" i="9" s="1"/>
  <c r="D21" i="10"/>
  <c r="B26" i="2" s="1"/>
  <c r="AE2" i="3" s="1"/>
  <c r="AD26" i="3" s="1"/>
  <c r="Y6" i="9"/>
  <c r="BI6" i="9" s="1"/>
  <c r="AW22" i="1"/>
  <c r="BO22" i="1" s="1"/>
  <c r="CD12" i="1"/>
  <c r="CC10" i="1"/>
  <c r="CC11" i="1"/>
  <c r="CD11" i="1"/>
  <c r="BI10" i="1"/>
  <c r="BJ10" i="1" s="1"/>
  <c r="BA10" i="1"/>
  <c r="BC10" i="1"/>
  <c r="BB10" i="1" s="1"/>
  <c r="AY10" i="1" s="1"/>
  <c r="BC14" i="1"/>
  <c r="BB14" i="1" s="1"/>
  <c r="AY14" i="1" s="1"/>
  <c r="BA14" i="1"/>
  <c r="CD5" i="1"/>
  <c r="BC8" i="1"/>
  <c r="BB8" i="1" s="1"/>
  <c r="AY8" i="1" s="1"/>
  <c r="CC4" i="1"/>
  <c r="BA8" i="1"/>
  <c r="AZ14" i="1"/>
  <c r="AZ22" i="1"/>
  <c r="AY12" i="1"/>
  <c r="CC21" i="1"/>
  <c r="CD4" i="1"/>
  <c r="BP24" i="1"/>
  <c r="CD24" i="1" s="1"/>
  <c r="BA20" i="1"/>
  <c r="CD23" i="1"/>
  <c r="CC23" i="1"/>
  <c r="CC22" i="1"/>
  <c r="CD21" i="1"/>
  <c r="CR39" i="1"/>
  <c r="CF39" i="1"/>
  <c r="BV55" i="1"/>
  <c r="BX55" i="1" s="1"/>
  <c r="E67" i="1"/>
  <c r="BP51" i="1"/>
  <c r="BZ51" i="1" s="1"/>
  <c r="CH45" i="1"/>
  <c r="BZ41" i="1"/>
  <c r="CJ45" i="1"/>
  <c r="BN59" i="1"/>
  <c r="CR59" i="1" s="1"/>
  <c r="BL63" i="1"/>
  <c r="CD74" i="1"/>
  <c r="BQ87" i="1"/>
  <c r="BN57" i="1"/>
  <c r="CR57" i="1" s="1"/>
  <c r="BQ57" i="1"/>
  <c r="BN49" i="1"/>
  <c r="CR49" i="1" s="1"/>
  <c r="BQ49" i="1"/>
  <c r="BL49" i="1"/>
  <c r="BR49" i="1" s="1"/>
  <c r="BI56" i="1"/>
  <c r="BO56" i="1"/>
  <c r="BO67" i="1"/>
  <c r="BI67" i="1"/>
  <c r="BP45" i="1"/>
  <c r="CC75" i="1"/>
  <c r="BY79" i="1"/>
  <c r="BZ79" i="1" s="1"/>
  <c r="BO49" i="1"/>
  <c r="BI49" i="1"/>
  <c r="CC74" i="1"/>
  <c r="BD53" i="1"/>
  <c r="AG53" i="1"/>
  <c r="BX79" i="1"/>
  <c r="BA22" i="1"/>
  <c r="BC22" i="1"/>
  <c r="BB22" i="1" s="1"/>
  <c r="AY22" i="1" s="1"/>
  <c r="BI22" i="1"/>
  <c r="BN67" i="1"/>
  <c r="AY63" i="1"/>
  <c r="BC74" i="1"/>
  <c r="BB74" i="1" s="1"/>
  <c r="AY74" i="1" s="1"/>
  <c r="BU45" i="1"/>
  <c r="BW45" i="1" s="1"/>
  <c r="BN45" i="1"/>
  <c r="BL45" i="1"/>
  <c r="BR45" i="1" s="1"/>
  <c r="BV45" i="1" s="1"/>
  <c r="BP41" i="1"/>
  <c r="AA7" i="9"/>
  <c r="AB9" i="9"/>
  <c r="CK64" i="1"/>
  <c r="BJ38" i="1"/>
  <c r="BP38" i="1"/>
  <c r="CD38" i="1" s="1"/>
  <c r="BI81" i="1"/>
  <c r="AU81" i="1"/>
  <c r="BA81" i="1"/>
  <c r="AY76" i="1"/>
  <c r="BP86" i="1"/>
  <c r="CD86" i="1" s="1"/>
  <c r="BK33" i="1"/>
  <c r="BM33" i="1"/>
  <c r="CC30" i="1"/>
  <c r="CD30" i="1"/>
  <c r="CD31" i="1"/>
  <c r="CC61" i="1"/>
  <c r="CC64" i="1"/>
  <c r="CC65" i="1"/>
  <c r="CD65" i="1"/>
  <c r="BJ86" i="1"/>
  <c r="BJ64" i="1"/>
  <c r="BP64" i="1"/>
  <c r="CD64" i="1" s="1"/>
  <c r="BJ52" i="1"/>
  <c r="BP52" i="1" s="1"/>
  <c r="BH64" i="1"/>
  <c r="BT64" i="1" s="1"/>
  <c r="AY57" i="1"/>
  <c r="V10" i="9"/>
  <c r="BJ68" i="1"/>
  <c r="BP68" i="1" s="1"/>
  <c r="CD68" i="1" s="1"/>
  <c r="CL68" i="1" s="1"/>
  <c r="AY50" i="1"/>
  <c r="AY60" i="1"/>
  <c r="AA9" i="9"/>
  <c r="Z9" i="9"/>
  <c r="AJ71" i="1"/>
  <c r="AK71" i="1" s="1"/>
  <c r="AH71" i="1"/>
  <c r="AI71" i="1" s="1"/>
  <c r="AF71" i="1"/>
  <c r="AY51" i="1"/>
  <c r="AY39" i="1"/>
  <c r="AY45" i="1"/>
  <c r="AM35" i="1"/>
  <c r="AU32" i="1"/>
  <c r="BA32" i="1"/>
  <c r="AY75" i="1"/>
  <c r="BP20" i="1"/>
  <c r="CD20" i="1" s="1"/>
  <c r="BC88" i="1"/>
  <c r="BB88" i="1" s="1"/>
  <c r="AA10" i="9"/>
  <c r="CD66" i="1"/>
  <c r="CL66" i="1" s="1"/>
  <c r="AY40" i="1"/>
  <c r="AY48" i="1"/>
  <c r="AU50" i="1"/>
  <c r="BC50" i="1"/>
  <c r="BB50" i="1" s="1"/>
  <c r="AW50" i="1"/>
  <c r="BA56" i="1"/>
  <c r="BC56" i="1"/>
  <c r="BB56" i="1" s="1"/>
  <c r="BA30" i="1"/>
  <c r="BP33" i="1"/>
  <c r="AY46" i="1"/>
  <c r="AU48" i="1"/>
  <c r="AW48" i="1"/>
  <c r="AY69" i="1"/>
  <c r="BO52" i="1"/>
  <c r="CC41" i="1"/>
  <c r="CC40" i="1"/>
  <c r="AY67" i="1"/>
  <c r="AY87" i="1"/>
  <c r="AC12" i="9"/>
  <c r="AB12" i="9"/>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Y20" i="1"/>
  <c r="AW58" i="1"/>
  <c r="BC11" i="9"/>
  <c r="AT11" i="9"/>
  <c r="R11" i="9" s="1"/>
  <c r="AV11" i="9"/>
  <c r="AU11" i="9"/>
  <c r="AX11" i="9"/>
  <c r="U11" i="9" s="1"/>
  <c r="AY11" i="9"/>
  <c r="I60" i="9" s="1"/>
  <c r="K60" i="9" s="1"/>
  <c r="AW11" i="9"/>
  <c r="T11" i="9" s="1"/>
  <c r="AZ11" i="9"/>
  <c r="H60" i="9" s="1"/>
  <c r="J60" i="9" s="1"/>
  <c r="BA11" i="9"/>
  <c r="BA34" i="1"/>
  <c r="BC34" i="1"/>
  <c r="BB34" i="1" s="1"/>
  <c r="AY34" i="1" s="1"/>
  <c r="AW34" i="1"/>
  <c r="AV34" i="1"/>
  <c r="BI60" i="1"/>
  <c r="BD43" i="1"/>
  <c r="AI43" i="1"/>
  <c r="AY47" i="1"/>
  <c r="AM73" i="1"/>
  <c r="AY79" i="1"/>
  <c r="AY84" i="1"/>
  <c r="W7" i="9"/>
  <c r="V7" i="9"/>
  <c r="AW18" i="1"/>
  <c r="AY89" i="1"/>
  <c r="AL25" i="3"/>
  <c r="F25" i="3" s="1"/>
  <c r="E25" i="3"/>
  <c r="BA33" i="1"/>
  <c r="BI80" i="1"/>
  <c r="BC86" i="1"/>
  <c r="BB86" i="1" s="1"/>
  <c r="AY86" i="1" s="1"/>
  <c r="BO14" i="1"/>
  <c r="CC13" i="1" s="1"/>
  <c r="AV28" i="1"/>
  <c r="BC28" i="1" s="1"/>
  <c r="BB28" i="1" s="1"/>
  <c r="AY36" i="1"/>
  <c r="AY44" i="1"/>
  <c r="AY77" i="1"/>
  <c r="BA82" i="1"/>
  <c r="BC82" i="1"/>
  <c r="BB82" i="1" s="1"/>
  <c r="BB77" i="1"/>
  <c r="AC13" i="9"/>
  <c r="AB13" i="9"/>
  <c r="BC4" i="1"/>
  <c r="BB4" i="1" s="1"/>
  <c r="AY4" i="1" s="1"/>
  <c r="AU46" i="1"/>
  <c r="BC46" i="1"/>
  <c r="BB46" i="1" s="1"/>
  <c r="AY82" i="1"/>
  <c r="AT5" i="9"/>
  <c r="R5" i="9" s="1"/>
  <c r="AX5" i="9"/>
  <c r="U5" i="9" s="1"/>
  <c r="BA5" i="9"/>
  <c r="BB5" i="9"/>
  <c r="BC5" i="9"/>
  <c r="AV5" i="9"/>
  <c r="AW5" i="9"/>
  <c r="T5" i="9" s="1"/>
  <c r="BC8" i="9"/>
  <c r="AU8" i="9"/>
  <c r="AX8" i="9"/>
  <c r="U8" i="9" s="1"/>
  <c r="AW8" i="9"/>
  <c r="T8" i="9" s="1"/>
  <c r="AT8" i="9"/>
  <c r="R8" i="9" s="1"/>
  <c r="AY24" i="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BC26" i="1"/>
  <c r="BB26" i="1" s="1"/>
  <c r="AY26" i="1" s="1"/>
  <c r="AU26" i="1"/>
  <c r="BA26" i="1"/>
  <c r="AW26" i="1"/>
  <c r="AY32" i="1"/>
  <c r="AY49" i="1"/>
  <c r="AY72" i="1"/>
  <c r="BC78" i="1"/>
  <c r="BB78" i="1" s="1"/>
  <c r="AW78" i="1"/>
  <c r="BA78" i="1"/>
  <c r="AZ78" i="1"/>
  <c r="AL37" i="3"/>
  <c r="F37" i="3" s="1"/>
  <c r="AY37" i="1"/>
  <c r="AY41" i="1"/>
  <c r="AY55" i="1"/>
  <c r="AF83" i="1"/>
  <c r="AH83" i="1"/>
  <c r="AI83" i="1" s="1"/>
  <c r="AL83" i="1"/>
  <c r="AJ83" i="1"/>
  <c r="AK83" i="1" s="1"/>
  <c r="AG35" i="1"/>
  <c r="S4" i="9"/>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L13" i="3"/>
  <c r="F13" i="3" s="1"/>
  <c r="E13" i="3"/>
  <c r="AW8" i="1"/>
  <c r="AU8" i="1"/>
  <c r="AY58" i="1"/>
  <c r="Z6" i="9"/>
  <c r="AY16" i="1"/>
  <c r="AY30" i="1"/>
  <c r="AY52" i="1"/>
  <c r="AY56" i="1"/>
  <c r="AW62" i="1"/>
  <c r="BC62" i="1"/>
  <c r="BB62" i="1" s="1"/>
  <c r="AY62" i="1" s="1"/>
  <c r="BA62" i="1"/>
  <c r="AV90" i="1"/>
  <c r="BA90" i="1" s="1"/>
  <c r="AW90" i="1"/>
  <c r="BC90" i="1"/>
  <c r="BB90" i="1" s="1"/>
  <c r="BC42" i="1"/>
  <c r="BB42" i="1" s="1"/>
  <c r="AY42" i="1" s="1"/>
  <c r="AH85" i="1"/>
  <c r="AI85" i="1" s="1"/>
  <c r="AK15" i="3"/>
  <c r="AK27" i="3"/>
  <c r="AY13" i="9"/>
  <c r="I62" i="9" s="1"/>
  <c r="K62" i="9" s="1"/>
  <c r="AK39" i="3"/>
  <c r="AT4" i="9"/>
  <c r="R4" i="9" s="1"/>
  <c r="AF85" i="1"/>
  <c r="AH35" i="1"/>
  <c r="AI35" i="1" s="1"/>
  <c r="AK17" i="3"/>
  <c r="AZ4" i="9"/>
  <c r="BC54" i="1"/>
  <c r="BB54" i="1" s="1"/>
  <c r="AY54" i="1" s="1"/>
  <c r="AK19" i="3"/>
  <c r="AK9" i="3"/>
  <c r="AK31" i="3"/>
  <c r="AY4" i="9"/>
  <c r="AJ35" i="1"/>
  <c r="AK35" i="1" s="1"/>
  <c r="AX4" i="9"/>
  <c r="U4" i="9" s="1"/>
  <c r="BF10" i="9" l="1"/>
  <c r="AB7" i="9"/>
  <c r="BO7" i="9" s="1"/>
  <c r="BF12" i="9"/>
  <c r="BL12" i="9"/>
  <c r="AA13" i="9"/>
  <c r="Z13" i="9"/>
  <c r="X7" i="9"/>
  <c r="BI7" i="9" s="1"/>
  <c r="S13" i="9"/>
  <c r="Y13" i="9" s="1"/>
  <c r="BI12" i="9"/>
  <c r="AD12" i="9"/>
  <c r="AB10" i="9"/>
  <c r="S10" i="9"/>
  <c r="X10" i="9" s="1"/>
  <c r="AD10" i="9" s="1"/>
  <c r="X13" i="9"/>
  <c r="V13" i="9"/>
  <c r="W13" i="9"/>
  <c r="S9" i="9"/>
  <c r="Y9" i="9" s="1"/>
  <c r="W9" i="9"/>
  <c r="V9" i="9"/>
  <c r="AD20" i="3"/>
  <c r="AE20" i="3" s="1"/>
  <c r="AF10" i="3"/>
  <c r="AG10" i="3" s="1"/>
  <c r="AD35" i="3"/>
  <c r="AE35" i="3" s="1"/>
  <c r="AQ35" i="3" s="1"/>
  <c r="AD12" i="3"/>
  <c r="AE12" i="3" s="1"/>
  <c r="AD17" i="3"/>
  <c r="AD32" i="3"/>
  <c r="AE32" i="3" s="1"/>
  <c r="AF34" i="3"/>
  <c r="AG34" i="3" s="1"/>
  <c r="AD7" i="3"/>
  <c r="AE7" i="3" s="1"/>
  <c r="AQ7" i="3" s="1"/>
  <c r="AD23" i="3"/>
  <c r="AE23" i="3" s="1"/>
  <c r="AQ23" i="3" s="1"/>
  <c r="AD4" i="3"/>
  <c r="AE4" i="3" s="1"/>
  <c r="AF12" i="3"/>
  <c r="AG12" i="3" s="1"/>
  <c r="AF8" i="3"/>
  <c r="AG8" i="3" s="1"/>
  <c r="AD5" i="3"/>
  <c r="AD31" i="3"/>
  <c r="AE31" i="3" s="1"/>
  <c r="AQ31" i="3" s="1"/>
  <c r="AD37" i="3"/>
  <c r="AE37" i="3" s="1"/>
  <c r="AQ37" i="3" s="1"/>
  <c r="AF15" i="3"/>
  <c r="AG15" i="3" s="1"/>
  <c r="AT15" i="3" s="1"/>
  <c r="AF29" i="3"/>
  <c r="AF30" i="3"/>
  <c r="AG30" i="3" s="1"/>
  <c r="AF6" i="3"/>
  <c r="AG6" i="3" s="1"/>
  <c r="AD24" i="3"/>
  <c r="AE24" i="3" s="1"/>
  <c r="AF4" i="3"/>
  <c r="AG4" i="3" s="1"/>
  <c r="AF32" i="3"/>
  <c r="AG32" i="3" s="1"/>
  <c r="AF17" i="3"/>
  <c r="AM17" i="3" s="1"/>
  <c r="AF27" i="3"/>
  <c r="AG27" i="3" s="1"/>
  <c r="AT27" i="3" s="1"/>
  <c r="AF13" i="3"/>
  <c r="AF19" i="3"/>
  <c r="AF18" i="3"/>
  <c r="AG18" i="3" s="1"/>
  <c r="AF40" i="3"/>
  <c r="AG40" i="3" s="1"/>
  <c r="AD18" i="3"/>
  <c r="AE18" i="3" s="1"/>
  <c r="AF33" i="3"/>
  <c r="AF44" i="3"/>
  <c r="AG44" i="3" s="1"/>
  <c r="AD15" i="3"/>
  <c r="AD10" i="3"/>
  <c r="AE10" i="3" s="1"/>
  <c r="AF42" i="3"/>
  <c r="AG42" i="3" s="1"/>
  <c r="AD42" i="3"/>
  <c r="AE42" i="3" s="1"/>
  <c r="AF11" i="3"/>
  <c r="AD34" i="3"/>
  <c r="AE34" i="3" s="1"/>
  <c r="AD19" i="3"/>
  <c r="AF38" i="3"/>
  <c r="AG38" i="3" s="1"/>
  <c r="AD11" i="3"/>
  <c r="AF35" i="3"/>
  <c r="AF5" i="3"/>
  <c r="AG5" i="3" s="1"/>
  <c r="AT5" i="3" s="1"/>
  <c r="AF39" i="3"/>
  <c r="AD8" i="3"/>
  <c r="AE8" i="3" s="1"/>
  <c r="AF23" i="3"/>
  <c r="AG23" i="3" s="1"/>
  <c r="AT23" i="3" s="1"/>
  <c r="AD13" i="3"/>
  <c r="AE13" i="3" s="1"/>
  <c r="AQ13" i="3" s="1"/>
  <c r="AF14" i="3"/>
  <c r="AG14" i="3" s="1"/>
  <c r="AD40" i="3"/>
  <c r="AE40" i="3" s="1"/>
  <c r="AF20" i="3"/>
  <c r="AG20" i="3" s="1"/>
  <c r="AD16" i="3"/>
  <c r="AE16" i="3" s="1"/>
  <c r="AF31" i="3"/>
  <c r="AG31" i="3" s="1"/>
  <c r="AT31" i="3" s="1"/>
  <c r="AD36" i="3"/>
  <c r="AE36" i="3" s="1"/>
  <c r="AD30" i="3"/>
  <c r="AE30" i="3" s="1"/>
  <c r="AD27" i="3"/>
  <c r="AE27" i="3" s="1"/>
  <c r="AQ27" i="3" s="1"/>
  <c r="AD25" i="3"/>
  <c r="AE25" i="3" s="1"/>
  <c r="AQ25" i="3" s="1"/>
  <c r="AD39" i="3"/>
  <c r="AD41" i="3"/>
  <c r="AE41" i="3" s="1"/>
  <c r="AQ41" i="3" s="1"/>
  <c r="AD43" i="3"/>
  <c r="AE43" i="3" s="1"/>
  <c r="AQ43" i="3" s="1"/>
  <c r="AD38" i="3"/>
  <c r="AE38" i="3" s="1"/>
  <c r="AF37" i="3"/>
  <c r="AF21" i="3"/>
  <c r="AD28" i="3"/>
  <c r="AE28" i="3" s="1"/>
  <c r="AF43" i="3"/>
  <c r="AG43" i="3" s="1"/>
  <c r="AT43" i="3" s="1"/>
  <c r="AD22" i="3"/>
  <c r="AE22" i="3" s="1"/>
  <c r="AF9" i="3"/>
  <c r="AM9" i="3" s="1"/>
  <c r="G9" i="3" s="1"/>
  <c r="AF26" i="3"/>
  <c r="AG26" i="3" s="1"/>
  <c r="AD29" i="3"/>
  <c r="AE26" i="3"/>
  <c r="AF28" i="3"/>
  <c r="AG28" i="3" s="1"/>
  <c r="AF41" i="3"/>
  <c r="AG41" i="3" s="1"/>
  <c r="AT41" i="3" s="1"/>
  <c r="AD33" i="3"/>
  <c r="AD6" i="3"/>
  <c r="AE6" i="3" s="1"/>
  <c r="AD9" i="3"/>
  <c r="AE9" i="3" s="1"/>
  <c r="AQ9" i="3" s="1"/>
  <c r="AF25" i="3"/>
  <c r="AG25" i="3" s="1"/>
  <c r="AT25" i="3" s="1"/>
  <c r="AD14" i="3"/>
  <c r="AE14" i="3" s="1"/>
  <c r="AD21" i="3"/>
  <c r="AF7" i="3"/>
  <c r="AG7" i="3" s="1"/>
  <c r="AT7" i="3" s="1"/>
  <c r="AF22" i="3"/>
  <c r="AF36" i="3"/>
  <c r="AG36" i="3" s="1"/>
  <c r="AF16" i="3"/>
  <c r="AG16" i="3" s="1"/>
  <c r="AD44" i="3"/>
  <c r="AE44" i="3" s="1"/>
  <c r="AF24" i="3"/>
  <c r="AG24" i="3" s="1"/>
  <c r="AG29" i="3"/>
  <c r="AT29" i="3" s="1"/>
  <c r="AG19" i="3"/>
  <c r="AT19" i="3" s="1"/>
  <c r="AM19" i="3"/>
  <c r="AG13" i="3"/>
  <c r="AT13" i="3" s="1"/>
  <c r="AI17" i="3"/>
  <c r="AE17" i="3"/>
  <c r="AQ17" i="3" s="1"/>
  <c r="AI5" i="3"/>
  <c r="AE5" i="3"/>
  <c r="AQ5" i="3" s="1"/>
  <c r="AE15" i="3"/>
  <c r="AQ15" i="3" s="1"/>
  <c r="AM35" i="3"/>
  <c r="AG35" i="3"/>
  <c r="AT35" i="3" s="1"/>
  <c r="BG8" i="1"/>
  <c r="BF8" i="1"/>
  <c r="BP10" i="1"/>
  <c r="CD10" i="1" s="1"/>
  <c r="BF12" i="1"/>
  <c r="BG12" i="1"/>
  <c r="BF34" i="1"/>
  <c r="BG34" i="1"/>
  <c r="BG26" i="1"/>
  <c r="BF26" i="1"/>
  <c r="BG80" i="1"/>
  <c r="BF80" i="1"/>
  <c r="BG62" i="1"/>
  <c r="BF62" i="1"/>
  <c r="BG42" i="1"/>
  <c r="BF42" i="1"/>
  <c r="BF86" i="1"/>
  <c r="BG86" i="1"/>
  <c r="BG54" i="1"/>
  <c r="BF54" i="1"/>
  <c r="BG74" i="1"/>
  <c r="BF74" i="1"/>
  <c r="BG4" i="1"/>
  <c r="BF4" i="1"/>
  <c r="BD83" i="1"/>
  <c r="AG83" i="1"/>
  <c r="BF76" i="1"/>
  <c r="BG76" i="1"/>
  <c r="O4" i="9"/>
  <c r="I53" i="9"/>
  <c r="K53" i="9" s="1"/>
  <c r="E27" i="3"/>
  <c r="AL27" i="3"/>
  <c r="F27" i="3" s="1"/>
  <c r="BG72" i="1"/>
  <c r="BF72" i="1"/>
  <c r="AG11" i="1"/>
  <c r="BD11" i="1"/>
  <c r="AB8" i="9"/>
  <c r="AC8" i="9"/>
  <c r="AL31" i="3"/>
  <c r="F31" i="3" s="1"/>
  <c r="E31" i="3"/>
  <c r="E15" i="3"/>
  <c r="AL15" i="3"/>
  <c r="F15" i="3" s="1"/>
  <c r="BO8" i="1"/>
  <c r="BI8" i="1"/>
  <c r="BG49" i="1"/>
  <c r="BF49" i="1"/>
  <c r="AM17" i="1"/>
  <c r="BF88" i="1"/>
  <c r="BG88" i="1"/>
  <c r="BG79" i="1"/>
  <c r="BF79" i="1"/>
  <c r="BI34" i="1"/>
  <c r="BO34" i="1"/>
  <c r="S11" i="9"/>
  <c r="X11" i="9" s="1"/>
  <c r="AM19" i="1"/>
  <c r="AU61" i="1"/>
  <c r="BC61" i="1"/>
  <c r="BB61" i="1" s="1"/>
  <c r="AY61" i="1" s="1"/>
  <c r="BA61" i="1"/>
  <c r="AW61" i="1"/>
  <c r="BF67" i="1"/>
  <c r="BG67" i="1"/>
  <c r="BX45" i="1"/>
  <c r="BJ67" i="1"/>
  <c r="BP67" i="1"/>
  <c r="AL9" i="3"/>
  <c r="F9" i="3" s="1"/>
  <c r="E9" i="3"/>
  <c r="CG67" i="1"/>
  <c r="CH67" i="1" s="1"/>
  <c r="BY67" i="1"/>
  <c r="Z5" i="9"/>
  <c r="AA5" i="9"/>
  <c r="BF36" i="1"/>
  <c r="BG36" i="1"/>
  <c r="BG33" i="1"/>
  <c r="BF33" i="1"/>
  <c r="CG41" i="1"/>
  <c r="CH41" i="1" s="1"/>
  <c r="CI41" i="1"/>
  <c r="CJ41" i="1" s="1"/>
  <c r="CE41" i="1"/>
  <c r="BG45" i="1"/>
  <c r="BF45" i="1"/>
  <c r="BO9" i="9"/>
  <c r="AM27" i="1"/>
  <c r="BG16" i="1"/>
  <c r="BF16" i="1"/>
  <c r="BG41" i="1"/>
  <c r="BF41" i="1"/>
  <c r="AG17" i="1"/>
  <c r="BD17" i="1"/>
  <c r="S5" i="9"/>
  <c r="Y5" i="9" s="1"/>
  <c r="BA28" i="1"/>
  <c r="BG89" i="1"/>
  <c r="BF89" i="1"/>
  <c r="BI58" i="1"/>
  <c r="BO58" i="1"/>
  <c r="CD57" i="1" s="1"/>
  <c r="BD19" i="1"/>
  <c r="AG19" i="1"/>
  <c r="BG39" i="1"/>
  <c r="BF39" i="1"/>
  <c r="BL7" i="9"/>
  <c r="BG63" i="1"/>
  <c r="BF63" i="1"/>
  <c r="BF32" i="1"/>
  <c r="BG32" i="1"/>
  <c r="W11" i="9"/>
  <c r="V11" i="9"/>
  <c r="BF55" i="1"/>
  <c r="BG55" i="1"/>
  <c r="H53" i="9"/>
  <c r="J53" i="9" s="1"/>
  <c r="BG14" i="1"/>
  <c r="BF14" i="1"/>
  <c r="BG37" i="1"/>
  <c r="BF37" i="1"/>
  <c r="AM5" i="1"/>
  <c r="AM23" i="1"/>
  <c r="BA73" i="1"/>
  <c r="BC73" i="1"/>
  <c r="BB73" i="1" s="1"/>
  <c r="AU73" i="1"/>
  <c r="AW73" i="1"/>
  <c r="BG22" i="1"/>
  <c r="BF22" i="1"/>
  <c r="AY90" i="1"/>
  <c r="AM7" i="1"/>
  <c r="AM25" i="1"/>
  <c r="BF70" i="1"/>
  <c r="BG70" i="1"/>
  <c r="BF38" i="1"/>
  <c r="BG38" i="1"/>
  <c r="BL10" i="9"/>
  <c r="BG51" i="1"/>
  <c r="BF51" i="1"/>
  <c r="CR67" i="1"/>
  <c r="BX67" i="1"/>
  <c r="BJ49" i="1"/>
  <c r="BP49" i="1" s="1"/>
  <c r="CD55" i="1"/>
  <c r="CC56" i="1"/>
  <c r="CC57" i="1"/>
  <c r="E17" i="3"/>
  <c r="AL17" i="3"/>
  <c r="F17" i="3" s="1"/>
  <c r="BI90" i="1"/>
  <c r="BO90" i="1"/>
  <c r="AG9" i="1"/>
  <c r="BD9" i="1"/>
  <c r="BD27" i="1"/>
  <c r="AG27" i="1"/>
  <c r="BO28" i="1"/>
  <c r="BI28" i="1"/>
  <c r="BG47" i="1"/>
  <c r="BF47" i="1"/>
  <c r="BG59" i="1"/>
  <c r="BF59" i="1"/>
  <c r="BD71" i="1"/>
  <c r="AG71" i="1"/>
  <c r="BK81" i="1"/>
  <c r="BM81" i="1"/>
  <c r="BJ22" i="1"/>
  <c r="BP22" i="1" s="1"/>
  <c r="CD22" i="1" s="1"/>
  <c r="BJ56" i="1"/>
  <c r="BP56" i="1"/>
  <c r="CD56" i="1" s="1"/>
  <c r="AG21" i="1"/>
  <c r="BD21" i="1"/>
  <c r="AM15" i="1"/>
  <c r="BF24" i="1"/>
  <c r="BG24" i="1"/>
  <c r="BF20" i="1"/>
  <c r="BG20" i="1"/>
  <c r="AY28" i="1"/>
  <c r="BJ81" i="1"/>
  <c r="BP81" i="1"/>
  <c r="CH81" i="1" s="1"/>
  <c r="CF67" i="1"/>
  <c r="BD85" i="1"/>
  <c r="AG85" i="1"/>
  <c r="AY78" i="1"/>
  <c r="AG5" i="1"/>
  <c r="BD5" i="1"/>
  <c r="AG23" i="1"/>
  <c r="BD23" i="1"/>
  <c r="AB5" i="9"/>
  <c r="AC5" i="9"/>
  <c r="BO13" i="9"/>
  <c r="CC14" i="1"/>
  <c r="CD14" i="1"/>
  <c r="CC15" i="1"/>
  <c r="CD13" i="1"/>
  <c r="CD15" i="1"/>
  <c r="BO18" i="1"/>
  <c r="CD17" i="1" s="1"/>
  <c r="BI18" i="1"/>
  <c r="BA43" i="1"/>
  <c r="BC43" i="1"/>
  <c r="BB43" i="1" s="1"/>
  <c r="AY43" i="1" s="1"/>
  <c r="AW43" i="1"/>
  <c r="AU43" i="1"/>
  <c r="BO10" i="9"/>
  <c r="AG7" i="1"/>
  <c r="BD7" i="1"/>
  <c r="AG25" i="1"/>
  <c r="BD25" i="1"/>
  <c r="AY18" i="1"/>
  <c r="BI50" i="1"/>
  <c r="BO50" i="1"/>
  <c r="CE33" i="1"/>
  <c r="BU49" i="1"/>
  <c r="BW49" i="1" s="1"/>
  <c r="BY45" i="1"/>
  <c r="BZ45" i="1" s="1"/>
  <c r="BZ55" i="1"/>
  <c r="BF30" i="1"/>
  <c r="BG30" i="1"/>
  <c r="BF46" i="1"/>
  <c r="BG46" i="1"/>
  <c r="AL19" i="3"/>
  <c r="F19" i="3" s="1"/>
  <c r="E19" i="3"/>
  <c r="AM9" i="1"/>
  <c r="AB4" i="9"/>
  <c r="N4" i="9" s="1"/>
  <c r="AC4" i="9"/>
  <c r="AM11" i="1"/>
  <c r="AM29" i="1"/>
  <c r="W5" i="9"/>
  <c r="V5" i="9"/>
  <c r="AD7" i="9"/>
  <c r="Z11" i="9"/>
  <c r="AA11" i="9"/>
  <c r="BG81" i="1"/>
  <c r="BF81" i="1"/>
  <c r="AM13" i="1"/>
  <c r="AM31" i="1"/>
  <c r="CC52" i="1"/>
  <c r="CD53" i="1"/>
  <c r="CC53" i="1"/>
  <c r="CD52" i="1"/>
  <c r="BF75" i="1"/>
  <c r="BG75" i="1"/>
  <c r="BL33" i="1"/>
  <c r="BR33" i="1" s="1"/>
  <c r="BN33" i="1"/>
  <c r="CR33" i="1" s="1"/>
  <c r="BQ33" i="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CI57" i="1"/>
  <c r="BU57" i="1"/>
  <c r="BV57" i="1" s="1"/>
  <c r="BX59" i="1"/>
  <c r="BG44" i="1"/>
  <c r="BF44" i="1"/>
  <c r="BO26" i="1"/>
  <c r="BI26" i="1"/>
  <c r="X4" i="9"/>
  <c r="Y4" i="9"/>
  <c r="V4" i="9"/>
  <c r="W4" i="9"/>
  <c r="BF56" i="1"/>
  <c r="BG56" i="1"/>
  <c r="BG58" i="1"/>
  <c r="BF58" i="1"/>
  <c r="AM21" i="1"/>
  <c r="AA8" i="9"/>
  <c r="Z8" i="9"/>
  <c r="BL6" i="9"/>
  <c r="AB11" i="9"/>
  <c r="AC11" i="9"/>
  <c r="BJ16" i="1"/>
  <c r="BP16" i="1" s="1"/>
  <c r="CD16" i="1" s="1"/>
  <c r="BO12" i="9"/>
  <c r="BG69" i="1"/>
  <c r="BF69" i="1"/>
  <c r="BF48" i="1"/>
  <c r="BG48" i="1"/>
  <c r="BL9" i="9"/>
  <c r="BF57" i="1"/>
  <c r="BG57" i="1"/>
  <c r="CL64" i="1"/>
  <c r="CR45" i="1"/>
  <c r="CF45" i="1"/>
  <c r="AU53" i="1"/>
  <c r="BA53" i="1"/>
  <c r="BC53" i="1"/>
  <c r="BB53" i="1" s="1"/>
  <c r="AY53" i="1" s="1"/>
  <c r="AW53" i="1"/>
  <c r="CE75" i="1"/>
  <c r="CG75" i="1"/>
  <c r="CI75" i="1"/>
  <c r="CS39" i="1"/>
  <c r="F39" i="1"/>
  <c r="BI76" i="1"/>
  <c r="BO76" i="1"/>
  <c r="BG52" i="1"/>
  <c r="BF52" i="1"/>
  <c r="AM83" i="1"/>
  <c r="AG29" i="1"/>
  <c r="BD29" i="1"/>
  <c r="BF77" i="1"/>
  <c r="BG77" i="1"/>
  <c r="BG10" i="1"/>
  <c r="BF10" i="1"/>
  <c r="BG84" i="1"/>
  <c r="BF84" i="1"/>
  <c r="AG13" i="1"/>
  <c r="BD13" i="1"/>
  <c r="AG31" i="1"/>
  <c r="BD31" i="1"/>
  <c r="CC16" i="1"/>
  <c r="CC17" i="1"/>
  <c r="BF87" i="1"/>
  <c r="BG87" i="1"/>
  <c r="BI48" i="1"/>
  <c r="BO48" i="1"/>
  <c r="BF40" i="1"/>
  <c r="BG40" i="1"/>
  <c r="BF60" i="1"/>
  <c r="BG60" i="1"/>
  <c r="BV87" i="1"/>
  <c r="CI87" i="1"/>
  <c r="CJ87" i="1" s="1"/>
  <c r="BU87" i="1"/>
  <c r="BR63" i="1"/>
  <c r="BV63" i="1" s="1"/>
  <c r="BZ63" i="1" s="1"/>
  <c r="BN63" i="1"/>
  <c r="BF4" i="9" l="1"/>
  <c r="BR4" i="9" s="1"/>
  <c r="BS4" i="9" s="1"/>
  <c r="O14" i="9"/>
  <c r="AI14" i="9" s="1"/>
  <c r="AJ14" i="9" s="1"/>
  <c r="BM14" i="9" s="1"/>
  <c r="O15" i="9"/>
  <c r="AI15" i="9" s="1"/>
  <c r="AJ15" i="9" s="1"/>
  <c r="BM15" i="9" s="1"/>
  <c r="O22" i="9"/>
  <c r="AI22" i="9" s="1"/>
  <c r="AJ22" i="9" s="1"/>
  <c r="BM22" i="9" s="1"/>
  <c r="O23" i="9"/>
  <c r="AI23" i="9" s="1"/>
  <c r="AJ23" i="9" s="1"/>
  <c r="BM23" i="9" s="1"/>
  <c r="O16" i="9"/>
  <c r="AI16" i="9" s="1"/>
  <c r="AJ16" i="9" s="1"/>
  <c r="BM16" i="9" s="1"/>
  <c r="O17" i="9"/>
  <c r="AI17" i="9" s="1"/>
  <c r="AJ17" i="9" s="1"/>
  <c r="BM17" i="9" s="1"/>
  <c r="O18" i="9"/>
  <c r="AI18" i="9" s="1"/>
  <c r="AJ18" i="9" s="1"/>
  <c r="BM18" i="9" s="1"/>
  <c r="O19" i="9"/>
  <c r="AI19" i="9" s="1"/>
  <c r="AJ19" i="9" s="1"/>
  <c r="BM19" i="9" s="1"/>
  <c r="O20" i="9"/>
  <c r="AI20" i="9" s="1"/>
  <c r="AJ20" i="9" s="1"/>
  <c r="BM20" i="9" s="1"/>
  <c r="O21" i="9"/>
  <c r="AI21" i="9" s="1"/>
  <c r="AJ21" i="9" s="1"/>
  <c r="BM21" i="9" s="1"/>
  <c r="N14" i="9"/>
  <c r="AK14" i="9" s="1"/>
  <c r="N15" i="9"/>
  <c r="AK15" i="9" s="1"/>
  <c r="N16" i="9"/>
  <c r="AK16" i="9" s="1"/>
  <c r="N17" i="9"/>
  <c r="AK17" i="9" s="1"/>
  <c r="N18" i="9"/>
  <c r="AK18" i="9" s="1"/>
  <c r="N23" i="9"/>
  <c r="AK23" i="9" s="1"/>
  <c r="N19" i="9"/>
  <c r="AK19" i="9" s="1"/>
  <c r="N20" i="9"/>
  <c r="AK20" i="9" s="1"/>
  <c r="N21" i="9"/>
  <c r="AK21" i="9" s="1"/>
  <c r="N22" i="9"/>
  <c r="AK22" i="9" s="1"/>
  <c r="X9" i="9"/>
  <c r="BI9" i="9" s="1"/>
  <c r="BI13" i="9"/>
  <c r="AD13" i="9"/>
  <c r="Y10" i="9"/>
  <c r="BI10" i="9" s="1"/>
  <c r="BF13" i="9"/>
  <c r="BL13" i="9"/>
  <c r="BF9" i="9"/>
  <c r="AD9" i="9"/>
  <c r="X5" i="9"/>
  <c r="BI5" i="9" s="1"/>
  <c r="AD4" i="9"/>
  <c r="BI4" i="9"/>
  <c r="AM39" i="3"/>
  <c r="AM13" i="3"/>
  <c r="AM33" i="3"/>
  <c r="AG17" i="3"/>
  <c r="AT17" i="3" s="1"/>
  <c r="AI43" i="3"/>
  <c r="AI11" i="3"/>
  <c r="AI13" i="3"/>
  <c r="AM31" i="3"/>
  <c r="AG33" i="3"/>
  <c r="AT33" i="3" s="1"/>
  <c r="AI9" i="3"/>
  <c r="AJ9" i="3" s="1"/>
  <c r="AR9" i="3" s="1"/>
  <c r="AW9" i="3" s="1"/>
  <c r="AI31" i="3"/>
  <c r="AJ31" i="3" s="1"/>
  <c r="AR31" i="3" s="1"/>
  <c r="AW31" i="3" s="1"/>
  <c r="AX31" i="3" s="1"/>
  <c r="AY31" i="3" s="1"/>
  <c r="AI19" i="3"/>
  <c r="AG39" i="3"/>
  <c r="AT39" i="3" s="1"/>
  <c r="AM7" i="3"/>
  <c r="AM37" i="3"/>
  <c r="AM5" i="3"/>
  <c r="AI27" i="3"/>
  <c r="AI41" i="3"/>
  <c r="AJ41" i="3" s="1"/>
  <c r="AR41" i="3" s="1"/>
  <c r="AW41" i="3" s="1"/>
  <c r="AX41" i="3" s="1"/>
  <c r="AY41" i="3" s="1"/>
  <c r="AM21" i="3"/>
  <c r="G21" i="3" s="1"/>
  <c r="AE11" i="3"/>
  <c r="AQ11" i="3" s="1"/>
  <c r="AM41" i="3"/>
  <c r="AN41" i="3" s="1"/>
  <c r="AI37" i="3"/>
  <c r="AJ37" i="3" s="1"/>
  <c r="AR37" i="3" s="1"/>
  <c r="AW37" i="3" s="1"/>
  <c r="AM29" i="3"/>
  <c r="G29" i="3" s="1"/>
  <c r="AI21" i="3"/>
  <c r="AM27" i="3"/>
  <c r="AN27" i="3" s="1"/>
  <c r="AM15" i="3"/>
  <c r="AN15" i="3" s="1"/>
  <c r="AG9" i="3"/>
  <c r="AT9" i="3" s="1"/>
  <c r="AE19" i="3"/>
  <c r="AQ19" i="3" s="1"/>
  <c r="AI7" i="3"/>
  <c r="AJ7" i="3" s="1"/>
  <c r="AR7" i="3" s="1"/>
  <c r="AW7" i="3" s="1"/>
  <c r="AX7" i="3" s="1"/>
  <c r="AY7" i="3" s="1"/>
  <c r="AG21" i="3"/>
  <c r="AT21" i="3" s="1"/>
  <c r="AG37" i="3"/>
  <c r="AT37" i="3" s="1"/>
  <c r="AG11" i="3"/>
  <c r="AT11" i="3" s="1"/>
  <c r="AM11" i="3"/>
  <c r="AI35" i="3"/>
  <c r="AJ35" i="3" s="1"/>
  <c r="AR35" i="3" s="1"/>
  <c r="AE39" i="3"/>
  <c r="AQ39" i="3" s="1"/>
  <c r="AI39" i="3"/>
  <c r="AE29" i="3"/>
  <c r="AQ29" i="3" s="1"/>
  <c r="AI29" i="3"/>
  <c r="AJ29" i="3" s="1"/>
  <c r="AR29" i="3" s="1"/>
  <c r="AW29" i="3" s="1"/>
  <c r="AX29" i="3" s="1"/>
  <c r="AY29" i="3" s="1"/>
  <c r="AM43" i="3"/>
  <c r="G43" i="3" s="1"/>
  <c r="AI25" i="3"/>
  <c r="AJ25" i="3" s="1"/>
  <c r="AR25" i="3" s="1"/>
  <c r="AW25" i="3" s="1"/>
  <c r="AX25" i="3" s="1"/>
  <c r="AY25" i="3" s="1"/>
  <c r="AI23" i="3"/>
  <c r="AJ23" i="3" s="1"/>
  <c r="AR23" i="3" s="1"/>
  <c r="AW23" i="3" s="1"/>
  <c r="AX23" i="3" s="1"/>
  <c r="AY23" i="3" s="1"/>
  <c r="AJ17" i="3"/>
  <c r="AR17" i="3" s="1"/>
  <c r="AW17" i="3" s="1"/>
  <c r="AX17" i="3" s="1"/>
  <c r="AY17" i="3" s="1"/>
  <c r="AE21" i="3"/>
  <c r="AQ21" i="3" s="1"/>
  <c r="AM25" i="3"/>
  <c r="AN25" i="3" s="1"/>
  <c r="AJ13" i="3"/>
  <c r="AR13" i="3" s="1"/>
  <c r="AW13" i="3" s="1"/>
  <c r="AI15" i="3"/>
  <c r="AJ15" i="3" s="1"/>
  <c r="AR15" i="3" s="1"/>
  <c r="AW15" i="3" s="1"/>
  <c r="AX15" i="3" s="1"/>
  <c r="AY15" i="3" s="1"/>
  <c r="AG22" i="3"/>
  <c r="AM23" i="3"/>
  <c r="AE33" i="3"/>
  <c r="AQ33" i="3" s="1"/>
  <c r="AI33" i="3"/>
  <c r="AJ27" i="3"/>
  <c r="AR27" i="3" s="1"/>
  <c r="AW27" i="3" s="1"/>
  <c r="AX27" i="3" s="1"/>
  <c r="AY27" i="3" s="1"/>
  <c r="G27" i="3"/>
  <c r="G17" i="3"/>
  <c r="AN17" i="3"/>
  <c r="G33" i="3"/>
  <c r="AN33" i="3"/>
  <c r="G39" i="3"/>
  <c r="AN39" i="3"/>
  <c r="AN13" i="3"/>
  <c r="G13" i="3"/>
  <c r="AJ43" i="3"/>
  <c r="AR43" i="3" s="1"/>
  <c r="AN31" i="3"/>
  <c r="G31" i="3"/>
  <c r="AJ11" i="3"/>
  <c r="AR11" i="3" s="1"/>
  <c r="AW11" i="3" s="1"/>
  <c r="AX11" i="3" s="1"/>
  <c r="AY11" i="3" s="1"/>
  <c r="G19" i="3"/>
  <c r="AN19" i="3"/>
  <c r="G5" i="3"/>
  <c r="AN5" i="3"/>
  <c r="AJ5" i="3"/>
  <c r="AR5" i="3" s="1"/>
  <c r="G37" i="3"/>
  <c r="G7" i="3"/>
  <c r="AN7" i="3"/>
  <c r="G41" i="3"/>
  <c r="AN35" i="3"/>
  <c r="G35" i="3"/>
  <c r="Y11" i="9"/>
  <c r="BI11" i="9" s="1"/>
  <c r="BH12" i="1"/>
  <c r="BS12" i="1"/>
  <c r="CK12" i="1" s="1"/>
  <c r="CL12" i="1" s="1"/>
  <c r="BT12" i="1"/>
  <c r="BH8" i="1"/>
  <c r="BS8" i="1"/>
  <c r="BT8" i="1"/>
  <c r="BS10" i="1"/>
  <c r="CK10" i="1" s="1"/>
  <c r="BH10" i="1"/>
  <c r="BT10" i="1" s="1"/>
  <c r="BF53" i="1"/>
  <c r="BG53" i="1"/>
  <c r="CC26" i="1"/>
  <c r="CC27" i="1"/>
  <c r="CD25" i="1"/>
  <c r="CD27" i="1"/>
  <c r="BO4" i="9"/>
  <c r="BM43" i="1"/>
  <c r="BK43" i="1"/>
  <c r="BH20" i="1"/>
  <c r="BT20" i="1" s="1"/>
  <c r="BS20" i="1"/>
  <c r="CK20" i="1" s="1"/>
  <c r="AW71" i="1"/>
  <c r="AU71" i="1"/>
  <c r="BA71" i="1"/>
  <c r="BC71" i="1"/>
  <c r="BB71" i="1" s="1"/>
  <c r="AY71" i="1" s="1"/>
  <c r="AU27" i="1"/>
  <c r="AW27" i="1"/>
  <c r="BC27" i="1"/>
  <c r="BB27" i="1" s="1"/>
  <c r="AY27" i="1" s="1"/>
  <c r="BA27" i="1"/>
  <c r="BH89" i="1"/>
  <c r="BT89" i="1" s="1"/>
  <c r="BS89" i="1"/>
  <c r="BS33" i="1"/>
  <c r="BH33" i="1"/>
  <c r="BT33" i="1"/>
  <c r="CU33" i="1" s="1"/>
  <c r="BS86" i="1"/>
  <c r="CK86" i="1" s="1"/>
  <c r="BH86" i="1"/>
  <c r="BT86" i="1" s="1"/>
  <c r="BH77" i="1"/>
  <c r="BT77" i="1" s="1"/>
  <c r="BS77" i="1"/>
  <c r="BH69" i="1"/>
  <c r="BT69" i="1" s="1"/>
  <c r="BS69" i="1"/>
  <c r="BG73" i="1"/>
  <c r="BF73" i="1"/>
  <c r="BJ62" i="1"/>
  <c r="BP62" i="1"/>
  <c r="CI33" i="1"/>
  <c r="BU33" i="1"/>
  <c r="BV33" i="1" s="1"/>
  <c r="N11" i="9"/>
  <c r="AK11" i="9" s="1"/>
  <c r="AL11" i="9" s="1"/>
  <c r="N8" i="9"/>
  <c r="AK8" i="9" s="1"/>
  <c r="AL8" i="9" s="1"/>
  <c r="N10" i="9"/>
  <c r="AK10" i="9" s="1"/>
  <c r="N9" i="9"/>
  <c r="AK9" i="9" s="1"/>
  <c r="N7" i="9"/>
  <c r="AK7" i="9" s="1"/>
  <c r="N12" i="9"/>
  <c r="AK12" i="9" s="1"/>
  <c r="N6" i="9"/>
  <c r="AK6" i="9" s="1"/>
  <c r="N5" i="9"/>
  <c r="AK5" i="9" s="1"/>
  <c r="AL5" i="9" s="1"/>
  <c r="N13" i="9"/>
  <c r="AK13" i="9" s="1"/>
  <c r="CC51" i="1"/>
  <c r="CD51" i="1"/>
  <c r="CC50" i="1"/>
  <c r="BO43" i="1"/>
  <c r="BI43" i="1"/>
  <c r="BO5" i="9"/>
  <c r="BA85" i="1"/>
  <c r="AW85" i="1"/>
  <c r="AU85" i="1"/>
  <c r="BC85" i="1"/>
  <c r="BB85" i="1" s="1"/>
  <c r="AY85" i="1"/>
  <c r="AU9" i="1"/>
  <c r="BA9" i="1"/>
  <c r="AW9" i="1"/>
  <c r="BC9" i="1"/>
  <c r="BB9" i="1" s="1"/>
  <c r="AY9" i="1" s="1"/>
  <c r="BS67" i="1"/>
  <c r="BH67" i="1"/>
  <c r="BT67" i="1"/>
  <c r="CU67" i="1" s="1"/>
  <c r="BS79" i="1"/>
  <c r="BT79" i="1"/>
  <c r="BH79" i="1"/>
  <c r="O9" i="9"/>
  <c r="AI9" i="9" s="1"/>
  <c r="O5" i="9"/>
  <c r="AI5" i="9" s="1"/>
  <c r="E28" i="9" s="1"/>
  <c r="O8" i="9"/>
  <c r="O6" i="9"/>
  <c r="AI6" i="9" s="1"/>
  <c r="O13" i="9"/>
  <c r="AI13" i="9" s="1"/>
  <c r="O7" i="9"/>
  <c r="AI7" i="9" s="1"/>
  <c r="O12" i="9"/>
  <c r="AI12" i="9" s="1"/>
  <c r="O11" i="9"/>
  <c r="AI11" i="9" s="1"/>
  <c r="E34" i="9" s="1"/>
  <c r="O10" i="9"/>
  <c r="AI10" i="9" s="1"/>
  <c r="BH52" i="1"/>
  <c r="BT52" i="1"/>
  <c r="BS52" i="1"/>
  <c r="CK52" i="1" s="1"/>
  <c r="BK53" i="1"/>
  <c r="BM53" i="1"/>
  <c r="BH44" i="1"/>
  <c r="BT44" i="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T24" i="1" s="1"/>
  <c r="BS24" i="1"/>
  <c r="CK24" i="1" s="1"/>
  <c r="BY49" i="1"/>
  <c r="BZ49" i="1" s="1"/>
  <c r="BS59" i="1"/>
  <c r="BH59" i="1"/>
  <c r="BT59" i="1" s="1"/>
  <c r="BH37" i="1"/>
  <c r="BT37" i="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H15" i="3"/>
  <c r="AU15" i="3"/>
  <c r="BJ18" i="1"/>
  <c r="BP18" i="1" s="1"/>
  <c r="CD18" i="1" s="1"/>
  <c r="BH70" i="1"/>
  <c r="BT70" i="1" s="1"/>
  <c r="BS70" i="1"/>
  <c r="CK70" i="1" s="1"/>
  <c r="BH22" i="1"/>
  <c r="BT22" i="1" s="1"/>
  <c r="BS22" i="1"/>
  <c r="CK22" i="1" s="1"/>
  <c r="BF11" i="9"/>
  <c r="BS45" i="1"/>
  <c r="BH45" i="1"/>
  <c r="BT45" i="1" s="1"/>
  <c r="CU45" i="1" s="1"/>
  <c r="BL5" i="9"/>
  <c r="BO8" i="9"/>
  <c r="BH60" i="1"/>
  <c r="BT60" i="1" s="1"/>
  <c r="BS60" i="1"/>
  <c r="CK60" i="1" s="1"/>
  <c r="BA31" i="1"/>
  <c r="AU31" i="1"/>
  <c r="AW31" i="1"/>
  <c r="BC31" i="1"/>
  <c r="BB31" i="1" s="1"/>
  <c r="AY31" i="1" s="1"/>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BC5" i="1"/>
  <c r="BB5" i="1" s="1"/>
  <c r="AY5" i="1" s="1"/>
  <c r="F67" i="1"/>
  <c r="CS67" i="1"/>
  <c r="BH32" i="1"/>
  <c r="BT32" i="1" s="1"/>
  <c r="BS32" i="1"/>
  <c r="CK32" i="1" s="1"/>
  <c r="BF61" i="1"/>
  <c r="BG61" i="1"/>
  <c r="BA83" i="1"/>
  <c r="AU83" i="1"/>
  <c r="AW83" i="1"/>
  <c r="BC83" i="1"/>
  <c r="BB83" i="1" s="1"/>
  <c r="AY83" i="1"/>
  <c r="BH62" i="1"/>
  <c r="BT62" i="1"/>
  <c r="BS62" i="1"/>
  <c r="CK62" i="1" s="1"/>
  <c r="CY39" i="1"/>
  <c r="CZ39" i="1" s="1"/>
  <c r="DA39" i="1" s="1"/>
  <c r="BS57" i="1"/>
  <c r="BH57" i="1"/>
  <c r="BT57" i="1" s="1"/>
  <c r="CU57" i="1" s="1"/>
  <c r="BO11" i="9"/>
  <c r="CJ57" i="1"/>
  <c r="BO65" i="1"/>
  <c r="BI65" i="1"/>
  <c r="AD8" i="9"/>
  <c r="BF5" i="9"/>
  <c r="AU25" i="1"/>
  <c r="BA25" i="1"/>
  <c r="AW25" i="1"/>
  <c r="BC25" i="1"/>
  <c r="BB25" i="1" s="1"/>
  <c r="AY25" i="1" s="1"/>
  <c r="BO73" i="1"/>
  <c r="BI73" i="1"/>
  <c r="BH14" i="1"/>
  <c r="BS14" i="1"/>
  <c r="CK14" i="1" s="1"/>
  <c r="BT14" i="1"/>
  <c r="AW19" i="1"/>
  <c r="AU19" i="1"/>
  <c r="BA19" i="1"/>
  <c r="BC19" i="1"/>
  <c r="BB19" i="1" s="1"/>
  <c r="AY19" i="1" s="1"/>
  <c r="BS41" i="1"/>
  <c r="BH41" i="1"/>
  <c r="BT41" i="1"/>
  <c r="CU41" i="1" s="1"/>
  <c r="BZ67" i="1"/>
  <c r="BK61" i="1"/>
  <c r="BM61" i="1"/>
  <c r="AU11" i="1"/>
  <c r="BA11" i="1"/>
  <c r="BC11" i="1"/>
  <c r="BB11" i="1" s="1"/>
  <c r="AY11" i="1" s="1"/>
  <c r="AW11" i="1"/>
  <c r="BS40" i="1"/>
  <c r="CK40" i="1" s="1"/>
  <c r="BH40" i="1"/>
  <c r="BT40" i="1" s="1"/>
  <c r="AU13" i="1"/>
  <c r="AW13" i="1"/>
  <c r="BC13" i="1"/>
  <c r="BB13" i="1" s="1"/>
  <c r="AY13" i="1" s="1"/>
  <c r="BA13" i="1"/>
  <c r="BH6" i="1"/>
  <c r="BT6" i="1"/>
  <c r="BS6" i="1"/>
  <c r="CK6" i="1" s="1"/>
  <c r="BH81" i="1"/>
  <c r="BT81" i="1"/>
  <c r="BS81" i="1"/>
  <c r="BG78" i="1"/>
  <c r="BF78" i="1"/>
  <c r="CE81" i="1"/>
  <c r="CC90" i="1"/>
  <c r="CD89" i="1"/>
  <c r="BK73" i="1"/>
  <c r="BM73" i="1"/>
  <c r="CC59" i="1"/>
  <c r="CC58" i="1"/>
  <c r="CD59" i="1"/>
  <c r="BH4" i="1"/>
  <c r="BT4" i="1"/>
  <c r="BS4" i="1"/>
  <c r="CK4" i="1" s="1"/>
  <c r="BH80" i="1"/>
  <c r="BT80" i="1"/>
  <c r="BS80" i="1"/>
  <c r="CK80" i="1" s="1"/>
  <c r="BS46" i="1"/>
  <c r="CK46" i="1" s="1"/>
  <c r="BH46" i="1"/>
  <c r="BT46" i="1" s="1"/>
  <c r="BX63" i="1"/>
  <c r="CR63" i="1"/>
  <c r="CJ75" i="1"/>
  <c r="BF8" i="9"/>
  <c r="BS50" i="1"/>
  <c r="CK50" i="1" s="1"/>
  <c r="BH50" i="1"/>
  <c r="BT50" i="1" s="1"/>
  <c r="BS75" i="1"/>
  <c r="BT75" i="1"/>
  <c r="CU75" i="1" s="1"/>
  <c r="BH75" i="1"/>
  <c r="BL11" i="9"/>
  <c r="E33" i="1"/>
  <c r="CF33" i="1"/>
  <c r="BC7" i="1"/>
  <c r="BB7" i="1" s="1"/>
  <c r="AY7" i="1" s="1"/>
  <c r="AU7" i="1"/>
  <c r="BA7" i="1"/>
  <c r="AW7" i="1"/>
  <c r="BQ81" i="1"/>
  <c r="BL81" i="1"/>
  <c r="BR81" i="1" s="1"/>
  <c r="BN81" i="1"/>
  <c r="CR81" i="1" s="1"/>
  <c r="BH47" i="1"/>
  <c r="BT47" i="1"/>
  <c r="BS47" i="1"/>
  <c r="BJ90" i="1"/>
  <c r="BP90" i="1" s="1"/>
  <c r="CD90" i="1" s="1"/>
  <c r="BJ58" i="1"/>
  <c r="BP58" i="1"/>
  <c r="CD58" i="1" s="1"/>
  <c r="BS16" i="1"/>
  <c r="CK16" i="1" s="1"/>
  <c r="BH16" i="1"/>
  <c r="BT16" i="1" s="1"/>
  <c r="E41" i="1"/>
  <c r="CF41" i="1"/>
  <c r="CC49" i="1"/>
  <c r="CD47" i="1"/>
  <c r="CC48" i="1"/>
  <c r="CD49" i="1"/>
  <c r="CH75" i="1"/>
  <c r="AI8" i="9"/>
  <c r="E31" i="9" s="1"/>
  <c r="CD79" i="1"/>
  <c r="CC79" i="1"/>
  <c r="CC78" i="1"/>
  <c r="BH30" i="1"/>
  <c r="BT30" i="1"/>
  <c r="BS30" i="1"/>
  <c r="CK30" i="1" s="1"/>
  <c r="CL30" i="1" s="1"/>
  <c r="BJ28" i="1"/>
  <c r="BP28" i="1" s="1"/>
  <c r="CD28" i="1" s="1"/>
  <c r="Q4" i="9"/>
  <c r="BH49" i="1"/>
  <c r="BS49" i="1"/>
  <c r="BT49" i="1"/>
  <c r="CU49" i="1" s="1"/>
  <c r="BH72" i="1"/>
  <c r="BT72" i="1" s="1"/>
  <c r="BS72" i="1"/>
  <c r="CK72" i="1" s="1"/>
  <c r="BH74" i="1"/>
  <c r="BS74" i="1"/>
  <c r="CK74" i="1" s="1"/>
  <c r="CL74" i="1" s="1"/>
  <c r="BT74" i="1"/>
  <c r="BS26" i="1"/>
  <c r="CK26" i="1" s="1"/>
  <c r="BT26" i="1"/>
  <c r="BH26" i="1"/>
  <c r="BY87" i="1"/>
  <c r="BZ87" i="1" s="1"/>
  <c r="BW87" i="1"/>
  <c r="BX87" i="1" s="1"/>
  <c r="BJ48" i="1"/>
  <c r="BP48" i="1"/>
  <c r="CD48" i="1" s="1"/>
  <c r="BS84" i="1"/>
  <c r="CK84" i="1" s="1"/>
  <c r="CL84" i="1" s="1"/>
  <c r="BH84" i="1"/>
  <c r="BT84" i="1"/>
  <c r="CF75" i="1"/>
  <c r="E75" i="1"/>
  <c r="BH48" i="1"/>
  <c r="BT48" i="1" s="1"/>
  <c r="BS48" i="1"/>
  <c r="BL8" i="9"/>
  <c r="BJ78" i="1"/>
  <c r="BP78" i="1" s="1"/>
  <c r="CD78" i="1" s="1"/>
  <c r="CD29" i="1"/>
  <c r="CC29" i="1"/>
  <c r="CC28" i="1"/>
  <c r="BH55" i="1"/>
  <c r="BS55" i="1"/>
  <c r="BT55" i="1"/>
  <c r="CC35" i="1"/>
  <c r="CD35" i="1"/>
  <c r="CC34" i="1"/>
  <c r="CD33" i="1"/>
  <c r="CH33" i="1" s="1"/>
  <c r="BJ8" i="1"/>
  <c r="BP8" i="1" s="1"/>
  <c r="CD8" i="1" s="1"/>
  <c r="BH34" i="1"/>
  <c r="BT34" i="1"/>
  <c r="BS34" i="1"/>
  <c r="BS87" i="1"/>
  <c r="BH87" i="1"/>
  <c r="BT87" i="1"/>
  <c r="CU87" i="1" s="1"/>
  <c r="BI53" i="1"/>
  <c r="BO53" i="1"/>
  <c r="BP26" i="1"/>
  <c r="CD26" i="1" s="1"/>
  <c r="BJ26" i="1"/>
  <c r="AU15" i="1"/>
  <c r="AW15" i="1"/>
  <c r="BC15" i="1"/>
  <c r="BB15" i="1" s="1"/>
  <c r="BA15" i="1"/>
  <c r="AY15" i="1"/>
  <c r="BG28" i="1"/>
  <c r="BF28" i="1"/>
  <c r="BC21" i="1"/>
  <c r="BB21" i="1" s="1"/>
  <c r="AY21" i="1" s="1"/>
  <c r="BA21" i="1"/>
  <c r="AU21" i="1"/>
  <c r="AW21" i="1"/>
  <c r="CG57" i="1"/>
  <c r="CH57" i="1" s="1"/>
  <c r="CE57" i="1"/>
  <c r="BH51" i="1"/>
  <c r="BT51" i="1"/>
  <c r="BS51" i="1"/>
  <c r="BH63" i="1"/>
  <c r="BT63" i="1"/>
  <c r="BS63" i="1"/>
  <c r="BS39" i="1"/>
  <c r="BH39" i="1"/>
  <c r="BT39" i="1" s="1"/>
  <c r="CU39" i="1" s="1"/>
  <c r="BJ34" i="1"/>
  <c r="BP34" i="1" s="1"/>
  <c r="CD34" i="1" s="1"/>
  <c r="CD9" i="1"/>
  <c r="CC8" i="1"/>
  <c r="CK8" i="1" s="1"/>
  <c r="CC9" i="1"/>
  <c r="CD7" i="1"/>
  <c r="BS54" i="1"/>
  <c r="CK54" i="1" s="1"/>
  <c r="BH54" i="1"/>
  <c r="BT54" i="1" s="1"/>
  <c r="AL14" i="9" l="1"/>
  <c r="AP22" i="9"/>
  <c r="AL22" i="9"/>
  <c r="AP21" i="9"/>
  <c r="AL21" i="9"/>
  <c r="AL20" i="9"/>
  <c r="AL19" i="9"/>
  <c r="AL23" i="9"/>
  <c r="AL18" i="9"/>
  <c r="AP17" i="9"/>
  <c r="AL17" i="9"/>
  <c r="Q14" i="9"/>
  <c r="AE14" i="9" s="1"/>
  <c r="AP14" i="9" s="1"/>
  <c r="Q15" i="9"/>
  <c r="AE15" i="9" s="1"/>
  <c r="Q16" i="9"/>
  <c r="AE16" i="9" s="1"/>
  <c r="Q20" i="9"/>
  <c r="AE20" i="9" s="1"/>
  <c r="Q17" i="9"/>
  <c r="AE17" i="9" s="1"/>
  <c r="Q18" i="9"/>
  <c r="AE18" i="9" s="1"/>
  <c r="AP18" i="9" s="1"/>
  <c r="Q19" i="9"/>
  <c r="AE19" i="9" s="1"/>
  <c r="AP19" i="9" s="1"/>
  <c r="Q21" i="9"/>
  <c r="AE21" i="9" s="1"/>
  <c r="Q22" i="9"/>
  <c r="AE22" i="9" s="1"/>
  <c r="Q23" i="9"/>
  <c r="AE23" i="9" s="1"/>
  <c r="AP16" i="9"/>
  <c r="AL16" i="9"/>
  <c r="AP15" i="9"/>
  <c r="AL15" i="9"/>
  <c r="AN29" i="3"/>
  <c r="AN37" i="3"/>
  <c r="AN21" i="3"/>
  <c r="AJ19" i="3"/>
  <c r="AR19" i="3" s="1"/>
  <c r="AW19" i="3" s="1"/>
  <c r="AX19" i="3" s="1"/>
  <c r="AY19" i="3" s="1"/>
  <c r="AJ39" i="3"/>
  <c r="AR39" i="3" s="1"/>
  <c r="AW39" i="3" s="1"/>
  <c r="AX39" i="3" s="1"/>
  <c r="AY39" i="3" s="1"/>
  <c r="G15" i="3"/>
  <c r="AN9" i="3"/>
  <c r="H9" i="3" s="1"/>
  <c r="AW35" i="3"/>
  <c r="AX35" i="3" s="1"/>
  <c r="AY35" i="3" s="1"/>
  <c r="G11" i="3"/>
  <c r="AN11" i="3"/>
  <c r="AX13" i="3"/>
  <c r="AY13" i="3" s="1"/>
  <c r="AX9" i="3"/>
  <c r="AY9" i="3" s="1"/>
  <c r="AN43" i="3"/>
  <c r="AU43" i="3" s="1"/>
  <c r="G25" i="3"/>
  <c r="AX37" i="3"/>
  <c r="AY37" i="3" s="1"/>
  <c r="AJ33" i="3"/>
  <c r="AR33" i="3" s="1"/>
  <c r="AW33" i="3" s="1"/>
  <c r="AX33" i="3" s="1"/>
  <c r="AY33" i="3" s="1"/>
  <c r="G23" i="3"/>
  <c r="AN23" i="3"/>
  <c r="AJ21" i="3"/>
  <c r="AR21" i="3" s="1"/>
  <c r="H13" i="3"/>
  <c r="AU13" i="3"/>
  <c r="H37" i="3"/>
  <c r="AU37" i="3"/>
  <c r="AU35" i="3"/>
  <c r="H35" i="3"/>
  <c r="AU19" i="3"/>
  <c r="AZ19" i="3" s="1"/>
  <c r="BA19" i="3" s="1"/>
  <c r="BB19" i="3" s="1"/>
  <c r="H19" i="3"/>
  <c r="H21" i="3"/>
  <c r="AU21" i="3"/>
  <c r="AU5" i="3"/>
  <c r="AZ5" i="3" s="1"/>
  <c r="BA5" i="3" s="1"/>
  <c r="BB5" i="3" s="1"/>
  <c r="H5" i="3"/>
  <c r="AU41" i="3"/>
  <c r="H41" i="3"/>
  <c r="AW5" i="3"/>
  <c r="AX5" i="3" s="1"/>
  <c r="AY5" i="3" s="1"/>
  <c r="AU39" i="3"/>
  <c r="H39" i="3"/>
  <c r="H7" i="3"/>
  <c r="AU7" i="3"/>
  <c r="AZ7" i="3" s="1"/>
  <c r="BA7" i="3" s="1"/>
  <c r="BB7" i="3" s="1"/>
  <c r="AU29" i="3"/>
  <c r="H29" i="3"/>
  <c r="AU27" i="3"/>
  <c r="H27" i="3"/>
  <c r="AU31" i="3"/>
  <c r="H31" i="3"/>
  <c r="AU33" i="3"/>
  <c r="H33" i="3"/>
  <c r="AW43" i="3"/>
  <c r="AX43" i="3" s="1"/>
  <c r="AY43" i="3" s="1"/>
  <c r="AU25" i="3"/>
  <c r="AZ25" i="3" s="1"/>
  <c r="BA25" i="3" s="1"/>
  <c r="BB25" i="3" s="1"/>
  <c r="H25" i="3"/>
  <c r="AU17" i="3"/>
  <c r="H17" i="3"/>
  <c r="CL4" i="1"/>
  <c r="CU63" i="1"/>
  <c r="CU37" i="1"/>
  <c r="CU89" i="1"/>
  <c r="CL42" i="1"/>
  <c r="CL62" i="1"/>
  <c r="CU59" i="1"/>
  <c r="CU69" i="1"/>
  <c r="CL32" i="1"/>
  <c r="CL22" i="1"/>
  <c r="CU77" i="1"/>
  <c r="CL86" i="1"/>
  <c r="CU55" i="1"/>
  <c r="AJ8" i="9"/>
  <c r="BM8" i="9" s="1"/>
  <c r="BF7" i="1"/>
  <c r="BG7" i="1"/>
  <c r="BG31" i="1"/>
  <c r="BF31" i="1"/>
  <c r="BF27" i="1"/>
  <c r="BG27" i="1"/>
  <c r="BF35" i="1"/>
  <c r="BG35" i="1"/>
  <c r="BG17" i="1"/>
  <c r="BF17" i="1"/>
  <c r="BF23" i="1"/>
  <c r="BG23" i="1"/>
  <c r="BF71" i="1"/>
  <c r="BG71" i="1"/>
  <c r="BP8" i="9"/>
  <c r="BP5" i="9"/>
  <c r="CL8" i="1"/>
  <c r="BO15" i="1"/>
  <c r="BI15" i="1"/>
  <c r="CK48" i="1"/>
  <c r="CL48" i="1" s="1"/>
  <c r="BU81" i="1"/>
  <c r="BV81" i="1" s="1"/>
  <c r="CI81" i="1"/>
  <c r="CJ81" i="1" s="1"/>
  <c r="CL6" i="1"/>
  <c r="BP73" i="1"/>
  <c r="BJ73" i="1"/>
  <c r="BS61" i="1"/>
  <c r="BH61" i="1"/>
  <c r="BT61" i="1" s="1"/>
  <c r="CU61" i="1" s="1"/>
  <c r="BK5" i="1"/>
  <c r="BM5" i="1"/>
  <c r="BO35" i="1"/>
  <c r="BI35" i="1"/>
  <c r="AJ5" i="9"/>
  <c r="BM5" i="9" s="1"/>
  <c r="CK37" i="1"/>
  <c r="CA37" i="1"/>
  <c r="CB37" i="1" s="1"/>
  <c r="CI77" i="1"/>
  <c r="CJ77" i="1" s="1"/>
  <c r="CG77" i="1"/>
  <c r="CH77" i="1" s="1"/>
  <c r="CE77" i="1"/>
  <c r="CL88" i="1"/>
  <c r="AL10" i="9"/>
  <c r="K33" i="9"/>
  <c r="CK69" i="1"/>
  <c r="CA69" i="1"/>
  <c r="CB69" i="1" s="1"/>
  <c r="BK15" i="1"/>
  <c r="BM15" i="1"/>
  <c r="CL26" i="1"/>
  <c r="CG73" i="1"/>
  <c r="BO5" i="1"/>
  <c r="BI5" i="1"/>
  <c r="BK35" i="1"/>
  <c r="BM35" i="1"/>
  <c r="BF9" i="1"/>
  <c r="BG9" i="1"/>
  <c r="CK89" i="1"/>
  <c r="CA89" i="1"/>
  <c r="CB89" i="1" s="1"/>
  <c r="BF21" i="1"/>
  <c r="BG21" i="1"/>
  <c r="CL16" i="1"/>
  <c r="CK75" i="1"/>
  <c r="CA75" i="1"/>
  <c r="CB75" i="1" s="1"/>
  <c r="E81" i="1"/>
  <c r="CF81" i="1"/>
  <c r="CL40" i="1"/>
  <c r="BO23" i="1"/>
  <c r="BI23" i="1"/>
  <c r="BG29" i="1"/>
  <c r="BF29" i="1"/>
  <c r="CL36" i="1"/>
  <c r="K28" i="9"/>
  <c r="CL44" i="1"/>
  <c r="AJ12" i="9"/>
  <c r="BM12" i="9" s="1"/>
  <c r="E35" i="9"/>
  <c r="BK71" i="1"/>
  <c r="BM71" i="1"/>
  <c r="BK11" i="1"/>
  <c r="BM11" i="1"/>
  <c r="BK21" i="1"/>
  <c r="BM21" i="1"/>
  <c r="CG59" i="1"/>
  <c r="CH59" i="1" s="1"/>
  <c r="CE59" i="1"/>
  <c r="CI59" i="1"/>
  <c r="CJ59" i="1" s="1"/>
  <c r="BF11" i="1"/>
  <c r="BG11" i="1"/>
  <c r="CK41" i="1"/>
  <c r="CA41" i="1"/>
  <c r="CB41" i="1" s="1"/>
  <c r="BJ65" i="1"/>
  <c r="BP65" i="1" s="1"/>
  <c r="CL82" i="1"/>
  <c r="CG61" i="1"/>
  <c r="BO9" i="1"/>
  <c r="BI9" i="1"/>
  <c r="BJ43" i="1"/>
  <c r="BP43" i="1" s="1"/>
  <c r="CA77" i="1"/>
  <c r="CB77" i="1" s="1"/>
  <c r="CK77" i="1"/>
  <c r="BI71" i="1"/>
  <c r="BO71" i="1"/>
  <c r="BG13" i="1"/>
  <c r="BF13" i="1"/>
  <c r="F75" i="1"/>
  <c r="CS75" i="1"/>
  <c r="CG53" i="1"/>
  <c r="BO7" i="1"/>
  <c r="BI7" i="1"/>
  <c r="CL46" i="1"/>
  <c r="BO11" i="1"/>
  <c r="BI11" i="1"/>
  <c r="BG19" i="1"/>
  <c r="BF19" i="1"/>
  <c r="CG65" i="1"/>
  <c r="BO31" i="1"/>
  <c r="BI31" i="1"/>
  <c r="CK45" i="1"/>
  <c r="CA45" i="1"/>
  <c r="CB45" i="1" s="1"/>
  <c r="BS65" i="1"/>
  <c r="BH65" i="1"/>
  <c r="BT65" i="1" s="1"/>
  <c r="BJ61" i="1"/>
  <c r="BP61" i="1"/>
  <c r="BM23" i="1"/>
  <c r="BK23" i="1"/>
  <c r="BI29" i="1"/>
  <c r="BO29" i="1"/>
  <c r="BH43" i="1"/>
  <c r="BT43" i="1" s="1"/>
  <c r="CU43" i="1" s="1"/>
  <c r="BS43" i="1"/>
  <c r="E32" i="9"/>
  <c r="AJ9" i="9"/>
  <c r="BM9" i="9" s="1"/>
  <c r="CG43" i="1"/>
  <c r="CL20" i="1"/>
  <c r="CK47" i="1"/>
  <c r="CA47" i="1"/>
  <c r="CB47" i="1" s="1"/>
  <c r="BI21" i="1"/>
  <c r="BO21" i="1"/>
  <c r="CL54" i="1"/>
  <c r="CA39" i="1"/>
  <c r="CB39" i="1" s="1"/>
  <c r="CK39" i="1"/>
  <c r="CK63" i="1"/>
  <c r="CA63" i="1"/>
  <c r="CB63" i="1" s="1"/>
  <c r="BJ53" i="1"/>
  <c r="BP53" i="1" s="1"/>
  <c r="CL72" i="1"/>
  <c r="CL50" i="1"/>
  <c r="CL80" i="1"/>
  <c r="K34" i="9"/>
  <c r="CE65" i="1"/>
  <c r="BK31" i="1"/>
  <c r="BM31" i="1"/>
  <c r="BK29" i="1"/>
  <c r="BM29" i="1"/>
  <c r="CE53" i="1"/>
  <c r="E30" i="9"/>
  <c r="AJ7" i="9"/>
  <c r="BM7" i="9" s="1"/>
  <c r="BM9" i="1"/>
  <c r="BK9" i="1"/>
  <c r="AL6" i="9"/>
  <c r="K29" i="9"/>
  <c r="BS53" i="1"/>
  <c r="BH53" i="1"/>
  <c r="BT53" i="1" s="1"/>
  <c r="CU53" i="1" s="1"/>
  <c r="BF25" i="1"/>
  <c r="BG25" i="1"/>
  <c r="BP11" i="9"/>
  <c r="BF83" i="1"/>
  <c r="BG83" i="1"/>
  <c r="BQ65" i="1"/>
  <c r="BL65" i="1"/>
  <c r="BR65" i="1" s="1"/>
  <c r="AZ15" i="3"/>
  <c r="BA15" i="3" s="1"/>
  <c r="BB15" i="3" s="1"/>
  <c r="CL58" i="1"/>
  <c r="BO17" i="1"/>
  <c r="BI17" i="1"/>
  <c r="BS90" i="1"/>
  <c r="CK90" i="1" s="1"/>
  <c r="BH90" i="1"/>
  <c r="BT90" i="1" s="1"/>
  <c r="BL53" i="1"/>
  <c r="BR53" i="1" s="1"/>
  <c r="BN53" i="1"/>
  <c r="CR53" i="1" s="1"/>
  <c r="BQ53" i="1"/>
  <c r="E36" i="9"/>
  <c r="AJ13" i="9"/>
  <c r="BM13" i="9" s="1"/>
  <c r="CU79" i="1"/>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E29" i="9"/>
  <c r="AJ6" i="9"/>
  <c r="BM6" i="9" s="1"/>
  <c r="CK79" i="1"/>
  <c r="CA79" i="1"/>
  <c r="CB79" i="1" s="1"/>
  <c r="K35" i="9"/>
  <c r="AL12" i="9"/>
  <c r="CJ33" i="1"/>
  <c r="CK55" i="1"/>
  <c r="CA55" i="1"/>
  <c r="CB55" i="1" s="1"/>
  <c r="CF47" i="1"/>
  <c r="CH47" i="1"/>
  <c r="CJ47" i="1"/>
  <c r="CU47" i="1"/>
  <c r="CS33" i="1"/>
  <c r="F33" i="1"/>
  <c r="CE73" i="1"/>
  <c r="CA81" i="1"/>
  <c r="CK81" i="1"/>
  <c r="BO19" i="1"/>
  <c r="BI19" i="1"/>
  <c r="BO25" i="1"/>
  <c r="BI25" i="1"/>
  <c r="BO83" i="1"/>
  <c r="BI83" i="1"/>
  <c r="CK76" i="1"/>
  <c r="CL76" i="1" s="1"/>
  <c r="BG85" i="1"/>
  <c r="BF85" i="1"/>
  <c r="CE51" i="1"/>
  <c r="CI51" i="1"/>
  <c r="CJ51" i="1" s="1"/>
  <c r="CG51" i="1"/>
  <c r="CH51" i="1" s="1"/>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G5" i="1"/>
  <c r="BF5" i="1"/>
  <c r="BO27" i="1"/>
  <c r="BI27" i="1"/>
  <c r="CE43" i="1"/>
  <c r="CA51" i="1"/>
  <c r="CB51" i="1" s="1"/>
  <c r="CK51" i="1"/>
  <c r="BF15" i="1"/>
  <c r="BG15" i="1"/>
  <c r="F41" i="1"/>
  <c r="CS41" i="1"/>
  <c r="AJ11" i="9"/>
  <c r="BM11" i="9" s="1"/>
  <c r="BO13" i="1"/>
  <c r="BI13" i="1"/>
  <c r="CE61" i="1"/>
  <c r="CL14" i="1"/>
  <c r="BK25" i="1"/>
  <c r="BM25" i="1"/>
  <c r="CA57" i="1"/>
  <c r="CB57" i="1" s="1"/>
  <c r="CK57" i="1"/>
  <c r="CL24" i="1"/>
  <c r="CL38" i="1"/>
  <c r="CE63" i="1"/>
  <c r="CG63" i="1"/>
  <c r="CH63" i="1" s="1"/>
  <c r="CI63" i="1"/>
  <c r="CJ63" i="1" s="1"/>
  <c r="CK67" i="1"/>
  <c r="CA67" i="1"/>
  <c r="CB67" i="1" s="1"/>
  <c r="BM85" i="1"/>
  <c r="BK85" i="1"/>
  <c r="K36" i="9"/>
  <c r="AL13" i="9"/>
  <c r="AL7" i="9"/>
  <c r="K30" i="9"/>
  <c r="BM27" i="1"/>
  <c r="BK27" i="1"/>
  <c r="BU4" i="9"/>
  <c r="BV4" i="9" s="1"/>
  <c r="BK7" i="1"/>
  <c r="BM7" i="1"/>
  <c r="BH28" i="1"/>
  <c r="BT28" i="1"/>
  <c r="BS28" i="1"/>
  <c r="CK28" i="1" s="1"/>
  <c r="CF57" i="1"/>
  <c r="E57" i="1"/>
  <c r="Q5" i="9"/>
  <c r="AE5" i="9" s="1"/>
  <c r="AP5" i="9" s="1"/>
  <c r="Q12" i="9"/>
  <c r="AE12" i="9" s="1"/>
  <c r="Q6" i="9"/>
  <c r="AE6" i="9" s="1"/>
  <c r="AP6" i="9" s="1"/>
  <c r="Q11" i="9"/>
  <c r="AE11" i="9" s="1"/>
  <c r="Q9" i="9"/>
  <c r="AE9" i="9" s="1"/>
  <c r="AP9" i="9" s="1"/>
  <c r="Q10" i="9"/>
  <c r="AE10" i="9" s="1"/>
  <c r="AP10" i="9" s="1"/>
  <c r="Q7" i="9"/>
  <c r="AE7" i="9" s="1"/>
  <c r="Q13" i="9"/>
  <c r="AE13" i="9" s="1"/>
  <c r="AP13" i="9" s="1"/>
  <c r="Q8" i="9"/>
  <c r="AE8" i="9" s="1"/>
  <c r="AP8" i="9" s="1"/>
  <c r="CI79" i="1"/>
  <c r="CJ79" i="1" s="1"/>
  <c r="CE79" i="1"/>
  <c r="CG79" i="1"/>
  <c r="CH79" i="1" s="1"/>
  <c r="CH89" i="1"/>
  <c r="CJ89" i="1"/>
  <c r="CF89" i="1"/>
  <c r="BM13" i="1"/>
  <c r="BK13" i="1"/>
  <c r="BL61" i="1"/>
  <c r="BR61" i="1" s="1"/>
  <c r="BQ61" i="1"/>
  <c r="K31" i="9"/>
  <c r="CL56" i="1"/>
  <c r="CL70" i="1"/>
  <c r="F55" i="1"/>
  <c r="CS55" i="1"/>
  <c r="E33" i="9"/>
  <c r="AJ10" i="9"/>
  <c r="BM10" i="9" s="1"/>
  <c r="BO85" i="1"/>
  <c r="BI85" i="1"/>
  <c r="K32" i="9"/>
  <c r="AL9" i="9"/>
  <c r="BS73" i="1"/>
  <c r="BH73" i="1"/>
  <c r="BT73" i="1"/>
  <c r="CA33" i="1"/>
  <c r="CB33" i="1" s="1"/>
  <c r="CK33" i="1"/>
  <c r="P4" i="9"/>
  <c r="AQ18" i="9" l="1"/>
  <c r="CA18" i="9" s="1"/>
  <c r="AG23" i="9"/>
  <c r="AF23" i="9"/>
  <c r="BP18" i="9"/>
  <c r="BP14" i="9"/>
  <c r="AF22" i="9"/>
  <c r="AF21" i="9"/>
  <c r="BP23" i="9"/>
  <c r="AQ15" i="9"/>
  <c r="CA15" i="9" s="1"/>
  <c r="AQ22" i="9"/>
  <c r="CA22" i="9" s="1"/>
  <c r="AP23" i="9"/>
  <c r="AF18" i="9"/>
  <c r="AF20" i="9"/>
  <c r="AG20" i="9"/>
  <c r="BP20" i="9"/>
  <c r="AG19" i="9"/>
  <c r="AF19" i="9"/>
  <c r="AF17" i="9"/>
  <c r="AG17" i="9"/>
  <c r="AG16" i="9"/>
  <c r="AF16" i="9"/>
  <c r="AP20" i="9"/>
  <c r="BP16" i="9"/>
  <c r="AQ16" i="9"/>
  <c r="CA16" i="9" s="1"/>
  <c r="P22" i="9"/>
  <c r="AG22" i="9" s="1"/>
  <c r="P14" i="9"/>
  <c r="AG14" i="9" s="1"/>
  <c r="P15" i="9"/>
  <c r="P16" i="9"/>
  <c r="P17" i="9"/>
  <c r="P21" i="9"/>
  <c r="AG21" i="9" s="1"/>
  <c r="P18" i="9"/>
  <c r="AG18" i="9" s="1"/>
  <c r="P19" i="9"/>
  <c r="P20" i="9"/>
  <c r="P23" i="9"/>
  <c r="BP19" i="9"/>
  <c r="BP15" i="9"/>
  <c r="AF15" i="9"/>
  <c r="AG15" i="9"/>
  <c r="BP21" i="9"/>
  <c r="AF14" i="9"/>
  <c r="BP22" i="9"/>
  <c r="BP17" i="9"/>
  <c r="F31" i="9"/>
  <c r="H43" i="3"/>
  <c r="AU9" i="3"/>
  <c r="AZ9" i="3" s="1"/>
  <c r="BA9" i="3" s="1"/>
  <c r="BB9" i="3" s="1"/>
  <c r="AU11" i="3"/>
  <c r="AZ11" i="3" s="1"/>
  <c r="BA11" i="3" s="1"/>
  <c r="BB11" i="3" s="1"/>
  <c r="H11" i="3"/>
  <c r="H23" i="3"/>
  <c r="AU23" i="3"/>
  <c r="AW21" i="3"/>
  <c r="AX21" i="3" s="1"/>
  <c r="AY21" i="3" s="1"/>
  <c r="AZ29" i="3"/>
  <c r="BA29" i="3" s="1"/>
  <c r="BB29" i="3" s="1"/>
  <c r="AZ33" i="3"/>
  <c r="BA33" i="3" s="1"/>
  <c r="BB33" i="3" s="1"/>
  <c r="AZ21" i="3"/>
  <c r="BA21" i="3" s="1"/>
  <c r="BB21" i="3" s="1"/>
  <c r="AZ39" i="3"/>
  <c r="BA39" i="3" s="1"/>
  <c r="BB39" i="3" s="1"/>
  <c r="AZ35" i="3"/>
  <c r="BA35" i="3" s="1"/>
  <c r="BB35" i="3" s="1"/>
  <c r="AZ31" i="3"/>
  <c r="BA31" i="3" s="1"/>
  <c r="BB31" i="3" s="1"/>
  <c r="AZ37" i="3"/>
  <c r="BA37" i="3" s="1"/>
  <c r="BB37" i="3" s="1"/>
  <c r="AZ43" i="3"/>
  <c r="BA43" i="3" s="1"/>
  <c r="BB43" i="3" s="1"/>
  <c r="AZ13" i="3"/>
  <c r="BA13" i="3" s="1"/>
  <c r="BB13" i="3" s="1"/>
  <c r="AZ41" i="3"/>
  <c r="BA41" i="3" s="1"/>
  <c r="BB41" i="3" s="1"/>
  <c r="AZ17" i="3"/>
  <c r="BA17" i="3" s="1"/>
  <c r="BB17" i="3" s="1"/>
  <c r="AZ27" i="3"/>
  <c r="BA27" i="3" s="1"/>
  <c r="BB27" i="3" s="1"/>
  <c r="F28" i="9"/>
  <c r="I33" i="9"/>
  <c r="I29" i="9"/>
  <c r="I36" i="9"/>
  <c r="I28" i="9"/>
  <c r="C34" i="9"/>
  <c r="AF11" i="9"/>
  <c r="L30" i="9"/>
  <c r="I31" i="9"/>
  <c r="E79" i="1"/>
  <c r="CF79" i="1"/>
  <c r="BP7" i="9"/>
  <c r="E63" i="1"/>
  <c r="CF63" i="1"/>
  <c r="CG27" i="1"/>
  <c r="BU73" i="1"/>
  <c r="BV73" i="1" s="1"/>
  <c r="CI73" i="1"/>
  <c r="CJ73" i="1" s="1"/>
  <c r="CF51" i="1"/>
  <c r="E51" i="1"/>
  <c r="CG19" i="1"/>
  <c r="CM55" i="1"/>
  <c r="CL55" i="1"/>
  <c r="CV55" i="1" s="1"/>
  <c r="CM59" i="1"/>
  <c r="CL59" i="1"/>
  <c r="CV59" i="1" s="1"/>
  <c r="BL19" i="1"/>
  <c r="BR19" i="1" s="1"/>
  <c r="BQ19" i="1"/>
  <c r="BN65" i="1"/>
  <c r="CR65" i="1" s="1"/>
  <c r="E65" i="1"/>
  <c r="CL63" i="1"/>
  <c r="CV63" i="1" s="1"/>
  <c r="CM63" i="1"/>
  <c r="CK43" i="1"/>
  <c r="BJ7" i="1"/>
  <c r="BP7" i="1" s="1"/>
  <c r="BQ21" i="1"/>
  <c r="BL21" i="1"/>
  <c r="BR21" i="1" s="1"/>
  <c r="L28" i="9"/>
  <c r="CE15" i="1"/>
  <c r="BU5" i="9"/>
  <c r="BV5" i="9" s="1"/>
  <c r="BW5" i="9" s="1"/>
  <c r="BS27" i="1"/>
  <c r="BH27" i="1"/>
  <c r="BT27" i="1" s="1"/>
  <c r="C29" i="9"/>
  <c r="AF6" i="9"/>
  <c r="CL28" i="1"/>
  <c r="BP13" i="9"/>
  <c r="CL78" i="1"/>
  <c r="CM81" i="1"/>
  <c r="CL81" i="1"/>
  <c r="CV81" i="1" s="1"/>
  <c r="CE19" i="1"/>
  <c r="BS83" i="1"/>
  <c r="BH83" i="1"/>
  <c r="BT83" i="1" s="1"/>
  <c r="CU83" i="1" s="1"/>
  <c r="BQ9" i="1"/>
  <c r="BL9" i="1"/>
  <c r="BR9" i="1" s="1"/>
  <c r="AP11" i="9"/>
  <c r="CM39" i="1"/>
  <c r="CL39" i="1"/>
  <c r="CV39" i="1" s="1"/>
  <c r="CM45" i="1"/>
  <c r="CL45" i="1"/>
  <c r="CV45" i="1" s="1"/>
  <c r="CG7" i="1"/>
  <c r="CE11" i="1"/>
  <c r="CE35" i="1"/>
  <c r="BL15" i="1"/>
  <c r="BR15" i="1" s="1"/>
  <c r="BQ15" i="1"/>
  <c r="CG85" i="1"/>
  <c r="L36" i="9"/>
  <c r="CY41" i="1"/>
  <c r="CZ41" i="1" s="1"/>
  <c r="DA41" i="1" s="1"/>
  <c r="BH85" i="1"/>
  <c r="BT85" i="1" s="1"/>
  <c r="CU85" i="1" s="1"/>
  <c r="BS85" i="1"/>
  <c r="CB81" i="1"/>
  <c r="BP12" i="9"/>
  <c r="CE17" i="1"/>
  <c r="CL90" i="1"/>
  <c r="CE9" i="1"/>
  <c r="L34" i="9"/>
  <c r="BP31" i="1"/>
  <c r="BJ31" i="1"/>
  <c r="BQ11" i="1"/>
  <c r="BL11" i="1"/>
  <c r="BR11" i="1" s="1"/>
  <c r="CM75" i="1"/>
  <c r="CL75" i="1"/>
  <c r="CV75" i="1" s="1"/>
  <c r="BQ35" i="1"/>
  <c r="BL35" i="1"/>
  <c r="BR35" i="1" s="1"/>
  <c r="BN35" i="1"/>
  <c r="CR35" i="1" s="1"/>
  <c r="CL37" i="1"/>
  <c r="CV37" i="1" s="1"/>
  <c r="CM37" i="1"/>
  <c r="BU8" i="9"/>
  <c r="BV8" i="9" s="1"/>
  <c r="BW8" i="9" s="1"/>
  <c r="L31" i="9"/>
  <c r="BN61" i="1"/>
  <c r="CR61" i="1" s="1"/>
  <c r="C31" i="9"/>
  <c r="AF8" i="9"/>
  <c r="C35" i="9"/>
  <c r="AF12" i="9"/>
  <c r="CL57" i="1"/>
  <c r="CV57" i="1" s="1"/>
  <c r="CM57" i="1"/>
  <c r="E49" i="1"/>
  <c r="CF49" i="1"/>
  <c r="AP12" i="9"/>
  <c r="BQ17" i="1"/>
  <c r="BL17" i="1"/>
  <c r="BR17" i="1" s="1"/>
  <c r="CG29" i="1"/>
  <c r="CG31" i="1"/>
  <c r="CH31" i="1" s="1"/>
  <c r="CH53" i="1"/>
  <c r="CM41" i="1"/>
  <c r="CL41" i="1"/>
  <c r="CV41" i="1" s="1"/>
  <c r="CE71" i="1"/>
  <c r="BJ5" i="1"/>
  <c r="BP5" i="1" s="1"/>
  <c r="CM69" i="1"/>
  <c r="CL69" i="1"/>
  <c r="CV69" i="1" s="1"/>
  <c r="BJ85" i="1"/>
  <c r="BP85" i="1" s="1"/>
  <c r="CM33" i="1"/>
  <c r="CL33" i="1"/>
  <c r="CV33" i="1" s="1"/>
  <c r="BU61" i="1"/>
  <c r="BV61" i="1" s="1"/>
  <c r="CI61" i="1"/>
  <c r="CJ61" i="1" s="1"/>
  <c r="CU73" i="1"/>
  <c r="C36" i="9"/>
  <c r="AF13" i="9"/>
  <c r="AQ13" i="9" s="1"/>
  <c r="CE7" i="1"/>
  <c r="BL85" i="1"/>
  <c r="BR85" i="1" s="1"/>
  <c r="BQ85" i="1"/>
  <c r="BH15" i="1"/>
  <c r="BT15" i="1" s="1"/>
  <c r="BS15" i="1"/>
  <c r="F34" i="9"/>
  <c r="CI43" i="1"/>
  <c r="CJ43" i="1" s="1"/>
  <c r="BU43" i="1"/>
  <c r="BV43" i="1" s="1"/>
  <c r="E73" i="1"/>
  <c r="L35" i="9"/>
  <c r="BJ17" i="1"/>
  <c r="BP17" i="1" s="1"/>
  <c r="BU11" i="9"/>
  <c r="BV11" i="9" s="1"/>
  <c r="BW11" i="9" s="1"/>
  <c r="F30" i="9"/>
  <c r="BJ29" i="1"/>
  <c r="BP29" i="1" s="1"/>
  <c r="CY75" i="1"/>
  <c r="CZ75" i="1"/>
  <c r="DA75" i="1"/>
  <c r="BH11" i="1"/>
  <c r="BT11" i="1" s="1"/>
  <c r="BS11" i="1"/>
  <c r="BL71" i="1"/>
  <c r="BR71" i="1" s="1"/>
  <c r="BQ71" i="1"/>
  <c r="BH29" i="1"/>
  <c r="BT29" i="1" s="1"/>
  <c r="CU29" i="1" s="1"/>
  <c r="BS29" i="1"/>
  <c r="CG5" i="1"/>
  <c r="BJ35" i="1"/>
  <c r="BP35" i="1"/>
  <c r="BH71" i="1"/>
  <c r="BT71" i="1"/>
  <c r="BS71" i="1"/>
  <c r="BH31" i="1"/>
  <c r="BT31" i="1"/>
  <c r="BS31" i="1"/>
  <c r="P10" i="9"/>
  <c r="AG10" i="9" s="1"/>
  <c r="P9" i="9"/>
  <c r="AG9" i="9" s="1"/>
  <c r="P6" i="9"/>
  <c r="AG6" i="9" s="1"/>
  <c r="P12" i="9"/>
  <c r="AG12" i="9" s="1"/>
  <c r="P7" i="9"/>
  <c r="AG7" i="9" s="1"/>
  <c r="P13" i="9"/>
  <c r="AG13" i="9" s="1"/>
  <c r="P5" i="9"/>
  <c r="AG5" i="9" s="1"/>
  <c r="P8" i="9"/>
  <c r="AG8" i="9" s="1"/>
  <c r="P11" i="9"/>
  <c r="AG11" i="9" s="1"/>
  <c r="BQ13" i="1"/>
  <c r="BL13" i="1"/>
  <c r="BR13" i="1" s="1"/>
  <c r="C28" i="9"/>
  <c r="AF5" i="9"/>
  <c r="AQ5" i="9" s="1"/>
  <c r="BL7" i="1"/>
  <c r="BR7" i="1" s="1"/>
  <c r="BQ7" i="1"/>
  <c r="CE85" i="1"/>
  <c r="CE25" i="1"/>
  <c r="BN43" i="1"/>
  <c r="CR43" i="1" s="1"/>
  <c r="CG17" i="1"/>
  <c r="BH25" i="1"/>
  <c r="BT25" i="1"/>
  <c r="BS25" i="1"/>
  <c r="CG21" i="1"/>
  <c r="BL23" i="1"/>
  <c r="BR23" i="1" s="1"/>
  <c r="BQ23" i="1"/>
  <c r="CH65" i="1"/>
  <c r="BJ9" i="1"/>
  <c r="BP9" i="1"/>
  <c r="BJ23" i="1"/>
  <c r="BP23" i="1" s="1"/>
  <c r="L33" i="9"/>
  <c r="CG35" i="1"/>
  <c r="CH35" i="1" s="1"/>
  <c r="CK73" i="1"/>
  <c r="CA73" i="1"/>
  <c r="F33" i="9"/>
  <c r="CE13" i="1"/>
  <c r="BQ25" i="1"/>
  <c r="BL25" i="1"/>
  <c r="BR25" i="1" s="1"/>
  <c r="CM51" i="1"/>
  <c r="CL51" i="1"/>
  <c r="CV51" i="1" s="1"/>
  <c r="BS5" i="1"/>
  <c r="BH5" i="1"/>
  <c r="BT5" i="1" s="1"/>
  <c r="CY33" i="1"/>
  <c r="CZ33" i="1" s="1"/>
  <c r="DA33" i="1" s="1"/>
  <c r="CL79" i="1"/>
  <c r="CV79" i="1" s="1"/>
  <c r="CM79" i="1"/>
  <c r="E53" i="1"/>
  <c r="CF53" i="1"/>
  <c r="BJ21" i="1"/>
  <c r="BP21" i="1" s="1"/>
  <c r="CE23" i="1"/>
  <c r="CG9" i="1"/>
  <c r="CG23" i="1"/>
  <c r="BH9" i="1"/>
  <c r="BT9" i="1" s="1"/>
  <c r="BS9" i="1"/>
  <c r="BP10" i="9"/>
  <c r="CE5" i="1"/>
  <c r="BY81" i="1"/>
  <c r="BZ81" i="1" s="1"/>
  <c r="BW81" i="1"/>
  <c r="BX81" i="1" s="1"/>
  <c r="BS23" i="1"/>
  <c r="BH23" i="1"/>
  <c r="BT23" i="1" s="1"/>
  <c r="CU23" i="1" s="1"/>
  <c r="CY55" i="1"/>
  <c r="CZ55" i="1" s="1"/>
  <c r="DA55" i="1" s="1"/>
  <c r="C30" i="9"/>
  <c r="AF7" i="9"/>
  <c r="CM67" i="1"/>
  <c r="CL67" i="1"/>
  <c r="CV67" i="1" s="1"/>
  <c r="BL83" i="1"/>
  <c r="BR83" i="1" s="1"/>
  <c r="BQ83" i="1"/>
  <c r="BN83" i="1"/>
  <c r="CR83" i="1" s="1"/>
  <c r="CL49" i="1"/>
  <c r="CV49" i="1" s="1"/>
  <c r="CM49" i="1"/>
  <c r="BJ83" i="1"/>
  <c r="BP83" i="1" s="1"/>
  <c r="CE29" i="1"/>
  <c r="CH43" i="1"/>
  <c r="BH19" i="1"/>
  <c r="BT19" i="1" s="1"/>
  <c r="BS19" i="1"/>
  <c r="BS13" i="1"/>
  <c r="BH13" i="1"/>
  <c r="BT13" i="1" s="1"/>
  <c r="CU13" i="1" s="1"/>
  <c r="CF59" i="1"/>
  <c r="E59" i="1"/>
  <c r="CH73" i="1"/>
  <c r="BQ5" i="1"/>
  <c r="BL5" i="1"/>
  <c r="BR5" i="1" s="1"/>
  <c r="C33" i="9"/>
  <c r="AF10" i="9"/>
  <c r="BL27" i="1"/>
  <c r="BR27" i="1" s="1"/>
  <c r="BQ27" i="1"/>
  <c r="BN27" i="1"/>
  <c r="CR27" i="1" s="1"/>
  <c r="CE83" i="1"/>
  <c r="CG83" i="1"/>
  <c r="F29" i="9"/>
  <c r="CL18" i="1"/>
  <c r="BQ29" i="1"/>
  <c r="BL29" i="1"/>
  <c r="BR29" i="1" s="1"/>
  <c r="CL47" i="1"/>
  <c r="CV47" i="1" s="1"/>
  <c r="CM47" i="1"/>
  <c r="BJ11" i="1"/>
  <c r="BP11" i="1" s="1"/>
  <c r="CG71" i="1"/>
  <c r="BS21" i="1"/>
  <c r="BH21" i="1"/>
  <c r="BT21" i="1" s="1"/>
  <c r="BJ15" i="1"/>
  <c r="BP15" i="1" s="1"/>
  <c r="BH7" i="1"/>
  <c r="BT7" i="1" s="1"/>
  <c r="BS7" i="1"/>
  <c r="CS89" i="1"/>
  <c r="F89" i="1"/>
  <c r="I32" i="9"/>
  <c r="L32" i="9"/>
  <c r="CE27" i="1"/>
  <c r="E61" i="1"/>
  <c r="CF61" i="1"/>
  <c r="E43" i="1"/>
  <c r="CF43" i="1"/>
  <c r="BJ25" i="1"/>
  <c r="BP25" i="1" s="1"/>
  <c r="F36" i="9"/>
  <c r="CK53" i="1"/>
  <c r="CE31" i="1"/>
  <c r="F32" i="9"/>
  <c r="CG11" i="1"/>
  <c r="BJ71" i="1"/>
  <c r="BP71" i="1" s="1"/>
  <c r="CH61" i="1"/>
  <c r="F35" i="9"/>
  <c r="CG15" i="1"/>
  <c r="BS17" i="1"/>
  <c r="BH17" i="1"/>
  <c r="BT17" i="1" s="1"/>
  <c r="BP9" i="9"/>
  <c r="C32" i="9"/>
  <c r="AF9" i="9"/>
  <c r="AQ9" i="9" s="1"/>
  <c r="CS57" i="1"/>
  <c r="F57" i="1"/>
  <c r="AP7" i="9"/>
  <c r="BJ13" i="1"/>
  <c r="BP13" i="1" s="1"/>
  <c r="BN73" i="1"/>
  <c r="CR73" i="1" s="1"/>
  <c r="CM87" i="1"/>
  <c r="CL87" i="1"/>
  <c r="CV87" i="1" s="1"/>
  <c r="CG25" i="1"/>
  <c r="F47" i="1"/>
  <c r="CS47" i="1"/>
  <c r="BU53" i="1"/>
  <c r="CA53" i="1" s="1"/>
  <c r="CI53" i="1"/>
  <c r="CJ53" i="1" s="1"/>
  <c r="L29" i="9"/>
  <c r="BL31" i="1"/>
  <c r="BR31" i="1" s="1"/>
  <c r="BQ31" i="1"/>
  <c r="BN31" i="1"/>
  <c r="CR31" i="1" s="1"/>
  <c r="CU65" i="1"/>
  <c r="CL77" i="1"/>
  <c r="CV77" i="1" s="1"/>
  <c r="CM77" i="1"/>
  <c r="E77" i="1"/>
  <c r="CF77" i="1"/>
  <c r="CK61" i="1"/>
  <c r="CA61" i="1"/>
  <c r="BS35" i="1"/>
  <c r="BH35" i="1"/>
  <c r="BT35" i="1" s="1"/>
  <c r="CU35" i="1" s="1"/>
  <c r="CG13" i="1"/>
  <c r="BP27" i="1"/>
  <c r="BJ27" i="1"/>
  <c r="BJ19" i="1"/>
  <c r="BP19" i="1"/>
  <c r="BU65" i="1"/>
  <c r="CA65" i="1" s="1"/>
  <c r="CI65" i="1"/>
  <c r="CJ65" i="1" s="1"/>
  <c r="BP6" i="9"/>
  <c r="CK65" i="1"/>
  <c r="CE21" i="1"/>
  <c r="CS81" i="1"/>
  <c r="F81" i="1"/>
  <c r="CL89" i="1"/>
  <c r="CV89" i="1" s="1"/>
  <c r="CM89" i="1"/>
  <c r="AM22" i="9" l="1"/>
  <c r="AH22" i="9"/>
  <c r="AM18" i="9"/>
  <c r="AH18" i="9"/>
  <c r="AM21" i="9"/>
  <c r="AH21" i="9"/>
  <c r="AM14" i="9"/>
  <c r="AH14" i="9"/>
  <c r="BZ15" i="9"/>
  <c r="BG15" i="9"/>
  <c r="BG21" i="9"/>
  <c r="BZ21" i="9"/>
  <c r="BW15" i="9"/>
  <c r="BU15" i="9"/>
  <c r="BV15" i="9"/>
  <c r="BU22" i="9"/>
  <c r="BV22" i="9" s="1"/>
  <c r="BW22" i="9" s="1"/>
  <c r="BU16" i="9"/>
  <c r="BV16" i="9" s="1"/>
  <c r="BW16" i="9" s="1"/>
  <c r="BZ20" i="9"/>
  <c r="BG20" i="9"/>
  <c r="BU14" i="9"/>
  <c r="BV14" i="9" s="1"/>
  <c r="BW14" i="9" s="1"/>
  <c r="BW17" i="9"/>
  <c r="BU17" i="9"/>
  <c r="BV17" i="9"/>
  <c r="AM20" i="9"/>
  <c r="AH20" i="9"/>
  <c r="BY22" i="9"/>
  <c r="BY16" i="9"/>
  <c r="AM19" i="9"/>
  <c r="AH19" i="9"/>
  <c r="BU20" i="9"/>
  <c r="BV20" i="9" s="1"/>
  <c r="BW20" i="9" s="1"/>
  <c r="AQ21" i="9"/>
  <c r="AQ20" i="9"/>
  <c r="BZ18" i="9"/>
  <c r="BG18" i="9"/>
  <c r="BU18" i="9"/>
  <c r="BV18" i="9" s="1"/>
  <c r="BW18" i="9" s="1"/>
  <c r="BU21" i="9"/>
  <c r="BV21" i="9"/>
  <c r="BW21" i="9" s="1"/>
  <c r="BY15" i="9"/>
  <c r="BG22" i="9"/>
  <c r="BZ22" i="9"/>
  <c r="BU19" i="9"/>
  <c r="BV19" i="9"/>
  <c r="BW19" i="9" s="1"/>
  <c r="BZ16" i="9"/>
  <c r="BG16" i="9"/>
  <c r="AQ23" i="9"/>
  <c r="BY18" i="9"/>
  <c r="BG14" i="9"/>
  <c r="BZ14" i="9"/>
  <c r="AM16" i="9"/>
  <c r="AH16" i="9"/>
  <c r="BZ23" i="9"/>
  <c r="BG23" i="9"/>
  <c r="AM17" i="9"/>
  <c r="AH17" i="9"/>
  <c r="AM23" i="9"/>
  <c r="AH23" i="9"/>
  <c r="BZ17" i="9"/>
  <c r="BG17" i="9"/>
  <c r="BU23" i="9"/>
  <c r="BV23" i="9"/>
  <c r="BW23" i="9" s="1"/>
  <c r="AQ17" i="9"/>
  <c r="AM15" i="9"/>
  <c r="AH15" i="9"/>
  <c r="BG19" i="9"/>
  <c r="AQ19" i="9"/>
  <c r="AQ14" i="9"/>
  <c r="AZ23" i="3"/>
  <c r="BA23" i="3" s="1"/>
  <c r="BB23" i="3" s="1"/>
  <c r="CU19" i="1"/>
  <c r="BN15" i="1"/>
  <c r="CR15" i="1" s="1"/>
  <c r="BN5" i="1"/>
  <c r="CR5" i="1" s="1"/>
  <c r="BN7" i="1"/>
  <c r="CR7" i="1" s="1"/>
  <c r="CH5" i="1"/>
  <c r="CU9" i="1"/>
  <c r="CH9" i="1"/>
  <c r="BN17" i="1"/>
  <c r="CR17" i="1" s="1"/>
  <c r="BN11" i="1"/>
  <c r="CR11" i="1" s="1"/>
  <c r="CU7" i="1"/>
  <c r="BN19" i="1"/>
  <c r="CR19" i="1" s="1"/>
  <c r="CU5" i="1"/>
  <c r="CU27" i="1"/>
  <c r="CU21" i="1"/>
  <c r="AH12" i="9"/>
  <c r="AM12" i="9"/>
  <c r="G35" i="9" s="1"/>
  <c r="J36" i="9"/>
  <c r="CA13" i="9"/>
  <c r="BY13" i="9"/>
  <c r="CB65" i="1"/>
  <c r="CA9" i="9"/>
  <c r="J32" i="9"/>
  <c r="BY9" i="9"/>
  <c r="AH6" i="9"/>
  <c r="AM6" i="9"/>
  <c r="G29" i="9" s="1"/>
  <c r="AM11" i="9"/>
  <c r="G34" i="9" s="1"/>
  <c r="AH11" i="9"/>
  <c r="AM8" i="9"/>
  <c r="G31" i="9" s="1"/>
  <c r="AH8" i="9"/>
  <c r="J28" i="9"/>
  <c r="CA5" i="9"/>
  <c r="BY5" i="9"/>
  <c r="CS43" i="1"/>
  <c r="F43" i="1"/>
  <c r="CS59" i="1"/>
  <c r="F59" i="1"/>
  <c r="BU85" i="1"/>
  <c r="BV85" i="1"/>
  <c r="CI85" i="1"/>
  <c r="CJ85" i="1" s="1"/>
  <c r="E71" i="1"/>
  <c r="I35" i="9"/>
  <c r="AQ12" i="9"/>
  <c r="BZ12" i="9" s="1"/>
  <c r="CH27" i="1"/>
  <c r="CM61" i="1"/>
  <c r="CL61" i="1"/>
  <c r="CV61" i="1" s="1"/>
  <c r="F77" i="1"/>
  <c r="CS77" i="1"/>
  <c r="CK21" i="1"/>
  <c r="BU23" i="1"/>
  <c r="CI23" i="1"/>
  <c r="CJ23" i="1" s="1"/>
  <c r="CK31" i="1"/>
  <c r="CF73" i="1"/>
  <c r="BY61" i="1"/>
  <c r="BZ61" i="1" s="1"/>
  <c r="BW61" i="1"/>
  <c r="BX61" i="1" s="1"/>
  <c r="CS49" i="1"/>
  <c r="F49" i="1"/>
  <c r="CN75" i="1"/>
  <c r="CO75" i="1"/>
  <c r="G75" i="1"/>
  <c r="E17" i="1"/>
  <c r="CF17" i="1"/>
  <c r="CF35" i="1"/>
  <c r="E35" i="1"/>
  <c r="G81" i="1"/>
  <c r="CN81" i="1"/>
  <c r="CO81" i="1"/>
  <c r="CN59" i="1"/>
  <c r="CO59" i="1"/>
  <c r="G59" i="1"/>
  <c r="CS63" i="1"/>
  <c r="F63" i="1"/>
  <c r="CN89" i="1"/>
  <c r="CO89" i="1"/>
  <c r="G89" i="1"/>
  <c r="CH15" i="1"/>
  <c r="F61" i="1"/>
  <c r="CS61" i="1"/>
  <c r="BG10" i="9"/>
  <c r="E5" i="1"/>
  <c r="CF5" i="1"/>
  <c r="E25" i="1"/>
  <c r="CU31" i="1"/>
  <c r="BU71" i="1"/>
  <c r="CI71" i="1"/>
  <c r="CJ71" i="1" s="1"/>
  <c r="CF7" i="1"/>
  <c r="E7" i="1"/>
  <c r="CN41" i="1"/>
  <c r="G41" i="1"/>
  <c r="CO41" i="1"/>
  <c r="CO39" i="1"/>
  <c r="CN39" i="1"/>
  <c r="G39" i="1"/>
  <c r="CA43" i="1"/>
  <c r="CB43" i="1" s="1"/>
  <c r="I30" i="9"/>
  <c r="AQ7" i="9"/>
  <c r="CY81" i="1"/>
  <c r="CZ81" i="1" s="1"/>
  <c r="DA81" i="1" s="1"/>
  <c r="BV53" i="1"/>
  <c r="CB53" i="1" s="1"/>
  <c r="CY89" i="1"/>
  <c r="CZ89" i="1" s="1"/>
  <c r="DA89" i="1" s="1"/>
  <c r="AM10" i="9"/>
  <c r="G33" i="9" s="1"/>
  <c r="AH10" i="9"/>
  <c r="CK13" i="1"/>
  <c r="BG7" i="9"/>
  <c r="E23" i="1"/>
  <c r="BN23" i="1"/>
  <c r="CR23" i="1" s="1"/>
  <c r="BN13" i="1"/>
  <c r="CR13" i="1" s="1"/>
  <c r="BN71" i="1"/>
  <c r="CR71" i="1" s="1"/>
  <c r="CO33" i="1"/>
  <c r="G33" i="1"/>
  <c r="CN33" i="1"/>
  <c r="CN57" i="1"/>
  <c r="G57" i="1"/>
  <c r="CO57" i="1"/>
  <c r="I34" i="9"/>
  <c r="AQ11" i="9"/>
  <c r="BU13" i="9"/>
  <c r="BV13" i="9" s="1"/>
  <c r="BW13" i="9" s="1"/>
  <c r="E15" i="1"/>
  <c r="CF15" i="1"/>
  <c r="CL43" i="1"/>
  <c r="CV43" i="1" s="1"/>
  <c r="CM43" i="1"/>
  <c r="CN55" i="1"/>
  <c r="G55" i="1"/>
  <c r="CO55" i="1"/>
  <c r="CF31" i="1"/>
  <c r="E31" i="1"/>
  <c r="E21" i="1"/>
  <c r="BW53" i="1"/>
  <c r="BX53" i="1" s="1"/>
  <c r="BY53" i="1"/>
  <c r="BZ53" i="1" s="1"/>
  <c r="CY57" i="1"/>
  <c r="CZ57" i="1" s="1"/>
  <c r="DA57" i="1" s="1"/>
  <c r="CL53" i="1"/>
  <c r="CV53" i="1" s="1"/>
  <c r="CM53" i="1"/>
  <c r="CK7" i="1"/>
  <c r="CH71" i="1"/>
  <c r="CH83" i="1"/>
  <c r="D33" i="9"/>
  <c r="CK19" i="1"/>
  <c r="AM7" i="9"/>
  <c r="G30" i="9" s="1"/>
  <c r="AH7" i="9"/>
  <c r="CK5" i="1"/>
  <c r="E85" i="1"/>
  <c r="CF85" i="1"/>
  <c r="CK71" i="1"/>
  <c r="CA71" i="1"/>
  <c r="BW43" i="1"/>
  <c r="BX43" i="1" s="1"/>
  <c r="BY43" i="1"/>
  <c r="BZ43" i="1" s="1"/>
  <c r="BU11" i="1"/>
  <c r="BV11" i="1" s="1"/>
  <c r="CI11" i="1"/>
  <c r="CJ11" i="1" s="1"/>
  <c r="BU12" i="9"/>
  <c r="BV12" i="9" s="1"/>
  <c r="BW12" i="9" s="1"/>
  <c r="CN63" i="1"/>
  <c r="G63" i="1"/>
  <c r="CO63" i="1"/>
  <c r="BU7" i="9"/>
  <c r="BV7" i="9" s="1"/>
  <c r="BW7" i="9" s="1"/>
  <c r="CN77" i="1"/>
  <c r="CO77" i="1"/>
  <c r="G77" i="1"/>
  <c r="CY47" i="1"/>
  <c r="CZ47" i="1" s="1"/>
  <c r="DA47" i="1" s="1"/>
  <c r="AM9" i="9"/>
  <c r="G32" i="9" s="1"/>
  <c r="AH9" i="9"/>
  <c r="CO49" i="1"/>
  <c r="G49" i="1"/>
  <c r="CN49" i="1"/>
  <c r="D30" i="9"/>
  <c r="BU10" i="9"/>
  <c r="BV10" i="9" s="1"/>
  <c r="BW10" i="9" s="1"/>
  <c r="E13" i="1"/>
  <c r="CH21" i="1"/>
  <c r="BU13" i="1"/>
  <c r="CA13" i="1" s="1"/>
  <c r="CI13" i="1"/>
  <c r="CJ13" i="1" s="1"/>
  <c r="CU71" i="1"/>
  <c r="CK11" i="1"/>
  <c r="BG12" i="9"/>
  <c r="E11" i="1"/>
  <c r="BU9" i="1"/>
  <c r="BV9" i="1" s="1"/>
  <c r="CI9" i="1"/>
  <c r="CJ9" i="1" s="1"/>
  <c r="CH19" i="1"/>
  <c r="BG11" i="9"/>
  <c r="E27" i="1"/>
  <c r="CF27" i="1"/>
  <c r="CK9" i="1"/>
  <c r="CA9" i="1"/>
  <c r="F53" i="1"/>
  <c r="CS53" i="1"/>
  <c r="CN51" i="1"/>
  <c r="G51" i="1"/>
  <c r="CO51" i="1"/>
  <c r="BU7" i="1"/>
  <c r="CA7" i="1" s="1"/>
  <c r="CI7" i="1"/>
  <c r="CJ7" i="1" s="1"/>
  <c r="CA85" i="1"/>
  <c r="CB85" i="1" s="1"/>
  <c r="CK85" i="1"/>
  <c r="BN9" i="1"/>
  <c r="CR9" i="1" s="1"/>
  <c r="CF65" i="1"/>
  <c r="D34" i="9"/>
  <c r="D32" i="9"/>
  <c r="G47" i="1"/>
  <c r="CN47" i="1"/>
  <c r="CO47" i="1"/>
  <c r="E83" i="1"/>
  <c r="CF83" i="1"/>
  <c r="BU5" i="1"/>
  <c r="BV5" i="1" s="1"/>
  <c r="CI5" i="1"/>
  <c r="CJ5" i="1" s="1"/>
  <c r="CK25" i="1"/>
  <c r="CU11" i="1"/>
  <c r="AM13" i="9"/>
  <c r="G36" i="9" s="1"/>
  <c r="AH13" i="9"/>
  <c r="CN69" i="1"/>
  <c r="G69" i="1"/>
  <c r="CO69" i="1"/>
  <c r="CH29" i="1"/>
  <c r="D35" i="9"/>
  <c r="G37" i="1"/>
  <c r="CN37" i="1"/>
  <c r="CO37" i="1"/>
  <c r="CH85" i="1"/>
  <c r="BG6" i="9"/>
  <c r="F51" i="1"/>
  <c r="CS51" i="1"/>
  <c r="AQ6" i="9"/>
  <c r="BZ6" i="9" s="1"/>
  <c r="CH13" i="1"/>
  <c r="BU6" i="9"/>
  <c r="BV6" i="9" s="1"/>
  <c r="BW6" i="9" s="1"/>
  <c r="BU83" i="1"/>
  <c r="CA83" i="1" s="1"/>
  <c r="CB83" i="1" s="1"/>
  <c r="BV83" i="1"/>
  <c r="CI83" i="1"/>
  <c r="CJ83" i="1" s="1"/>
  <c r="BU25" i="1"/>
  <c r="CA25" i="1" s="1"/>
  <c r="CI25" i="1"/>
  <c r="CJ25" i="1" s="1"/>
  <c r="CB73" i="1"/>
  <c r="CU25" i="1"/>
  <c r="CK15" i="1"/>
  <c r="BG13" i="9"/>
  <c r="BZ13" i="9"/>
  <c r="BG8" i="9"/>
  <c r="CH7" i="1"/>
  <c r="D29" i="9"/>
  <c r="F79" i="1"/>
  <c r="CS79" i="1"/>
  <c r="CL65" i="1"/>
  <c r="CV65" i="1" s="1"/>
  <c r="CM65" i="1"/>
  <c r="BU9" i="9"/>
  <c r="BV9" i="9" s="1"/>
  <c r="BW9" i="9" s="1"/>
  <c r="BU27" i="1"/>
  <c r="CI27" i="1"/>
  <c r="CJ27" i="1" s="1"/>
  <c r="BV27" i="1"/>
  <c r="E29" i="1"/>
  <c r="CN79" i="1"/>
  <c r="CO79" i="1"/>
  <c r="G79" i="1"/>
  <c r="BN25" i="1"/>
  <c r="CR25" i="1" s="1"/>
  <c r="CM73" i="1"/>
  <c r="CL73" i="1"/>
  <c r="CV73" i="1" s="1"/>
  <c r="AM5" i="9"/>
  <c r="G28" i="9" s="1"/>
  <c r="AH5" i="9"/>
  <c r="CU15" i="1"/>
  <c r="D36" i="9"/>
  <c r="CK83" i="1"/>
  <c r="BU21" i="1"/>
  <c r="CA21" i="1" s="1"/>
  <c r="CI21" i="1"/>
  <c r="CJ21" i="1" s="1"/>
  <c r="BW65" i="1"/>
  <c r="BY65" i="1"/>
  <c r="CH25" i="1"/>
  <c r="BU31" i="1"/>
  <c r="CI31" i="1"/>
  <c r="CJ31" i="1" s="1"/>
  <c r="BV31" i="1"/>
  <c r="CN87" i="1"/>
  <c r="CO87" i="1"/>
  <c r="G87" i="1"/>
  <c r="CU17" i="1"/>
  <c r="CH11" i="1"/>
  <c r="BN29" i="1"/>
  <c r="CR29" i="1" s="1"/>
  <c r="CH23" i="1"/>
  <c r="CH17" i="1"/>
  <c r="BG5" i="9"/>
  <c r="BZ5" i="9"/>
  <c r="D31" i="9"/>
  <c r="BU15" i="1"/>
  <c r="CA15" i="1" s="1"/>
  <c r="CI15" i="1"/>
  <c r="CJ15" i="1" s="1"/>
  <c r="E19" i="1"/>
  <c r="BN21" i="1"/>
  <c r="CR21" i="1" s="1"/>
  <c r="BU19" i="1"/>
  <c r="BV19" i="1" s="1"/>
  <c r="CI19" i="1"/>
  <c r="CJ19" i="1" s="1"/>
  <c r="BY73" i="1"/>
  <c r="BZ73" i="1" s="1"/>
  <c r="BW73" i="1"/>
  <c r="BX73" i="1" s="1"/>
  <c r="CK17" i="1"/>
  <c r="BG9" i="9"/>
  <c r="BZ9" i="9"/>
  <c r="CK35" i="1"/>
  <c r="BV65" i="1"/>
  <c r="CB61" i="1"/>
  <c r="BU29" i="1"/>
  <c r="BV29" i="1"/>
  <c r="CI29" i="1"/>
  <c r="CJ29" i="1" s="1"/>
  <c r="CN67" i="1"/>
  <c r="CO67" i="1"/>
  <c r="G67" i="1"/>
  <c r="CK23" i="1"/>
  <c r="CA23" i="1"/>
  <c r="D28" i="9"/>
  <c r="CA29" i="1"/>
  <c r="CB29" i="1" s="1"/>
  <c r="CK29" i="1"/>
  <c r="BN85" i="1"/>
  <c r="CR85" i="1" s="1"/>
  <c r="BU17" i="1"/>
  <c r="CI17" i="1"/>
  <c r="CJ17" i="1" s="1"/>
  <c r="CI35" i="1"/>
  <c r="CJ35" i="1" s="1"/>
  <c r="BU35" i="1"/>
  <c r="CA35" i="1" s="1"/>
  <c r="CB35" i="1" s="1"/>
  <c r="BV35" i="1"/>
  <c r="E9" i="1"/>
  <c r="CN45" i="1"/>
  <c r="CO45" i="1"/>
  <c r="G45" i="1"/>
  <c r="CA27" i="1"/>
  <c r="CB27" i="1" s="1"/>
  <c r="CK27" i="1"/>
  <c r="AQ8" i="9"/>
  <c r="BZ8" i="9" s="1"/>
  <c r="AQ10" i="9"/>
  <c r="BR17" i="9" l="1"/>
  <c r="BS17" i="9" s="1"/>
  <c r="BT17" i="9" s="1"/>
  <c r="BR15" i="9"/>
  <c r="BS15" i="9" s="1"/>
  <c r="BT15" i="9" s="1"/>
  <c r="CA23" i="9"/>
  <c r="BY23" i="9"/>
  <c r="CA14" i="9"/>
  <c r="BY14" i="9"/>
  <c r="BJ23" i="9"/>
  <c r="AN23" i="9"/>
  <c r="BR16" i="9"/>
  <c r="BS16" i="9" s="1"/>
  <c r="BT16" i="9" s="1"/>
  <c r="AN14" i="9"/>
  <c r="BJ14" i="9"/>
  <c r="BR14" i="9"/>
  <c r="BS14" i="9"/>
  <c r="BT14" i="9" s="1"/>
  <c r="CA19" i="9"/>
  <c r="BY19" i="9"/>
  <c r="BJ20" i="9"/>
  <c r="AN20" i="9"/>
  <c r="BR20" i="9"/>
  <c r="BS20" i="9" s="1"/>
  <c r="BT20" i="9" s="1"/>
  <c r="BR19" i="9"/>
  <c r="BS19" i="9" s="1"/>
  <c r="BT19" i="9" s="1"/>
  <c r="BJ17" i="9"/>
  <c r="AN17" i="9"/>
  <c r="BR18" i="9"/>
  <c r="BS18" i="9"/>
  <c r="BT18" i="9" s="1"/>
  <c r="BJ21" i="9"/>
  <c r="AN21" i="9"/>
  <c r="BJ19" i="9"/>
  <c r="AN19" i="9"/>
  <c r="BZ19" i="9"/>
  <c r="BT21" i="9"/>
  <c r="BR21" i="9"/>
  <c r="BS21" i="9"/>
  <c r="AN15" i="9"/>
  <c r="BJ15" i="9"/>
  <c r="BR23" i="9"/>
  <c r="BS23" i="9"/>
  <c r="BT23" i="9" s="1"/>
  <c r="CA20" i="9"/>
  <c r="BY20" i="9"/>
  <c r="BJ18" i="9"/>
  <c r="AN18" i="9"/>
  <c r="CA21" i="9"/>
  <c r="BY21" i="9"/>
  <c r="CA17" i="9"/>
  <c r="BY17" i="9"/>
  <c r="AN16" i="9"/>
  <c r="BJ16" i="9"/>
  <c r="BR22" i="9"/>
  <c r="BS22" i="9"/>
  <c r="BT22" i="9" s="1"/>
  <c r="BJ22" i="9"/>
  <c r="AN22" i="9"/>
  <c r="BV25" i="1"/>
  <c r="CB25" i="1" s="1"/>
  <c r="BV21" i="1"/>
  <c r="CF19" i="1"/>
  <c r="CF11" i="1"/>
  <c r="CF9" i="1"/>
  <c r="F9" i="1" s="1"/>
  <c r="CA11" i="1"/>
  <c r="CB11" i="1" s="1"/>
  <c r="CF13" i="1"/>
  <c r="CB21" i="1"/>
  <c r="CW81" i="1"/>
  <c r="H81" i="1"/>
  <c r="H67" i="1"/>
  <c r="CW67" i="1"/>
  <c r="BY17" i="1"/>
  <c r="BW17" i="1"/>
  <c r="BW19" i="1"/>
  <c r="BX19" i="1" s="1"/>
  <c r="BY19" i="1"/>
  <c r="BZ19" i="1" s="1"/>
  <c r="BY27" i="1"/>
  <c r="BZ27" i="1" s="1"/>
  <c r="BW27" i="1"/>
  <c r="BX27" i="1" s="1"/>
  <c r="CY79" i="1"/>
  <c r="CZ79" i="1"/>
  <c r="DA79" i="1" s="1"/>
  <c r="BR13" i="9"/>
  <c r="BS13" i="9" s="1"/>
  <c r="BT13" i="9" s="1"/>
  <c r="H51" i="1"/>
  <c r="CW51" i="1"/>
  <c r="CL71" i="1"/>
  <c r="CV71" i="1" s="1"/>
  <c r="CM71" i="1"/>
  <c r="BR7" i="9"/>
  <c r="BS7" i="9" s="1"/>
  <c r="BT7" i="9" s="1"/>
  <c r="BW71" i="1"/>
  <c r="BY71" i="1"/>
  <c r="CY61" i="1"/>
  <c r="CZ61" i="1" s="1"/>
  <c r="DA61" i="1"/>
  <c r="CY49" i="1"/>
  <c r="CZ49" i="1" s="1"/>
  <c r="DA49" i="1" s="1"/>
  <c r="BY23" i="1"/>
  <c r="BW23" i="1"/>
  <c r="CF71" i="1"/>
  <c r="H49" i="1"/>
  <c r="CW49" i="1"/>
  <c r="CS9" i="1"/>
  <c r="BW83" i="1"/>
  <c r="BX83" i="1" s="1"/>
  <c r="BY83" i="1"/>
  <c r="BZ83" i="1" s="1"/>
  <c r="CB9" i="1"/>
  <c r="BW9" i="1"/>
  <c r="BX9" i="1" s="1"/>
  <c r="BY9" i="1"/>
  <c r="BZ9" i="1" s="1"/>
  <c r="BV13" i="1"/>
  <c r="CB13" i="1" s="1"/>
  <c r="J34" i="9"/>
  <c r="CA11" i="9"/>
  <c r="BY11" i="9"/>
  <c r="J30" i="9"/>
  <c r="CA7" i="9"/>
  <c r="BY7" i="9"/>
  <c r="CW41" i="1"/>
  <c r="H41" i="1"/>
  <c r="CF25" i="1"/>
  <c r="BY85" i="1"/>
  <c r="BZ85" i="1" s="1"/>
  <c r="BW85" i="1"/>
  <c r="BX85" i="1" s="1"/>
  <c r="BJ11" i="9"/>
  <c r="AN11" i="9"/>
  <c r="H34" i="9" s="1"/>
  <c r="CL29" i="1"/>
  <c r="CV29" i="1" s="1"/>
  <c r="CM29" i="1"/>
  <c r="BJ8" i="9"/>
  <c r="AN8" i="9"/>
  <c r="H31" i="9" s="1"/>
  <c r="CS19" i="1"/>
  <c r="F19" i="1"/>
  <c r="CM15" i="1"/>
  <c r="CL15" i="1"/>
  <c r="CV15" i="1"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CA17" i="1"/>
  <c r="CS13" i="1"/>
  <c r="F13" i="1"/>
  <c r="BY11" i="1"/>
  <c r="BZ11" i="1" s="1"/>
  <c r="BW11" i="1"/>
  <c r="BX11" i="1" s="1"/>
  <c r="CM13" i="1"/>
  <c r="CL13" i="1"/>
  <c r="CV13" i="1" s="1"/>
  <c r="H89" i="1"/>
  <c r="CW89" i="1"/>
  <c r="F35" i="1"/>
  <c r="CS35" i="1"/>
  <c r="CA31" i="1"/>
  <c r="CB31" i="1" s="1"/>
  <c r="BY13" i="1"/>
  <c r="BZ13" i="1" s="1"/>
  <c r="BW13" i="1"/>
  <c r="BX13" i="1" s="1"/>
  <c r="BR9" i="9"/>
  <c r="BS9" i="9" s="1"/>
  <c r="BT9" i="9" s="1"/>
  <c r="BY15" i="1"/>
  <c r="BW15" i="1"/>
  <c r="BZ65" i="1"/>
  <c r="CW79" i="1"/>
  <c r="H79" i="1"/>
  <c r="BY5" i="1"/>
  <c r="BZ5" i="1" s="1"/>
  <c r="BW5" i="1"/>
  <c r="BX5" i="1" s="1"/>
  <c r="CS27" i="1"/>
  <c r="F27" i="1"/>
  <c r="CL5" i="1"/>
  <c r="CV5" i="1" s="1"/>
  <c r="CM5" i="1"/>
  <c r="CN53" i="1"/>
  <c r="CO53" i="1"/>
  <c r="G53" i="1"/>
  <c r="BJ10" i="9"/>
  <c r="AN10" i="9"/>
  <c r="H33" i="9" s="1"/>
  <c r="CS7" i="1"/>
  <c r="F7" i="1"/>
  <c r="F17" i="1"/>
  <c r="CS17" i="1"/>
  <c r="CM31" i="1"/>
  <c r="CL31" i="1"/>
  <c r="CV31" i="1" s="1"/>
  <c r="H37" i="1"/>
  <c r="CW37" i="1"/>
  <c r="CS85" i="1"/>
  <c r="F85" i="1"/>
  <c r="CO73" i="1"/>
  <c r="G73" i="1"/>
  <c r="CN73" i="1"/>
  <c r="BR5" i="9"/>
  <c r="BS5" i="9" s="1"/>
  <c r="BT5" i="9" s="1"/>
  <c r="CA10" i="9"/>
  <c r="J33" i="9"/>
  <c r="BY10" i="9"/>
  <c r="BW29" i="1"/>
  <c r="BX29" i="1" s="1"/>
  <c r="BY29" i="1"/>
  <c r="BZ29" i="1" s="1"/>
  <c r="BV15" i="1"/>
  <c r="BX65" i="1"/>
  <c r="BR6" i="9"/>
  <c r="BS6" i="9" s="1"/>
  <c r="BT6" i="9" s="1"/>
  <c r="CS83" i="1"/>
  <c r="F83" i="1"/>
  <c r="BJ9" i="9"/>
  <c r="AN9" i="9"/>
  <c r="H32" i="9" s="1"/>
  <c r="CA5" i="1"/>
  <c r="CB5" i="1" s="1"/>
  <c r="CW55" i="1"/>
  <c r="H55" i="1"/>
  <c r="CM21" i="1"/>
  <c r="CL21" i="1"/>
  <c r="CV21" i="1" s="1"/>
  <c r="BJ12" i="9"/>
  <c r="AN12" i="9"/>
  <c r="H35" i="9" s="1"/>
  <c r="BR8" i="9"/>
  <c r="BS8" i="9" s="1"/>
  <c r="BT8" i="9" s="1"/>
  <c r="H69" i="1"/>
  <c r="CW69" i="1"/>
  <c r="BY7" i="1"/>
  <c r="BW7" i="1"/>
  <c r="CW63" i="1"/>
  <c r="H63" i="1"/>
  <c r="AN7" i="9"/>
  <c r="H30" i="9" s="1"/>
  <c r="BJ7" i="9"/>
  <c r="G43" i="1"/>
  <c r="CN43" i="1"/>
  <c r="CO43" i="1"/>
  <c r="F5" i="1"/>
  <c r="CS5" i="1"/>
  <c r="CY63" i="1"/>
  <c r="CZ63" i="1" s="1"/>
  <c r="DA63" i="1" s="1"/>
  <c r="CY77" i="1"/>
  <c r="CZ77" i="1" s="1"/>
  <c r="DA77" i="1" s="1"/>
  <c r="H87" i="1"/>
  <c r="CW87" i="1"/>
  <c r="J31" i="9"/>
  <c r="CA8" i="9"/>
  <c r="BY8" i="9"/>
  <c r="CM27" i="1"/>
  <c r="CL27" i="1"/>
  <c r="CV27" i="1" s="1"/>
  <c r="BV17" i="1"/>
  <c r="CF29" i="1"/>
  <c r="CN65" i="1"/>
  <c r="CO65" i="1"/>
  <c r="G65" i="1"/>
  <c r="BY25" i="1"/>
  <c r="BZ25" i="1" s="1"/>
  <c r="BW25" i="1"/>
  <c r="BX25" i="1" s="1"/>
  <c r="BJ13" i="9"/>
  <c r="AN13" i="9"/>
  <c r="H36" i="9" s="1"/>
  <c r="CS65" i="1"/>
  <c r="F65" i="1"/>
  <c r="BV7" i="1"/>
  <c r="CB7" i="1" s="1"/>
  <c r="BZ11" i="9"/>
  <c r="BR12" i="9"/>
  <c r="BS12" i="9" s="1"/>
  <c r="BT12" i="9" s="1"/>
  <c r="H39" i="1"/>
  <c r="CW39" i="1"/>
  <c r="J35" i="9"/>
  <c r="CA12" i="9"/>
  <c r="BY12" i="9"/>
  <c r="CY59" i="1"/>
  <c r="CZ59" i="1" s="1"/>
  <c r="DA59" i="1" s="1"/>
  <c r="CA6" i="9"/>
  <c r="J29" i="9"/>
  <c r="BY6" i="9"/>
  <c r="CF21" i="1"/>
  <c r="CW77" i="1"/>
  <c r="H77" i="1"/>
  <c r="CY43" i="1"/>
  <c r="CZ43" i="1" s="1"/>
  <c r="DA43" i="1" s="1"/>
  <c r="CW47" i="1"/>
  <c r="H47" i="1"/>
  <c r="BR11" i="9"/>
  <c r="BS11" i="9" s="1"/>
  <c r="BT11" i="9" s="1"/>
  <c r="CM19" i="1"/>
  <c r="CL19" i="1"/>
  <c r="CV19" i="1" s="1"/>
  <c r="F15" i="1"/>
  <c r="CS15" i="1"/>
  <c r="CW57" i="1"/>
  <c r="H57" i="1"/>
  <c r="CF23" i="1"/>
  <c r="BZ10" i="9"/>
  <c r="CW75" i="1"/>
  <c r="H75" i="1"/>
  <c r="BJ6" i="9"/>
  <c r="AN6" i="9"/>
  <c r="H29" i="9" s="1"/>
  <c r="H45" i="1"/>
  <c r="CW45" i="1"/>
  <c r="CL83" i="1"/>
  <c r="CV83" i="1" s="1"/>
  <c r="CM83" i="1"/>
  <c r="CB15" i="1"/>
  <c r="CM25" i="1"/>
  <c r="CL25" i="1"/>
  <c r="CV25" i="1" s="1"/>
  <c r="CY53" i="1"/>
  <c r="CZ53" i="1" s="1"/>
  <c r="DA53" i="1" s="1"/>
  <c r="CL23" i="1"/>
  <c r="CV23" i="1" s="1"/>
  <c r="CM23" i="1"/>
  <c r="CL35" i="1"/>
  <c r="CV35" i="1" s="1"/>
  <c r="CM35" i="1"/>
  <c r="BY21" i="1"/>
  <c r="BZ21" i="1" s="1"/>
  <c r="BW21" i="1"/>
  <c r="BX21" i="1" s="1"/>
  <c r="BJ5" i="9"/>
  <c r="AN5" i="9"/>
  <c r="H28" i="9" s="1"/>
  <c r="CL11" i="1"/>
  <c r="CV11" i="1" s="1"/>
  <c r="CM11" i="1"/>
  <c r="CA19" i="1"/>
  <c r="CB19" i="1" s="1"/>
  <c r="CW33" i="1"/>
  <c r="H33" i="1"/>
  <c r="BZ7" i="9"/>
  <c r="BV71" i="1"/>
  <c r="CB71" i="1" s="1"/>
  <c r="BR10" i="9"/>
  <c r="BS10" i="9" s="1"/>
  <c r="BT10" i="9" s="1"/>
  <c r="H59" i="1"/>
  <c r="CW59" i="1"/>
  <c r="BV23" i="1"/>
  <c r="CB23" i="1" s="1"/>
  <c r="G61" i="1"/>
  <c r="CO61" i="1"/>
  <c r="CN61" i="1"/>
  <c r="CY17" i="1" l="1"/>
  <c r="CZ17" i="1" s="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s="1"/>
  <c r="DD63" i="1" s="1"/>
  <c r="DE63" i="1" s="1"/>
  <c r="CY85" i="1"/>
  <c r="CZ85" i="1" s="1"/>
  <c r="DA85" i="1" s="1"/>
  <c r="CY73" i="1"/>
  <c r="CZ73" i="1"/>
  <c r="DA73" i="1" s="1"/>
  <c r="G9" i="1"/>
  <c r="CN9" i="1"/>
  <c r="CO9" i="1"/>
  <c r="CS25" i="1"/>
  <c r="F25" i="1"/>
  <c r="BX71" i="1"/>
  <c r="BZ17" i="1"/>
  <c r="G25" i="1"/>
  <c r="CN25" i="1"/>
  <c r="CO25" i="1"/>
  <c r="DB75" i="1"/>
  <c r="DC75" i="1"/>
  <c r="DD75" i="1" s="1"/>
  <c r="DE75" i="1" s="1"/>
  <c r="DB39" i="1"/>
  <c r="DC39" i="1" s="1"/>
  <c r="DD39" i="1" s="1"/>
  <c r="DE39" i="1" s="1"/>
  <c r="DB37" i="1"/>
  <c r="DC37" i="1"/>
  <c r="DD37" i="1" s="1"/>
  <c r="DE37" i="1" s="1"/>
  <c r="CY7" i="1"/>
  <c r="CZ7" i="1"/>
  <c r="DA7" i="1" s="1"/>
  <c r="G15" i="1"/>
  <c r="CN15" i="1"/>
  <c r="CO15" i="1"/>
  <c r="DB67" i="1"/>
  <c r="DC67" i="1"/>
  <c r="DD67" i="1"/>
  <c r="DE67" i="1" s="1"/>
  <c r="CY27" i="1"/>
  <c r="CZ27" i="1"/>
  <c r="DA27" i="1" s="1"/>
  <c r="DB45" i="1"/>
  <c r="DC45" i="1"/>
  <c r="DD45" i="1" s="1"/>
  <c r="DE45" i="1" s="1"/>
  <c r="DB47" i="1"/>
  <c r="DC47" i="1" s="1"/>
  <c r="DD47" i="1" s="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s="1"/>
  <c r="DA5" i="1" s="1"/>
  <c r="DB57" i="1"/>
  <c r="DC57" i="1" s="1"/>
  <c r="DD57" i="1" s="1"/>
  <c r="DE57" i="1" s="1"/>
  <c r="CN27" i="1"/>
  <c r="CO27" i="1"/>
  <c r="G27" i="1"/>
  <c r="BZ15" i="1"/>
  <c r="BZ23" i="1"/>
  <c r="G71" i="1"/>
  <c r="CN71" i="1"/>
  <c r="CO71" i="1"/>
  <c r="CN11" i="1"/>
  <c r="CO11" i="1"/>
  <c r="G11" i="1"/>
  <c r="CY15" i="1"/>
  <c r="CZ15" i="1" s="1"/>
  <c r="DA15" i="1" s="1"/>
  <c r="CW53" i="1"/>
  <c r="H53" i="1"/>
  <c r="DB89" i="1"/>
  <c r="DC89" i="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G5" i="1"/>
  <c r="CO5" i="1"/>
  <c r="CN5" i="1"/>
  <c r="CO17" i="1"/>
  <c r="CN17" i="1"/>
  <c r="G17" i="1"/>
  <c r="CY9" i="1"/>
  <c r="CZ9" i="1" s="1"/>
  <c r="DA9" i="1"/>
  <c r="CW11" i="1" l="1"/>
  <c r="H11" i="1"/>
  <c r="DB65" i="1"/>
  <c r="DC65" i="1" s="1"/>
  <c r="DD65" i="1" s="1"/>
  <c r="DE65" i="1" s="1"/>
  <c r="H23" i="1"/>
  <c r="CW23" i="1"/>
  <c r="CW9" i="1"/>
  <c r="H9" i="1"/>
  <c r="CW31" i="1"/>
  <c r="H31" i="1"/>
  <c r="CW71" i="1"/>
  <c r="H71" i="1"/>
  <c r="CY71" i="1"/>
  <c r="CZ71" i="1"/>
  <c r="DA71" i="1" s="1"/>
  <c r="H7" i="1"/>
  <c r="CW7" i="1"/>
  <c r="DB53" i="1"/>
  <c r="DC53" i="1"/>
  <c r="DD53" i="1"/>
  <c r="DE53" i="1" s="1"/>
  <c r="DB43" i="1"/>
  <c r="DC43" i="1"/>
  <c r="DD43" i="1" s="1"/>
  <c r="DE43" i="1" s="1"/>
  <c r="H83" i="1"/>
  <c r="CW83" i="1"/>
  <c r="CW25" i="1"/>
  <c r="H25" i="1"/>
  <c r="CW13" i="1"/>
  <c r="H13" i="1"/>
  <c r="H19" i="1"/>
  <c r="CW19" i="1"/>
  <c r="DB61" i="1"/>
  <c r="DC61" i="1"/>
  <c r="DD61" i="1"/>
  <c r="DE61" i="1" s="1"/>
  <c r="DB73" i="1"/>
  <c r="DC73" i="1"/>
  <c r="DD73" i="1" s="1"/>
  <c r="DE73" i="1" s="1"/>
  <c r="H17" i="1"/>
  <c r="CW17" i="1"/>
  <c r="H29" i="1"/>
  <c r="CW29" i="1"/>
  <c r="CW85" i="1"/>
  <c r="H85" i="1"/>
  <c r="H21" i="1"/>
  <c r="CW21" i="1"/>
  <c r="CW35" i="1"/>
  <c r="H35" i="1"/>
  <c r="CW27" i="1"/>
  <c r="H27" i="1"/>
  <c r="CW5" i="1"/>
  <c r="H5" i="1"/>
  <c r="H15" i="1"/>
  <c r="CW15" i="1"/>
  <c r="CY25" i="1"/>
  <c r="CZ25" i="1"/>
  <c r="DA25" i="1" s="1"/>
  <c r="CY21" i="1"/>
  <c r="CZ21" i="1" s="1"/>
  <c r="DA21" i="1" s="1"/>
  <c r="CY23" i="1"/>
  <c r="CZ23" i="1" s="1"/>
  <c r="DA23" i="1" s="1"/>
  <c r="CY29" i="1"/>
  <c r="CZ29" i="1"/>
  <c r="DA29" i="1" s="1"/>
  <c r="DB85" i="1" l="1"/>
  <c r="DC85" i="1"/>
  <c r="DD85" i="1"/>
  <c r="DE85" i="1" s="1"/>
  <c r="DB29" i="1"/>
  <c r="DC29" i="1" s="1"/>
  <c r="DD29" i="1" s="1"/>
  <c r="DE29" i="1" s="1"/>
  <c r="DB17" i="1"/>
  <c r="DC17" i="1"/>
  <c r="DD17" i="1" s="1"/>
  <c r="DE17" i="1" s="1"/>
  <c r="DB9" i="1"/>
  <c r="DC9" i="1" s="1"/>
  <c r="DD9" i="1" s="1"/>
  <c r="DE9" i="1" s="1"/>
  <c r="DB15" i="1"/>
  <c r="DC15" i="1"/>
  <c r="DD15" i="1" s="1"/>
  <c r="DE15" i="1" s="1"/>
  <c r="DB5" i="1"/>
  <c r="DC5" i="1" s="1"/>
  <c r="DD5" i="1" s="1"/>
  <c r="DE5" i="1" s="1"/>
  <c r="DB13" i="1"/>
  <c r="DC13" i="1" s="1"/>
  <c r="DD13" i="1" s="1"/>
  <c r="DE13" i="1" s="1"/>
  <c r="DB23" i="1"/>
  <c r="DC23" i="1" s="1"/>
  <c r="DD23" i="1" s="1"/>
  <c r="DE23" i="1" s="1"/>
  <c r="DB19" i="1"/>
  <c r="DC19" i="1"/>
  <c r="DD19" i="1" s="1"/>
  <c r="DE19" i="1" s="1"/>
  <c r="DB7" i="1"/>
  <c r="DC7" i="1"/>
  <c r="DD7" i="1" s="1"/>
  <c r="DE7" i="1" s="1"/>
  <c r="DB27" i="1"/>
  <c r="DC27" i="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<sst xmlns="http://schemas.openxmlformats.org/spreadsheetml/2006/main" count="818" uniqueCount="390">
  <si>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</si>
  <si>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</si>
  <si>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</si>
  <si>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</si>
  <si>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</si>
  <si>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</si>
  <si>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</si>
  <si>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</si>
  <si>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</si>
  <si>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</si>
  <si>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</si>
  <si>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</si>
  <si>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</si>
  <si>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</si>
  <si>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</si>
  <si>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</si>
  <si>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</si>
  <si>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</si>
  <si>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</si>
  <si>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</si>
  <si>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</si>
  <si>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</si>
  <si>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</si>
  <si>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</si>
  <si>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</si>
  <si>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</si>
  <si>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</si>
  <si>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</si>
  <si>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</si>
  <si>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</si>
  <si>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</si>
  <si>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</si>
  <si>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</si>
  <si>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</si>
  <si>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</si>
  <si>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</si>
  <si>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</si>
  <si>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</si>
  <si>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</si>
  <si>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</si>
  <si>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</si>
  <si>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</si>
  <si>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</si>
  <si>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</si>
  <si>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</si>
  <si>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</si>
  <si>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</si>
  <si>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</si>
  <si>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</si>
  <si>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</si>
  <si>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</si>
  <si>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</si>
  <si>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</si>
  <si>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</si>
  <si>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</si>
  <si>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</si>
  <si>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</si>
  <si>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</si>
  <si>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</si>
  <si>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</si>
  <si>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</si>
  <si>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</si>
  <si>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</si>
  <si>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</si>
  <si>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</si>
  <si>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</si>
  <si>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</si>
  <si>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</si>
  <si>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</si>
  <si>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</si>
  <si>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</si>
  <si>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</si>
  <si>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</si>
  <si>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Calcite</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</si>
  <si>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</si>
  <si>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</si>
  <si>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</si>
  <si>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</si>
  <si>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</si>
  <si>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</si>
  <si>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</si>
  <si>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</si>
  <si>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</si>
  <si>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</si>
  <si>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</si>
  <si>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</si>
  <si>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</si>
  <si>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</si>
  <si>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</si>
  <si>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</si>
  <si>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</si>
  <si>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</si>
  <si>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</si>
  <si>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</si>
  <si>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</si>
  <si>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</si>
  <si>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</si>
  <si>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</si>
  <si>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</si>
  <si>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</si>
  <si>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</si>
  <si>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</si>
  <si>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</si>
  <si>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</si>
  <si>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</si>
  <si>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</si>
  <si>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</si>
  <si>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</si>
  <si>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</si>
  <si>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</si>
  <si>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</si>
  <si>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</si>
  <si>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</si>
  <si>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</si>
  <si>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</si>
  <si>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</si>
  <si>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</si>
  <si>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</si>
  <si>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</si>
  <si>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</si>
  <si>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</si>
  <si>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</si>
  <si>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</si>
  <si>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</si>
  <si>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</si>
  <si>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</si>
  <si>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</si>
  <si>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</si>
  <si>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</si>
  <si>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</si>
  <si>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</si>
  <si>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</si>
  <si>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</si>
  <si>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</si>
  <si>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</si>
  <si>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</si>
  <si>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</si>
  <si>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</si>
  <si>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</si>
  <si>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</si>
  <si>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</si>
  <si>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</si>
  <si>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</si>
  <si>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</si>
  <si>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</si>
  <si>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t>Increased uncertainty in spike 230Th/229Th to 1% 1-sigma</t>
  </si>
  <si>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</si>
  <si>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</si>
  <si>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</si>
  <si>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</si>
  <si>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</si>
  <si>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</si>
  <si>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</si>
  <si>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</si>
  <si>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</si>
  <si>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</si>
  <si>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</si>
  <si>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</si>
  <si>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</si>
  <si>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</si>
  <si>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</si>
  <si>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</si>
  <si>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</si>
  <si>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</si>
  <si>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</si>
  <si>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</si>
  <si>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</si>
  <si>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</si>
  <si>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</si>
  <si>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</si>
  <si>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</si>
  <si>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</si>
  <si>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</si>
  <si>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</si>
  <si>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</si>
  <si>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</si>
  <si>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</si>
  <si>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</si>
  <si>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</si>
  <si>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</si>
  <si>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</si>
  <si>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</si>
  <si>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</si>
  <si>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</si>
  <si>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</si>
  <si>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</si>
  <si>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</si>
  <si>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</si>
  <si>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</si>
  <si>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</si>
  <si>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</si>
  <si>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</si>
  <si>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</si>
  <si>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</si>
  <si>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</si>
  <si>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</si>
  <si>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</si>
  <si>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</si>
  <si>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</si>
  <si>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</si>
  <si>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</si>
  <si>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</si>
  <si>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</si>
  <si>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</si>
  <si>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</si>
  <si>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</si>
  <si>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</si>
  <si>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</si>
  <si>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</si>
  <si>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</si>
  <si>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</si>
  <si>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</si>
  <si>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</si>
  <si>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</si>
  <si>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</si>
  <si>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</si>
  <si>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</si>
  <si>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</si>
  <si>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</si>
  <si>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</si>
  <si>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</si>
  <si>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</si>
  <si>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</si>
  <si>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</si>
  <si>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</si>
  <si>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</si>
  <si>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</si>
  <si>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</si>
  <si>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</si>
  <si>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</si>
  <si>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</si>
  <si>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</si>
  <si>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</si>
  <si>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</si>
  <si>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</si>
  <si>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</si>
  <si>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</si>
  <si>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</si>
  <si>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</si>
  <si>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</si>
  <si>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</si>
  <si>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</si>
  <si>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</si>
  <si>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</si>
  <si>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</si>
  <si>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</si>
  <si>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</si>
  <si>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</si>
  <si>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</si>
  <si>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</si>
  <si>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</si>
  <si>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</si>
  <si>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</si>
  <si>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</si>
  <si>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</si>
  <si>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</si>
  <si>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</si>
  <si>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</si>
  <si>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</si>
  <si>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</si>
  <si>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</si>
  <si>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</si>
  <si>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</si>
  <si>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</si>
  <si>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</si>
  <si>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</si>
  <si>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</si>
  <si>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</si>
  <si>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</si>
  <si>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</si>
  <si>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</si>
  <si>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</si>
  <si>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</si>
  <si>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</si>
  <si>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</si>
  <si>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</si>
  <si>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</si>
  <si>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</si>
  <si>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</si>
  <si>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</si>
  <si>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</si>
  <si>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</si>
  <si>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</si>
  <si>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</si>
  <si>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</si>
  <si>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</si>
  <si>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</si>
  <si>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</si>
  <si>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</si>
  <si>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</si>
  <si>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</si>
  <si>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</si>
  <si>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</si>
  <si>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</si>
  <si>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</si>
  <si>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</si>
  <si>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</si>
  <si>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</si>
  <si>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</si>
  <si>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</si>
  <si>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</si>
  <si>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t>
  </si>
  <si>
    <t xml:space="preserve">Samples: </t>
  </si>
  <si>
    <t>[BHT] AB12-6-TPB</t>
  </si>
  <si>
    <t>Analysed on 27 January 2023 at 10:24</t>
  </si>
  <si>
    <t>[BHT]  AB12-6A</t>
  </si>
  <si>
    <t>Analysed on 27 January 2023 at 10:43</t>
  </si>
  <si>
    <t>[BHT] AB12-6B</t>
  </si>
  <si>
    <t>Analysed on 27 January 2023 at 11:04</t>
  </si>
  <si>
    <t>[BHT] AB12-6C</t>
  </si>
  <si>
    <t>Analysed on 27 January 2023 at 11:24</t>
  </si>
  <si>
    <t>[BHT] AB12-6D</t>
  </si>
  <si>
    <t>Analysed on 27 January 2023 at 11:43</t>
  </si>
  <si>
    <t>[BHT]  AB12-6E</t>
  </si>
  <si>
    <t>Analysed on 27 January 2023 at 12:54</t>
  </si>
  <si>
    <t>[BHT] AB12-6F</t>
  </si>
  <si>
    <t>Analysed on 27 January 2023 at 13:26</t>
  </si>
  <si>
    <t>[BHT]  AB12-6G</t>
  </si>
  <si>
    <t>Analysed on 27 January 2023 at 14:08</t>
  </si>
  <si>
    <t>[BHT] AB12-6H</t>
  </si>
  <si>
    <t>Analysed on 27 January 2023 at 14:42</t>
  </si>
  <si>
    <t>[BHT] AB10-bot</t>
  </si>
  <si>
    <t>Analysed on 27 January 2023 at 15:20</t>
  </si>
  <si>
    <t>U 13.5 ppb</t>
  </si>
  <si>
    <t>Analysed on 27 January 2023 at 10:14</t>
  </si>
  <si>
    <t>Analysed on 27 January 2023 at 10:33</t>
  </si>
  <si>
    <t>Analysed on 27 January 2023 at 10:54</t>
  </si>
  <si>
    <t>Analysed on 27 January 2023 at 11:15</t>
  </si>
  <si>
    <t>Analysed on 27 January 2023 at 11:33</t>
  </si>
  <si>
    <t>Analysed on 27 January 2023 at 11:54</t>
  </si>
  <si>
    <t>Analysed on 27 January 2023 at 13:05</t>
  </si>
  <si>
    <t>Analysed on 27 January 2023 at 13:37</t>
  </si>
  <si>
    <t>Analysed on 27 January 2023 at 14:19</t>
  </si>
  <si>
    <t>Analysed on 27 January 2023 at 14:53</t>
  </si>
  <si>
    <t>Analysed on 27 January 2023 at 15:31</t>
  </si>
  <si>
    <t>Tails</t>
  </si>
  <si>
    <t>U 13.5 ppb tail</t>
  </si>
  <si>
    <t>Analysed on 27 January 2023 at 10:15</t>
  </si>
  <si>
    <t>Analysed on 27 January 2023 at 10:35</t>
  </si>
  <si>
    <t>Analysed on 27 January 2023 at 10:55</t>
  </si>
  <si>
    <t>Analysed on 27 January 2023 at 11:16</t>
  </si>
  <si>
    <t>Analysed on 27 January 2023 at 11:34</t>
  </si>
  <si>
    <t>Analysed on 27 January 2023 at 11:55</t>
  </si>
  <si>
    <t>Analysed on 27 January 2023 at 13:06</t>
  </si>
  <si>
    <t>Analysed on 27 January 2023 at 13:38</t>
  </si>
  <si>
    <t>Analysed on 27 January 2023 at 14:20</t>
  </si>
  <si>
    <t>Analysed on 27 January 2023 at 14:54</t>
  </si>
  <si>
    <t>Analysed on 27 January 2023 at 15:32</t>
  </si>
  <si>
    <t>AB12-6A</t>
  </si>
  <si>
    <t>AB12-6B</t>
  </si>
  <si>
    <t>AB12-6C</t>
  </si>
  <si>
    <t>AB12-6D</t>
  </si>
  <si>
    <t>AB12-6E</t>
  </si>
  <si>
    <t>AB12-6F</t>
  </si>
  <si>
    <t>AB12-6G</t>
  </si>
  <si>
    <t>AB12-6H</t>
  </si>
  <si>
    <t>AB10-bottom</t>
  </si>
  <si>
    <t>Th230 / Th232</t>
  </si>
  <si>
    <t>U238(V)</t>
  </si>
  <si>
    <t>Th230 background (cps)</t>
  </si>
  <si>
    <t>Analysed on 30 January 2023 at 10:58</t>
  </si>
  <si>
    <t>[BHT] AB12-6A</t>
  </si>
  <si>
    <t>Analysed on 30 January 2023 at 11:20</t>
  </si>
  <si>
    <t>Analysed on 30 January 2023 at 11:42</t>
  </si>
  <si>
    <t>Analysed on 30 January 2023 at 12:04</t>
  </si>
  <si>
    <t>Analysed on 30 January 2023 at 12:26</t>
  </si>
  <si>
    <t>[BHT] AB12-6E</t>
  </si>
  <si>
    <t>Analysed on 30 January 2023 at 12:48</t>
  </si>
  <si>
    <t>Analysed on 30 January 2023 at 13:10</t>
  </si>
  <si>
    <t>[BHT] AB12-6G</t>
  </si>
  <si>
    <t>Analysed on 30 January 2023 at 13:32</t>
  </si>
  <si>
    <t>Analysed on 30 January 2023 at 13:55</t>
  </si>
  <si>
    <t>Analysed on 30 January 2023 at 14:17</t>
  </si>
  <si>
    <t>MITh2 247 pg/g</t>
  </si>
  <si>
    <t>Analysed on 30 January 2023 at 10:36</t>
  </si>
  <si>
    <t>Analysed on 30 January 2023 at 10:47</t>
  </si>
  <si>
    <t>Analysed on 30 January 2023 at 11:09</t>
  </si>
  <si>
    <t>Analysed on 30 January 2023 at 11:31</t>
  </si>
  <si>
    <t>Analysed on 30 January 2023 at 11:54</t>
  </si>
  <si>
    <t>Analysed on 30 January 2023 at 12:16</t>
  </si>
  <si>
    <t>Analysed on 30 January 2023 at 12:38</t>
  </si>
  <si>
    <t>Analysed on 30 January 2023 at 13:00</t>
  </si>
  <si>
    <t>Analysed on 30 January 2023 at 13:22</t>
  </si>
  <si>
    <t>Analysed on 30 January 2023 at 13:44</t>
  </si>
  <si>
    <t>Analysed on 30 January 2023 at 14:06</t>
  </si>
  <si>
    <t>Analysed on 30 January 2023 at 14:28</t>
  </si>
  <si>
    <t>10ppb ICP std</t>
  </si>
  <si>
    <t>Analysed on 30 January 2023 at 14:39</t>
  </si>
  <si>
    <t>&lt;-- using 17+/-8.5 230/232Th correction</t>
  </si>
  <si>
    <t xml:space="preserve">&lt;-- using 4.4+/-2.2 230/232Th correction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</si>
</sst>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
  </numFmts>
  <fonts count="16">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2">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168" fontId="0" fillId="0" borderId="5" xfId="0" applyNumberFormat="1" applyBorder="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164" fontId="3" fillId="4" borderId="0" xfId="0" applyNumberFormat="1" applyFont="1" applyFill="1"/>
    <xf numFmtId="170" fontId="3" fillId="4" borderId="0" xfId="0" applyNumberFormat="1" applyFont="1" applyFill="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0" fillId="8" borderId="0" xfId="1266"/>
    <xf numFmtId="0" fontId="12" fillId="10" borderId="0" xfId="1268"/>
    <xf numFmtId="0" fontId="11" fillId="9" borderId="0" xfId="1267"/>
    <xf numFmtId="173" fontId="0" fillId="0" borderId="0" xfId="1203" applyNumberFormat="1" applyFont="1"/>
    <xf numFmtId="0" fontId="13" fillId="0" borderId="0" xfId="0" applyFont="1" applyAlignment="1">
      <alignment horizontal="center" vertical="center"/>
    </xf>
    <xf numFmtId="10" fontId="0" fillId="0" borderId="0" xfId="1203" applyNumberFormat="1" applyFont="1"/>
    <xf numFmtId="173" fontId="3" fillId="0" borderId="0" xfId="1203" applyNumberFormat="1" applyFont="1"/>
    <xf numFmtId="173" fontId="0" fillId="0" borderId="0" xfId="1203" applyNumberFormat="1" applyFont="1" applyAlignment="1">
      <alignment vertical="center"/>
    </xf>
    <xf numFmtId="173" fontId="0" fillId="0" borderId="0" xfId="1203" applyNumberFormat="1" applyFont="1" applyAlignment="1"/>
    <xf numFmtId="0" fontId="14" fillId="0" borderId="0" xfId="0" applyFont="1"/>
    <xf numFmtId="168" fontId="0" fillId="0" borderId="2" xfId="0" applyNumberFormat="1" applyBorder="1"/>
    <xf numFmtId="168" fontId="0" fillId="0" borderId="3" xfId="0" applyNumberFormat="1" applyBorder="1"/>
    <xf numFmtId="11" fontId="15" fillId="0" borderId="10" xfId="1267" applyNumberFormat="1" applyFont="1" applyFill="1" applyBorder="1"/>
    <xf numFmtId="0" fontId="0" fillId="11" borderId="11" xfId="0" applyFill="1" applyBorder="1"/>
    <xf numFmtId="1" fontId="0" fillId="0" borderId="0" xfId="0" applyNumberFormat="1" applyAlignment="1">
      <alignment horizontal="left"/>
    </xf>
    <xf numFmtId="11" fontId="0" fillId="7" borderId="0" xfId="0" applyNumberFormat="1" applyFill="1"/>
    <xf numFmtId="0" fontId="13" fillId="0" borderId="0" xfId="0" applyFont="1" applyAlignment="1">
      <alignment horizontal="center" vertical="center"/>
    </xf>
    <xf numFmtId="0" fontId="13" fillId="0" borderId="0" xfId="0" applyFont="1" applyAlignment="1">
      <alignment horizontal="center"/>
    </xf>
    <xf numFmtId="173" fontId="13" fillId="0" borderId="0" xfId="1203" applyNumberFormat="1" applyFont="1" applyAlignment="1">
      <alignment horizontal="center"/>
    </xf>
    <xf numFmtId="173" fontId="13" fillId="0" borderId="0" xfId="1203" applyNumberFormat="1" applyFont="1" applyAlignment="1">
      <alignment horizontal="center" vertical="center"/>
    </xf>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opLeftCell="C48" workbookViewId="0">
      <selection activeCell="B53" sqref="B53:B62"/>
    </sheetView>
  </sheetViews>
  <sheetFormatPr defaultColWidth="11" defaultRowHeight="15.75"/>
  <cols>
    <col min="1" max="1" width="23.8125" customWidth="1"/>
    <col min="2" max="2" width="21.6875" customWidth="1"/>
    <col min="3" max="3" width="20" customWidth="1"/>
    <col min="5" max="6" width="11" bestFit="1" customWidth="1"/>
    <col min="7" max="7" width="12.8125" bestFit="1" customWidth="1"/>
    <col min="8" max="8" width="11" bestFit="1" customWidth="1"/>
    <col min="9" max="9" width="12.375" bestFit="1" customWidth="1"/>
    <col min="11" max="11" width="12.5" bestFit="1" customWidth="1"/>
    <col min="22" max="22" width="17.375" customWidth="1"/>
    <col min="37" max="37" width="12.1875" bestFit="1" customWidth="1"/>
    <col min="44" max="48" width="11" customWidth="1"/>
    <col min="49" max="49" width="12.1875" customWidth="1"/>
    <col min="50" max="52" width="11" customWidth="1"/>
    <col min="53" max="53" width="11.1875" customWidth="1"/>
    <col min="54" max="54" width="11" customWidth="1"/>
    <col min="55" max="55" width="12.1875" customWidth="1"/>
    <col min="56" max="76" width="11" customWidth="1"/>
  </cols>
  <sheetData>
    <row r="1" spans="1:79">
      <c r="A1" s="42" t="s">
        <v>68</v>
      </c>
      <c r="B1" s="42" t="s">
        <v>68</v>
      </c>
      <c r="C1" s="42" t="s">
        <v>68</v>
      </c>
      <c r="D1" s="42" t="s">
        <v>68</v>
      </c>
      <c r="E1" s="42" t="s">
        <v>68</v>
      </c>
      <c r="F1" s="2" t="s">
        <v>98</v>
      </c>
      <c r="N1" s="2" t="s">
        <v>82</v>
      </c>
      <c r="R1" s="2" t="s">
        <v>63</v>
      </c>
      <c r="AE1" s="2" t="s">
        <v>67</v>
      </c>
      <c r="AS1" s="2" t="s">
        <v>72</v>
      </c>
      <c r="BE1" s="2" t="s">
        <v>242</v>
      </c>
      <c r="BR1" s="2" t="s">
        <v>243</v>
      </c>
      <c r="BY1" s="2" t="s">
        <v>246</v>
      </c>
    </row>
    <row r="2" spans="1:79">
      <c r="A2" s="40" t="s">
        <v>74</v>
      </c>
      <c r="B2" s="40" t="s">
        <v>69</v>
      </c>
      <c r="C2" s="39" t="s">
        <v>142</v>
      </c>
      <c r="D2" s="40" t="s">
        <v>77</v>
      </c>
      <c r="E2" s="40" t="s">
        <v>78</v>
      </c>
      <c r="N2" t="s">
        <v>49</v>
      </c>
      <c r="O2" t="s">
        <v>46</v>
      </c>
      <c r="P2" t="s">
        <v>38</v>
      </c>
      <c r="Q2" t="s">
        <v>25</v>
      </c>
      <c r="R2" t="s">
        <v>80</v>
      </c>
      <c r="U2" s="40"/>
      <c r="V2" s="39" t="s">
        <v>81</v>
      </c>
      <c r="AE2" s="39" t="s">
        <v>81</v>
      </c>
      <c r="BE2" s="88" t="s">
        <v>218</v>
      </c>
      <c r="BF2" s="88"/>
      <c r="BG2" s="88"/>
      <c r="BH2" s="88" t="s">
        <v>219</v>
      </c>
      <c r="BI2" s="88"/>
      <c r="BJ2" s="88"/>
      <c r="BK2" s="88" t="s">
        <v>225</v>
      </c>
      <c r="BL2" s="88"/>
      <c r="BM2" s="88"/>
      <c r="BN2" s="88" t="s">
        <v>226</v>
      </c>
      <c r="BO2" s="88"/>
      <c r="BP2" s="88"/>
      <c r="BQ2" s="76"/>
      <c r="BR2" s="88" t="s">
        <v>244</v>
      </c>
      <c r="BS2" s="88"/>
      <c r="BT2" s="88"/>
      <c r="BU2" s="88" t="s">
        <v>245</v>
      </c>
      <c r="BV2" s="88"/>
      <c r="BW2" s="88"/>
      <c r="BX2" s="76"/>
    </row>
    <row r="3" spans="1:79">
      <c r="A3" s="40"/>
      <c r="B3" s="40" t="s">
        <v>76</v>
      </c>
      <c r="C3" s="40"/>
      <c r="D3" s="40" t="s">
        <v>75</v>
      </c>
      <c r="E3" s="40" t="s">
        <v>75</v>
      </c>
      <c r="F3" s="40" t="s">
        <v>0</v>
      </c>
      <c r="G3" s="40" t="s">
        <v>79</v>
      </c>
      <c r="H3" s="40" t="s">
        <v>4</v>
      </c>
      <c r="I3" s="40" t="s">
        <v>79</v>
      </c>
      <c r="J3" s="40" t="s">
        <v>30</v>
      </c>
      <c r="K3" s="40" t="s">
        <v>79</v>
      </c>
      <c r="L3" s="40" t="s">
        <v>31</v>
      </c>
      <c r="M3" s="40" t="s">
        <v>79</v>
      </c>
      <c r="N3" s="40" t="s">
        <v>84</v>
      </c>
      <c r="O3" s="40" t="s">
        <v>83</v>
      </c>
      <c r="P3" s="40" t="s">
        <v>84</v>
      </c>
      <c r="Q3" s="40" t="s">
        <v>83</v>
      </c>
      <c r="R3" t="s">
        <v>25</v>
      </c>
      <c r="S3" t="s">
        <v>38</v>
      </c>
      <c r="T3" t="s">
        <v>46</v>
      </c>
      <c r="U3" t="s">
        <v>49</v>
      </c>
      <c r="V3" s="40" t="s">
        <v>0</v>
      </c>
      <c r="W3" s="40" t="s">
        <v>79</v>
      </c>
      <c r="X3" s="40" t="s">
        <v>4</v>
      </c>
      <c r="Y3" s="40" t="s">
        <v>79</v>
      </c>
      <c r="Z3" s="40" t="s">
        <v>30</v>
      </c>
      <c r="AA3" s="40" t="s">
        <v>79</v>
      </c>
      <c r="AB3" s="40" t="s">
        <v>31</v>
      </c>
      <c r="AC3" s="40" t="s">
        <v>79</v>
      </c>
      <c r="AD3" s="40" t="s">
        <v>29</v>
      </c>
      <c r="AE3" s="40" t="s">
        <v>0</v>
      </c>
      <c r="AF3" s="40" t="s">
        <v>79</v>
      </c>
      <c r="AG3" s="40" t="s">
        <v>4</v>
      </c>
      <c r="AH3" s="40" t="s">
        <v>79</v>
      </c>
      <c r="AI3" s="40" t="s">
        <v>30</v>
      </c>
      <c r="AJ3" s="40" t="s">
        <v>79</v>
      </c>
      <c r="AK3" s="40" t="s">
        <v>31</v>
      </c>
      <c r="AL3" s="40" t="s">
        <v>79</v>
      </c>
      <c r="AM3" s="40" t="s">
        <v>70</v>
      </c>
      <c r="AN3" s="40" t="s">
        <v>79</v>
      </c>
      <c r="AP3" s="40" t="s">
        <v>111</v>
      </c>
      <c r="AQ3" s="40" t="s">
        <v>79</v>
      </c>
      <c r="AT3" t="s">
        <v>27</v>
      </c>
      <c r="AU3" s="1" t="s">
        <v>28</v>
      </c>
      <c r="AV3" t="s">
        <v>29</v>
      </c>
      <c r="AW3" t="s">
        <v>30</v>
      </c>
      <c r="AX3" t="s">
        <v>31</v>
      </c>
      <c r="AY3" t="s">
        <v>32</v>
      </c>
      <c r="AZ3" t="s">
        <v>33</v>
      </c>
      <c r="BA3" t="s">
        <v>3</v>
      </c>
      <c r="BB3" t="s">
        <v>182</v>
      </c>
      <c r="BC3" t="s">
        <v>184</v>
      </c>
      <c r="BE3" t="s">
        <v>224</v>
      </c>
      <c r="BF3" t="s">
        <v>222</v>
      </c>
      <c r="BG3" t="s">
        <v>223</v>
      </c>
      <c r="BH3" t="s">
        <v>224</v>
      </c>
      <c r="BI3" t="s">
        <v>222</v>
      </c>
      <c r="BJ3" t="s">
        <v>223</v>
      </c>
      <c r="BK3" t="s">
        <v>224</v>
      </c>
      <c r="BL3" t="s">
        <v>222</v>
      </c>
      <c r="BM3" t="s">
        <v>223</v>
      </c>
      <c r="BN3" t="s">
        <v>224</v>
      </c>
      <c r="BO3" t="s">
        <v>222</v>
      </c>
      <c r="BP3" t="s">
        <v>223</v>
      </c>
      <c r="BR3" t="s">
        <v>224</v>
      </c>
      <c r="BS3" t="s">
        <v>222</v>
      </c>
      <c r="BT3" t="s">
        <v>223</v>
      </c>
      <c r="BU3" t="s">
        <v>224</v>
      </c>
      <c r="BV3" t="s">
        <v>222</v>
      </c>
      <c r="BW3" t="s">
        <v>223</v>
      </c>
      <c r="BY3" t="s">
        <v>31</v>
      </c>
      <c r="BZ3" t="s">
        <v>0</v>
      </c>
      <c r="CA3" t="s">
        <v>221</v>
      </c>
    </row>
    <row r="4" spans="1:79">
      <c r="A4" s="41" t="s">
        <v>116</v>
      </c>
      <c r="B4" s="41" t="s">
        <v>73</v>
      </c>
      <c r="C4" s="62">
        <v>44946</v>
      </c>
      <c r="D4" s="41"/>
      <c r="E4" s="41">
        <v>2.3879999999999998E-2</v>
      </c>
      <c r="F4" s="34" cm="1">
        <f t="array" ref="F4:I4">'U data'!E5:H5</f>
        <v>0.26453381306301033</v>
      </c>
      <c r="G4" s="34">
        <v>4.0047989970283249E-3</v>
      </c>
      <c r="H4" s="34">
        <v>686.30517451341689</v>
      </c>
      <c r="I4" s="47">
        <v>15.239937809983775</v>
      </c>
      <c r="J4" s="48" cm="1">
        <f t="array" ref="J4:M4">'Th data'!E5:H5</f>
        <v>0.17559133993643083</v>
      </c>
      <c r="K4" s="48">
        <v>5.5442564961718259E-3</v>
      </c>
      <c r="L4" s="48">
        <v>1.4524176758896128E-4</v>
      </c>
      <c r="M4" s="48">
        <v>6.7041249405463457E-6</v>
      </c>
      <c r="N4">
        <f>MAX(AB4*AY4*230*E4*1000,0.01)</f>
        <v>0.16527568042642199</v>
      </c>
      <c r="O4">
        <f>Z4*AY4*232*E4</f>
        <v>0.31807395611086225</v>
      </c>
      <c r="P4" s="38">
        <f>MAX(E$4*AZ$4*AD$4*234*1000,Q4/15)</f>
        <v>0.24690791130277173</v>
      </c>
      <c r="Q4" s="38">
        <f>E$4*AZ$4*BA$4*V$4*238</f>
        <v>3.5721306134521829</v>
      </c>
      <c r="R4">
        <f>(1-AT4/Constants!$C$19/F4)</f>
        <v>0.99932411336139171</v>
      </c>
      <c r="S4">
        <f t="shared" ref="S4:S23" si="0">(1-AV4*H4/F4/BA4)</f>
        <v>4.8216137306049567E-2</v>
      </c>
      <c r="T4" s="36">
        <f t="shared" ref="T4:T23" si="1">1-AW4/J4</f>
        <v>0.993193948438853</v>
      </c>
      <c r="U4">
        <f t="shared" ref="U4:U23" si="2">1-AX4/L4</f>
        <v>0.62934186698990602</v>
      </c>
      <c r="V4">
        <f>F4*R4</f>
        <v>0.26435501819330093</v>
      </c>
      <c r="W4">
        <f>SQRT((G4*R4)^2+(F4*(0.005*(1-R4)))^2)</f>
        <v>4.0020923067424627E-3</v>
      </c>
      <c r="X4">
        <f>H4*R4/S4</f>
        <v>14224.310538660769</v>
      </c>
      <c r="Y4">
        <f>SQRT((I4*R4/S4)^2+(H4*R4*(1-S4)*0.005/S4^2)^2)</f>
        <v>1439.0286804251346</v>
      </c>
      <c r="Z4">
        <f>J4*T4</f>
        <v>0.1743962562231326</v>
      </c>
      <c r="AA4">
        <f>SQRT((K4*T4)^2+(J4*(1-T4)*0.01)^2)</f>
        <v>5.5065349690614964E-3</v>
      </c>
      <c r="AB4">
        <f>L4*U4</f>
        <v>9.1406725179350907E-5</v>
      </c>
      <c r="AC4">
        <f>SQRT((M4*U4)^2+(L4*(1-U4)*0.005)^2)</f>
        <v>4.2277641930931207E-6</v>
      </c>
      <c r="AD4">
        <f>V4/X4*BA4</f>
        <v>1.8237133566278285E-5</v>
      </c>
      <c r="AP4" s="27"/>
      <c r="AQ4" s="1"/>
      <c r="AR4" s="1"/>
      <c r="AS4" t="str">
        <f t="shared" ref="AS4:AS23" si="3">B4</f>
        <v>Calcite</v>
      </c>
      <c r="AT4">
        <f>IF($AS4="Calcite",Constants!B$14*1,IF($AS4="Aragonite",Constants!B$13*1,"Spike ID Error"))</f>
        <v>1.7545077788293085E-4</v>
      </c>
      <c r="AU4">
        <f>IF($AS4="Calcite",Constants!C$14*1,IF($AS4="Aragonite",Constants!C$13*1,"Spike ID Error"))</f>
        <v>4.3055569043463493E-5</v>
      </c>
      <c r="AV4">
        <f>IF($AS4="Calcite",Constants!D$14*1,IF($AS4="Aragonite",Constants!D$13*1,"Spike ID Error"))</f>
        <v>3.6000000000000002E-4</v>
      </c>
      <c r="AW4">
        <f>IF($AS4="Calcite",Constants!E$14*1,IF($AS4="Aragonite",Constants!E$13*1,"Spike ID Error"))</f>
        <v>1.1950837132982323E-3</v>
      </c>
      <c r="AX4">
        <f>IF($AS4="Calcite",Constants!F$14*1,IF($AS4="Aragonite",Constants!F$13*1,"Spike ID Error"))</f>
        <v>5.3835042409610378E-5</v>
      </c>
      <c r="AY4">
        <f>IF($AS4="Calcite",Constants!G$14*1,IF($AS4="Aragonite",Constants!G$13*1,"Spike ID Error"))</f>
        <v>0.32920668495576472</v>
      </c>
      <c r="AZ4">
        <f>IF($AS4="Calcite",Constants!H$14*1,IF($AS4="Aragonite",Constants!H$13*1,"Spike ID Error"))</f>
        <v>2.4228595919861906</v>
      </c>
      <c r="BA4">
        <f>IF($AS4="Calcite",Constants!I$14*1,IF($AS4="Aragonite",Constants!I$13*1,"Spike ID Error"))</f>
        <v>0.98129648892116261</v>
      </c>
      <c r="BB4">
        <f>IF($AS4="Calcite",Constants!J$14*1,IF($AS4="Aragonite",Constants!J$13*1,"Spike ID Error"))</f>
        <v>7.3596913510785749</v>
      </c>
      <c r="BC4">
        <f>IF($AS4="Calcite",Constants!K$14*1,IF($AS4="Aragonite",Constants!K$13*1,"Spike ID Error"))</f>
        <v>5.6732610254575369E-3</v>
      </c>
      <c r="BE4">
        <f>$G4/$F4</f>
        <v>1.5139081657112795E-2</v>
      </c>
      <c r="BF4" s="1">
        <f>$W4/$V4</f>
        <v>1.5139082034811475E-2</v>
      </c>
      <c r="BH4">
        <f>$I4/$H4</f>
        <v>2.2205774305561268E-2</v>
      </c>
      <c r="BI4" s="1">
        <f>$Y4/$X4</f>
        <v>0.10116684928341141</v>
      </c>
      <c r="BK4">
        <f>$K4/$J4</f>
        <v>3.157477184341214E-2</v>
      </c>
      <c r="BL4" s="1">
        <f>$AA4/$Z4</f>
        <v>3.1574846205506379E-2</v>
      </c>
      <c r="BN4">
        <f>$M4/$L4</f>
        <v>4.615838165450608E-2</v>
      </c>
      <c r="BO4" s="1">
        <f>$AC4/$AB4</f>
        <v>4.6252222522989883E-2</v>
      </c>
      <c r="BR4" s="77">
        <f>$BE4/$BF4</f>
        <v>0.99999997505141469</v>
      </c>
      <c r="BS4" s="77">
        <f>$BF4/$BF4-$BR4</f>
        <v>2.4948585308770532E-8</v>
      </c>
      <c r="BT4" s="77"/>
      <c r="BU4" s="77">
        <f>$BN4/$BO4</f>
        <v>0.99797110574660153</v>
      </c>
      <c r="BV4" s="77">
        <f>$BO4/$BO4-$BU4</f>
        <v>2.0288942533984722E-3</v>
      </c>
      <c r="BW4" s="77"/>
    </row>
    <row r="5" spans="1:79">
      <c r="A5" s="65" t="s">
        <v>348</v>
      </c>
      <c r="B5" s="41" t="s">
        <v>73</v>
      </c>
      <c r="C5" s="62">
        <v>44946</v>
      </c>
      <c r="D5" s="41">
        <v>0.20324</v>
      </c>
      <c r="E5" s="41">
        <v>9.8750000000000004E-2</v>
      </c>
      <c r="F5" s="34" cm="1">
        <f t="array" ref="F5:I5">'U data'!E7:H7</f>
        <v>594.33608341511331</v>
      </c>
      <c r="G5" s="34">
        <v>3.5310425980693041</v>
      </c>
      <c r="H5" s="34">
        <v>17930.042748764648</v>
      </c>
      <c r="I5" s="34">
        <v>70.918886748000986</v>
      </c>
      <c r="J5" s="48" cm="1">
        <f t="array" ref="J5:M5">'Th data'!E7:H7</f>
        <v>131.00356701054517</v>
      </c>
      <c r="K5" s="48">
        <v>0.15089266379281691</v>
      </c>
      <c r="L5" s="48">
        <v>1.6467467911480283E-2</v>
      </c>
      <c r="M5" s="48">
        <v>4.6824193831475831E-5</v>
      </c>
      <c r="N5">
        <f>N$4</f>
        <v>0.16527568042642199</v>
      </c>
      <c r="O5">
        <f>O$4</f>
        <v>0.31807395611086225</v>
      </c>
      <c r="P5">
        <f>P$4</f>
        <v>0.24690791130277173</v>
      </c>
      <c r="Q5">
        <f>Q$4</f>
        <v>3.5721306134521829</v>
      </c>
      <c r="R5">
        <f>(1-AT5/Constants!$C$19/F5)</f>
        <v>0.99999969916874532</v>
      </c>
      <c r="S5">
        <f t="shared" si="0"/>
        <v>0.98893245025090304</v>
      </c>
      <c r="T5" s="36">
        <f t="shared" si="1"/>
        <v>0.99999087747196069</v>
      </c>
      <c r="U5">
        <f t="shared" si="2"/>
        <v>0.99673082451418782</v>
      </c>
      <c r="V5">
        <f>F5*R5</f>
        <v>594.33590462024358</v>
      </c>
      <c r="W5">
        <f t="shared" ref="W5:W23" si="4">SQRT((G5*R5)^2+(F5*(0.005*(1-R5)))^2)</f>
        <v>3.5310415358214424</v>
      </c>
      <c r="X5">
        <f>H5*R5/S5</f>
        <v>18130.699776610974</v>
      </c>
      <c r="Y5">
        <f t="shared" ref="Y5:Y23" si="5">SQRT((I5*R5/S5)^2+(H5*R5*(1-S5)*0.005/S5^2)^2)</f>
        <v>71.719723759330563</v>
      </c>
      <c r="Z5">
        <f>J5*T5</f>
        <v>131.00237192683187</v>
      </c>
      <c r="AA5">
        <f t="shared" ref="AA5:AA23" si="6">SQRT((K5*T5)^2+(J5*(1-T5)*0.01)^2)</f>
        <v>0.15089128774352345</v>
      </c>
      <c r="AB5">
        <f>L5*U5</f>
        <v>1.6413632869070674E-2</v>
      </c>
      <c r="AC5">
        <f t="shared" ref="AC5:AC23" si="7">SQRT((M5*U5)^2+(L5*(1-U5)*0.005)^2)</f>
        <v>4.6671893551103532E-5</v>
      </c>
      <c r="AD5">
        <f t="shared" ref="AD5:AD23" si="8">V5/X5*BA5</f>
        <v>3.2167524895867237E-2</v>
      </c>
      <c r="AE5">
        <f t="shared" ref="AE5:AE23" si="9">V5*(1-Q5/(AZ5*E5*238*V5/BA5))</f>
        <v>594.27434651171393</v>
      </c>
      <c r="AF5">
        <f>SQRT(W5^2+((V5-AE5)/4)^2)</f>
        <v>3.5310750721616793</v>
      </c>
      <c r="AG5">
        <f t="shared" ref="AG5:AG23" si="10">X5*(AE5/V5)/(1-P5/(AZ5*AD5*E5*1000*234))</f>
        <v>18131.30769130636</v>
      </c>
      <c r="AH5">
        <f>SQRT(Y5^2+((AG5-X5)/4)^2)</f>
        <v>71.719884785406549</v>
      </c>
      <c r="AI5">
        <f t="shared" ref="AI5:AI23" si="11">Z5*(1-O5/(Z5*E5*AY5*229))</f>
        <v>130.95964645392812</v>
      </c>
      <c r="AJ5">
        <f>SQRT(AA5^2+((AI5-Z5)/4)^2)</f>
        <v>0.15126887433995428</v>
      </c>
      <c r="AK5">
        <f t="shared" ref="AK5:AK23" si="12">AB5*(1-N5/(AB5*AY5*230*E5*1000))</f>
        <v>1.6391528640237428E-2</v>
      </c>
      <c r="AL5">
        <f>SQRT(AC5^2+((AK5-AB5)/4)^2)</f>
        <v>4.699790373958259E-5</v>
      </c>
      <c r="AM5">
        <f>(1/AG5*(Constants!D$5/Constants!D$2)-1)*1000</f>
        <v>3.3568158472849774</v>
      </c>
      <c r="AN5">
        <f>AH5/AG5*1000</f>
        <v>3.9555825760871599</v>
      </c>
      <c r="AP5" s="27">
        <f t="shared" ref="AP5:AP23" si="13">AK5/(AE5*BA5)/BB5</f>
        <v>3.8192019851148235E-6</v>
      </c>
      <c r="AQ5" s="1">
        <f t="shared" ref="AQ5:AQ23" si="14">AP5*SQRT((AL5/AK5)^2+(AF5/AE5)^2+(BC5/BB5)^2)</f>
        <v>2.536835639345371E-8</v>
      </c>
      <c r="AS5" t="str">
        <f t="shared" si="3"/>
        <v>Calcite</v>
      </c>
      <c r="AT5">
        <f>IF($AS5="Calcite",Constants!B$14*1,IF($AS5="Aragonite",Constants!B$13*1,"Spike ID Error"))</f>
        <v>1.7545077788293085E-4</v>
      </c>
      <c r="AU5">
        <f>IF($AS5="Calcite",Constants!C$14*1,IF($AS5="Aragonite",Constants!C$13*1,"Spike ID Error"))</f>
        <v>4.3055569043463493E-5</v>
      </c>
      <c r="AV5">
        <f>IF($AS5="Calcite",Constants!D$14*1,IF($AS5="Aragonite",Constants!D$13*1,"Spike ID Error"))</f>
        <v>3.6000000000000002E-4</v>
      </c>
      <c r="AW5">
        <f>IF($AS5="Calcite",Constants!E$14*1,IF($AS5="Aragonite",Constants!E$13*1,"Spike ID Error"))</f>
        <v>1.1950837132982323E-3</v>
      </c>
      <c r="AX5">
        <f>IF($AS5="Calcite",Constants!F$14*1,IF($AS5="Aragonite",Constants!F$13*1,"Spike ID Error"))</f>
        <v>5.3835042409610378E-5</v>
      </c>
      <c r="AY5">
        <f>IF($AS5="Calcite",Constants!G$14*1,IF($AS5="Aragonite",Constants!G$13*1,"Spike ID Error"))</f>
        <v>0.32920668495576472</v>
      </c>
      <c r="AZ5">
        <f>IF($AS5="Calcite",Constants!H$14*1,IF($AS5="Aragonite",Constants!H$13*1,"Spike ID Error"))</f>
        <v>2.4228595919861906</v>
      </c>
      <c r="BA5">
        <f>IF($AS5="Calcite",Constants!I$14*1,IF($AS5="Aragonite",Constants!I$13*1,"Spike ID Error"))</f>
        <v>0.98129648892116261</v>
      </c>
      <c r="BB5">
        <f>IF($AS5="Calcite",Constants!J$14*1,IF($AS5="Aragonite",Constants!J$13*1,"Spike ID Error"))</f>
        <v>7.3596913510785749</v>
      </c>
      <c r="BC5">
        <f>IF($AS5="Calcite",Constants!K$14*1,IF($AS5="Aragonite",Constants!K$13*1,"Spike ID Error"))</f>
        <v>5.6732610254575369E-3</v>
      </c>
      <c r="BE5">
        <f t="shared" ref="BE5:BE23" si="15">$G5/$F5</f>
        <v>5.94115467090537E-3</v>
      </c>
      <c r="BF5" s="1">
        <f t="shared" ref="BF5:BF23" si="16">$W5/$V5</f>
        <v>5.9411546709055617E-3</v>
      </c>
      <c r="BG5" s="1">
        <f>$AF5/$AE5</f>
        <v>5.9418265198362841E-3</v>
      </c>
      <c r="BH5">
        <f t="shared" ref="BH5:BH23" si="17">$I5/$H5</f>
        <v>3.9553105222176442E-3</v>
      </c>
      <c r="BI5" s="1">
        <f t="shared" ref="BI5:BI23" si="18">$Y5/$X5</f>
        <v>3.9557063236936212E-3</v>
      </c>
      <c r="BJ5" s="1">
        <f>$AH5/$AG5</f>
        <v>3.9555825760871598E-3</v>
      </c>
      <c r="BK5">
        <f t="shared" ref="BK5:BK23" si="19">$K5/$J5</f>
        <v>1.1518210323286141E-3</v>
      </c>
      <c r="BL5" s="1">
        <f t="shared" ref="BL5:BL23" si="20">$AA5/$Z5</f>
        <v>1.1518210359412427E-3</v>
      </c>
      <c r="BM5" s="1">
        <f>$AJ5/$AI5</f>
        <v>1.1550800451585747E-3</v>
      </c>
      <c r="BN5">
        <f t="shared" ref="BN5:BN23" si="21">$M5/$L5</f>
        <v>2.8434361665786142E-3</v>
      </c>
      <c r="BO5" s="1">
        <f t="shared" ref="BO5:BO23" si="22">$AC5/$AB5</f>
        <v>2.843483458135009E-3</v>
      </c>
      <c r="BP5" s="1">
        <f>$AL5/$AK5</f>
        <v>2.8672068829635302E-3</v>
      </c>
      <c r="BQ5" s="1"/>
      <c r="BR5" s="77">
        <f>$BE5/$BG5</f>
        <v>0.99988692888816744</v>
      </c>
      <c r="BS5" s="77">
        <f>$BF5/$BG5-$BR5</f>
        <v>3.2307490016592055E-14</v>
      </c>
      <c r="BT5" s="77">
        <f>$BG5/$BG5-$BS5-$BR5</f>
        <v>1.1307111180025586E-4</v>
      </c>
      <c r="BU5" s="77">
        <f>$BN5/$BP5</f>
        <v>0.99170945196659588</v>
      </c>
      <c r="BV5" s="77">
        <f>$BO5/$BP5-$BU5</f>
        <v>1.6493946312645669E-5</v>
      </c>
      <c r="BW5" s="77">
        <f>$BP5/$BP5-$BV5-$BU5</f>
        <v>8.2740540870914758E-3</v>
      </c>
      <c r="BX5" s="1"/>
      <c r="BY5" s="75">
        <f>($AL5/$AK5)^2/(($AQ5/$AP5)^2)</f>
        <v>0.186328228589136</v>
      </c>
      <c r="BZ5" s="75">
        <f>($AF5/$AE5)^2/($AQ5/$AP5)^2</f>
        <v>0.80020365309527253</v>
      </c>
      <c r="CA5" s="75">
        <f>($BC5/$BB5)^2/($AQ5/$AP5)^2</f>
        <v>1.3468118315591452E-2</v>
      </c>
    </row>
    <row r="6" spans="1:79">
      <c r="A6" s="65" t="s">
        <v>349</v>
      </c>
      <c r="B6" s="41" t="s">
        <v>73</v>
      </c>
      <c r="C6" s="62">
        <v>44946</v>
      </c>
      <c r="D6" s="41">
        <v>0.21084</v>
      </c>
      <c r="E6" s="41">
        <v>8.4889999999999993E-2</v>
      </c>
      <c r="F6" s="34" cm="1">
        <f t="array" ref="F6:I6">'U data'!E9:H9</f>
        <v>791.8425946482389</v>
      </c>
      <c r="G6" s="34">
        <v>0.47239181037359995</v>
      </c>
      <c r="H6" s="34">
        <v>17946.148146389449</v>
      </c>
      <c r="I6" s="34">
        <v>24.699689382892636</v>
      </c>
      <c r="J6" s="48" cm="1">
        <f t="array" ref="J6:M6">'Th data'!E9:H9</f>
        <v>189.92281203805382</v>
      </c>
      <c r="K6" s="48">
        <v>0.24671848876312624</v>
      </c>
      <c r="L6" s="48">
        <v>2.1893220726090103E-2</v>
      </c>
      <c r="M6" s="48">
        <v>5.5602682855662132E-5</v>
      </c>
      <c r="N6">
        <f t="shared" ref="N6:Q21" si="23">N$4</f>
        <v>0.16527568042642199</v>
      </c>
      <c r="O6">
        <f t="shared" si="23"/>
        <v>0.31807395611086225</v>
      </c>
      <c r="P6">
        <f t="shared" si="23"/>
        <v>0.24690791130277173</v>
      </c>
      <c r="Q6">
        <f t="shared" si="23"/>
        <v>3.5721306134521829</v>
      </c>
      <c r="R6">
        <f>(1-AT6/Constants!$C$19/F6)</f>
        <v>0.9999997742040263</v>
      </c>
      <c r="S6">
        <f t="shared" si="0"/>
        <v>0.99168552857939374</v>
      </c>
      <c r="T6" s="36">
        <f t="shared" si="1"/>
        <v>0.99999370752938799</v>
      </c>
      <c r="U6">
        <f t="shared" si="2"/>
        <v>0.99754101769295844</v>
      </c>
      <c r="V6">
        <f t="shared" ref="V6:V13" si="24">F6*R6</f>
        <v>791.84241585336918</v>
      </c>
      <c r="W6">
        <f t="shared" si="4"/>
        <v>0.47239170371027706</v>
      </c>
      <c r="X6">
        <f t="shared" ref="X6:X13" si="25">H6*R6/S6</f>
        <v>18096.607822773825</v>
      </c>
      <c r="Y6">
        <f t="shared" si="5"/>
        <v>24.918321117807981</v>
      </c>
      <c r="Z6">
        <f t="shared" ref="Z6:Z13" si="26">J6*T6</f>
        <v>189.92161695434052</v>
      </c>
      <c r="AA6">
        <f t="shared" si="6"/>
        <v>0.24671693658373237</v>
      </c>
      <c r="AB6">
        <f t="shared" ref="AB6:AB13" si="27">L6*U6</f>
        <v>2.183938568368049E-2</v>
      </c>
      <c r="AC6">
        <f t="shared" si="7"/>
        <v>5.5466609989490302E-5</v>
      </c>
      <c r="AD6">
        <f t="shared" si="8"/>
        <v>4.2938001976143829E-2</v>
      </c>
      <c r="AE6">
        <f t="shared" si="9"/>
        <v>791.77080714542592</v>
      </c>
      <c r="AF6">
        <f t="shared" ref="AF6:AF23" si="28">SQRT(W6^2+((V6-AE6)/4)^2)</f>
        <v>0.4727308004299377</v>
      </c>
      <c r="AG6">
        <f t="shared" si="10"/>
        <v>18097.133523899647</v>
      </c>
      <c r="AH6">
        <f t="shared" ref="AH6:AH23" si="29">SQRT(Y6^2+((AG6-X6)/4)^2)</f>
        <v>24.918667699835012</v>
      </c>
      <c r="AI6">
        <f t="shared" si="11"/>
        <v>189.87191568859373</v>
      </c>
      <c r="AJ6">
        <f t="shared" ref="AJ6:AJ23" si="30">SQRT(AA6^2+((AI6-Z6)/4)^2)</f>
        <v>0.2470296243081252</v>
      </c>
      <c r="AK6">
        <f t="shared" si="12"/>
        <v>2.181367249487989E-2</v>
      </c>
      <c r="AL6">
        <f t="shared" ref="AL6:AL23" si="31">SQRT(AC6^2+((AK6-AB6)/4)^2)</f>
        <v>5.5837870917681689E-5</v>
      </c>
      <c r="AM6">
        <f>(1/AG6*(Constants!D$5/Constants!D$2)-1)*1000</f>
        <v>5.251529380129849</v>
      </c>
      <c r="AN6">
        <f t="shared" ref="AN6:AN13" si="32">AH6/AG6*1000</f>
        <v>1.3769400367702782</v>
      </c>
      <c r="AP6" s="27">
        <f t="shared" si="13"/>
        <v>3.8147796481111419E-6</v>
      </c>
      <c r="AQ6" s="1">
        <f t="shared" si="14"/>
        <v>1.0449355757623288E-8</v>
      </c>
      <c r="AS6" t="str">
        <f t="shared" si="3"/>
        <v>Calcite</v>
      </c>
      <c r="AT6">
        <f>IF($AS6="Calcite",Constants!B$14*1,IF($AS6="Aragonite",Constants!B$13*1,"Spike ID Error"))</f>
        <v>1.7545077788293085E-4</v>
      </c>
      <c r="AU6">
        <f>IF($AS6="Calcite",Constants!C$14*1,IF($AS6="Aragonite",Constants!C$13*1,"Spike ID Error"))</f>
        <v>4.3055569043463493E-5</v>
      </c>
      <c r="AV6">
        <f>IF($AS6="Calcite",Constants!D$14*1,IF($AS6="Aragonite",Constants!D$13*1,"Spike ID Error"))</f>
        <v>3.6000000000000002E-4</v>
      </c>
      <c r="AW6">
        <f>IF($AS6="Calcite",Constants!E$14*1,IF($AS6="Aragonite",Constants!E$13*1,"Spike ID Error"))</f>
        <v>1.1950837132982323E-3</v>
      </c>
      <c r="AX6">
        <f>IF($AS6="Calcite",Constants!F$14*1,IF($AS6="Aragonite",Constants!F$13*1,"Spike ID Error"))</f>
        <v>5.3835042409610378E-5</v>
      </c>
      <c r="AY6">
        <f>IF($AS6="Calcite",Constants!G$14*1,IF($AS6="Aragonite",Constants!G$13*1,"Spike ID Error"))</f>
        <v>0.32920668495576472</v>
      </c>
      <c r="AZ6">
        <f>IF($AS6="Calcite",Constants!H$14*1,IF($AS6="Aragonite",Constants!H$13*1,"Spike ID Error"))</f>
        <v>2.4228595919861906</v>
      </c>
      <c r="BA6">
        <f>IF($AS6="Calcite",Constants!I$14*1,IF($AS6="Aragonite",Constants!I$13*1,"Spike ID Error"))</f>
        <v>0.98129648892116261</v>
      </c>
      <c r="BB6">
        <f>IF($AS6="Calcite",Constants!J$14*1,IF($AS6="Aragonite",Constants!J$13*1,"Spike ID Error"))</f>
        <v>7.3596913510785749</v>
      </c>
      <c r="BC6">
        <f>IF($AS6="Calcite",Constants!K$14*1,IF($AS6="Aragonite",Constants!K$13*1,"Spike ID Error"))</f>
        <v>5.6732610254575369E-3</v>
      </c>
      <c r="BE6">
        <f t="shared" si="15"/>
        <v>5.9657287138418092E-4</v>
      </c>
      <c r="BF6" s="1">
        <f t="shared" si="16"/>
        <v>5.965728713852493E-4</v>
      </c>
      <c r="BG6" s="1">
        <f t="shared" ref="BG6:BG23" si="33">$AF6/$AE6</f>
        <v>5.9705510251669379E-4</v>
      </c>
      <c r="BH6">
        <f t="shared" si="17"/>
        <v>1.3763226059103897E-3</v>
      </c>
      <c r="BI6" s="1">
        <f t="shared" si="18"/>
        <v>1.3769608847051056E-3</v>
      </c>
      <c r="BJ6" s="1">
        <f t="shared" ref="BJ6:BJ23" si="34">$AH6/$AG6</f>
        <v>1.3769400367702781E-3</v>
      </c>
      <c r="BK6">
        <f t="shared" si="19"/>
        <v>1.2990461025487164E-3</v>
      </c>
      <c r="BL6" s="1">
        <f t="shared" si="20"/>
        <v>1.2990461040727455E-3</v>
      </c>
      <c r="BM6" s="1">
        <f t="shared" ref="BM6:BM23" si="35">$AJ6/$AI6</f>
        <v>1.301032980113157E-3</v>
      </c>
      <c r="BN6">
        <f t="shared" si="21"/>
        <v>2.5397214759453157E-3</v>
      </c>
      <c r="BO6" s="1">
        <f t="shared" si="22"/>
        <v>2.5397513827936013E-3</v>
      </c>
      <c r="BP6" s="1">
        <f t="shared" ref="BP6:BP23" si="36">$AL6/$AK6</f>
        <v>2.5597647957164467E-3</v>
      </c>
      <c r="BR6" s="77">
        <f>$BE6/$BG6</f>
        <v>0.99919231720744006</v>
      </c>
      <c r="BS6" s="77">
        <f>$BF6/$BG6-$BR6</f>
        <v>1.7893464487883648E-12</v>
      </c>
      <c r="BT6" s="77">
        <f>$BG6/$BG6-$BS6-$BR6</f>
        <v>8.0768279077059191E-4</v>
      </c>
      <c r="BU6" s="77">
        <f t="shared" ref="BU6:BU23" si="37">$BN6/$BP6</f>
        <v>0.99216985880707798</v>
      </c>
      <c r="BV6" s="77">
        <f t="shared" ref="BV6:BV23" si="38">$BO6/$BP6-$BU6</f>
        <v>1.1683436046849849E-5</v>
      </c>
      <c r="BW6" s="77">
        <f t="shared" ref="BW6:BW23" si="39">$BP6/$BP6-$BV6-$BU6</f>
        <v>7.8184577568751745E-3</v>
      </c>
      <c r="BY6" s="75">
        <f t="shared" ref="BY6:BY23" si="40">($AL6/$AK6)^2/(($AQ6/$AP6)^2)</f>
        <v>0.87329305656400447</v>
      </c>
      <c r="BZ6" s="75">
        <f t="shared" ref="BZ6:BZ23" si="41">($AF6/$AE6)^2/($AQ6/$AP6)^2</f>
        <v>4.7510402722131556E-2</v>
      </c>
      <c r="CA6" s="75">
        <f t="shared" ref="CA6:CA23" si="42">($BC6/$BB6)^2/($AQ6/$AP6)^2</f>
        <v>7.9196540713864186E-2</v>
      </c>
    </row>
    <row r="7" spans="1:79">
      <c r="A7" s="65" t="s">
        <v>350</v>
      </c>
      <c r="B7" s="41" t="s">
        <v>73</v>
      </c>
      <c r="C7" s="62">
        <v>44946</v>
      </c>
      <c r="D7" s="41">
        <v>0.20265</v>
      </c>
      <c r="E7" s="41">
        <v>7.5550000000000006E-2</v>
      </c>
      <c r="F7" s="34" cm="1">
        <f t="array" ref="F7:I7">'U data'!E11:H11</f>
        <v>894.10786290430906</v>
      </c>
      <c r="G7" s="34">
        <v>1.0100569442584586</v>
      </c>
      <c r="H7" s="34">
        <v>17974.827622480036</v>
      </c>
      <c r="I7" s="34">
        <v>27.627373240474238</v>
      </c>
      <c r="J7" s="48" cm="1">
        <f t="array" ref="J7:M7">'Th data'!E11:H11</f>
        <v>178.5850197293307</v>
      </c>
      <c r="K7" s="48">
        <v>0.14749186904282377</v>
      </c>
      <c r="L7" s="48">
        <v>4.3111339316415295E-2</v>
      </c>
      <c r="M7" s="48">
        <v>7.9892675738006647E-5</v>
      </c>
      <c r="N7">
        <f t="shared" si="23"/>
        <v>0.16527568042642199</v>
      </c>
      <c r="O7">
        <f t="shared" si="23"/>
        <v>0.31807395611086225</v>
      </c>
      <c r="P7">
        <f t="shared" si="23"/>
        <v>0.24690791130277173</v>
      </c>
      <c r="Q7">
        <f t="shared" si="23"/>
        <v>3.5721306134521829</v>
      </c>
      <c r="R7">
        <f>(1-AT7/Constants!$C$19/F7)</f>
        <v>0.99999980002986533</v>
      </c>
      <c r="S7">
        <f t="shared" si="0"/>
        <v>0.99262474440176918</v>
      </c>
      <c r="T7" s="36">
        <f t="shared" si="1"/>
        <v>0.99999330804053377</v>
      </c>
      <c r="U7">
        <f t="shared" si="2"/>
        <v>0.99875125562640288</v>
      </c>
      <c r="V7">
        <f t="shared" si="24"/>
        <v>894.10768410943933</v>
      </c>
      <c r="W7">
        <f t="shared" si="4"/>
        <v>1.0100567422776312</v>
      </c>
      <c r="X7">
        <f t="shared" si="25"/>
        <v>18108.377943856642</v>
      </c>
      <c r="Y7">
        <f t="shared" si="5"/>
        <v>27.840769518686788</v>
      </c>
      <c r="Z7">
        <f t="shared" si="26"/>
        <v>178.5838246456174</v>
      </c>
      <c r="AA7">
        <f t="shared" si="6"/>
        <v>0.14749088251738854</v>
      </c>
      <c r="AB7">
        <f t="shared" si="27"/>
        <v>4.3057504274005683E-2</v>
      </c>
      <c r="AC7">
        <f t="shared" si="7"/>
        <v>7.9793364228276513E-5</v>
      </c>
      <c r="AD7">
        <f t="shared" si="8"/>
        <v>4.8451867630235873E-2</v>
      </c>
      <c r="AE7">
        <f t="shared" si="9"/>
        <v>894.02722265057366</v>
      </c>
      <c r="AF7">
        <f t="shared" si="28"/>
        <v>1.0102570220088429</v>
      </c>
      <c r="AG7">
        <f t="shared" si="10"/>
        <v>18108.902814660043</v>
      </c>
      <c r="AH7">
        <f t="shared" si="29"/>
        <v>27.841078741271069</v>
      </c>
      <c r="AI7">
        <f t="shared" si="11"/>
        <v>178.52797897454863</v>
      </c>
      <c r="AJ7">
        <f t="shared" si="30"/>
        <v>0.14815019949979197</v>
      </c>
      <c r="AK7">
        <f t="shared" si="12"/>
        <v>4.3028612247569112E-2</v>
      </c>
      <c r="AL7">
        <f t="shared" si="31"/>
        <v>8.0119615571607166E-5</v>
      </c>
      <c r="AM7">
        <f>(1/AG7*(Constants!D$5/Constants!D$2)-1)*1000</f>
        <v>4.5981989350059038</v>
      </c>
      <c r="AN7">
        <f t="shared" si="32"/>
        <v>1.537424935470544</v>
      </c>
      <c r="AP7" s="27">
        <f t="shared" si="13"/>
        <v>6.6641804797627884E-6</v>
      </c>
      <c r="AQ7" s="1">
        <f t="shared" si="14"/>
        <v>1.5397297224537606E-8</v>
      </c>
      <c r="AS7" t="str">
        <f t="shared" si="3"/>
        <v>Calcite</v>
      </c>
      <c r="AT7">
        <f>IF($AS7="Calcite",Constants!B$14*1,IF($AS7="Aragonite",Constants!B$13*1,"Spike ID Error"))</f>
        <v>1.7545077788293085E-4</v>
      </c>
      <c r="AU7">
        <f>IF($AS7="Calcite",Constants!C$14*1,IF($AS7="Aragonite",Constants!C$13*1,"Spike ID Error"))</f>
        <v>4.3055569043463493E-5</v>
      </c>
      <c r="AV7">
        <f>IF($AS7="Calcite",Constants!D$14*1,IF($AS7="Aragonite",Constants!D$13*1,"Spike ID Error"))</f>
        <v>3.6000000000000002E-4</v>
      </c>
      <c r="AW7">
        <f>IF($AS7="Calcite",Constants!E$14*1,IF($AS7="Aragonite",Constants!E$13*1,"Spike ID Error"))</f>
        <v>1.1950837132982323E-3</v>
      </c>
      <c r="AX7">
        <f>IF($AS7="Calcite",Constants!F$14*1,IF($AS7="Aragonite",Constants!F$13*1,"Spike ID Error"))</f>
        <v>5.3835042409610378E-5</v>
      </c>
      <c r="AY7">
        <f>IF($AS7="Calcite",Constants!G$14*1,IF($AS7="Aragonite",Constants!G$13*1,"Spike ID Error"))</f>
        <v>0.32920668495576472</v>
      </c>
      <c r="AZ7">
        <f>IF($AS7="Calcite",Constants!H$14*1,IF($AS7="Aragonite",Constants!H$13*1,"Spike ID Error"))</f>
        <v>2.4228595919861906</v>
      </c>
      <c r="BA7">
        <f>IF($AS7="Calcite",Constants!I$14*1,IF($AS7="Aragonite",Constants!I$13*1,"Spike ID Error"))</f>
        <v>0.98129648892116261</v>
      </c>
      <c r="BB7">
        <f>IF($AS7="Calcite",Constants!J$14*1,IF($AS7="Aragonite",Constants!J$13*1,"Spike ID Error"))</f>
        <v>7.3596913510785749</v>
      </c>
      <c r="BC7">
        <f>IF($AS7="Calcite",Constants!K$14*1,IF($AS7="Aragonite",Constants!K$13*1,"Spike ID Error"))</f>
        <v>5.6732610254575369E-3</v>
      </c>
      <c r="BE7">
        <f t="shared" si="15"/>
        <v>1.1296813126970106E-3</v>
      </c>
      <c r="BF7" s="1">
        <f t="shared" si="16"/>
        <v>1.1296813126974532E-3</v>
      </c>
      <c r="BG7" s="1">
        <f t="shared" si="33"/>
        <v>1.1300070024866538E-3</v>
      </c>
      <c r="BH7">
        <f t="shared" si="17"/>
        <v>1.537003515178212E-3</v>
      </c>
      <c r="BI7" s="1">
        <f t="shared" si="18"/>
        <v>1.5374524214705773E-3</v>
      </c>
      <c r="BJ7" s="1">
        <f t="shared" si="34"/>
        <v>1.537424935470544E-3</v>
      </c>
      <c r="BK7">
        <f t="shared" si="19"/>
        <v>8.258916076296168E-4</v>
      </c>
      <c r="BL7" s="1">
        <f t="shared" si="20"/>
        <v>8.25891610340803E-4</v>
      </c>
      <c r="BM7" s="1">
        <f t="shared" si="35"/>
        <v>8.2984303273221172E-4</v>
      </c>
      <c r="BN7">
        <f t="shared" si="21"/>
        <v>1.8531708131736538E-3</v>
      </c>
      <c r="BO7" s="1">
        <f t="shared" si="22"/>
        <v>1.853181357667511E-3</v>
      </c>
      <c r="BP7" s="1">
        <f t="shared" si="36"/>
        <v>1.8620078916473421E-3</v>
      </c>
      <c r="BR7" s="77">
        <f t="shared" ref="BR7:BR23" si="43">$BE7/$BG7</f>
        <v>0.99971178073328171</v>
      </c>
      <c r="BS7" s="77">
        <f t="shared" ref="BS7:BS23" si="44">$BF7/$BG7-$BR7</f>
        <v>3.9168668308775523E-13</v>
      </c>
      <c r="BT7" s="77">
        <f t="shared" ref="BT7:BT23" si="45">$BG7/$BG7-$BS7-$BR7</f>
        <v>2.8821926632660588E-4</v>
      </c>
      <c r="BU7" s="77">
        <f t="shared" si="37"/>
        <v>0.99525400589689761</v>
      </c>
      <c r="BV7" s="77">
        <f t="shared" si="38"/>
        <v>5.662969477571167E-6</v>
      </c>
      <c r="BW7" s="77">
        <f t="shared" si="39"/>
        <v>4.7403311336248199E-3</v>
      </c>
      <c r="BY7" s="75">
        <f t="shared" si="40"/>
        <v>0.64948264133673106</v>
      </c>
      <c r="BZ7" s="75">
        <f t="shared" si="41"/>
        <v>0.23920308867914297</v>
      </c>
      <c r="CA7" s="75">
        <f t="shared" si="42"/>
        <v>0.11131426998412615</v>
      </c>
    </row>
    <row r="8" spans="1:79">
      <c r="A8" s="65" t="s">
        <v>351</v>
      </c>
      <c r="B8" s="41" t="s">
        <v>73</v>
      </c>
      <c r="C8" s="62">
        <v>44946</v>
      </c>
      <c r="D8" s="41">
        <v>0.21228</v>
      </c>
      <c r="E8" s="41">
        <v>8.1909999999999997E-2</v>
      </c>
      <c r="F8" s="34" cm="1">
        <f t="array" ref="F8:I8">'U data'!E13:H13</f>
        <v>770.83862663977402</v>
      </c>
      <c r="G8" s="34">
        <v>0.34274611691448253</v>
      </c>
      <c r="H8" s="34">
        <v>17919.828950137056</v>
      </c>
      <c r="I8" s="34">
        <v>25.489452672861926</v>
      </c>
      <c r="J8" s="48" cm="1">
        <f t="array" ref="J8:M8">'Th data'!E13:H13</f>
        <v>89.608900355678855</v>
      </c>
      <c r="K8" s="48">
        <v>6.694845856710363E-2</v>
      </c>
      <c r="L8" s="48">
        <v>3.7447838171845452E-2</v>
      </c>
      <c r="M8" s="48">
        <v>7.5777477789578968E-5</v>
      </c>
      <c r="N8">
        <f t="shared" si="23"/>
        <v>0.16527568042642199</v>
      </c>
      <c r="O8">
        <f t="shared" si="23"/>
        <v>0.31807395611086225</v>
      </c>
      <c r="P8">
        <f t="shared" si="23"/>
        <v>0.24690791130277173</v>
      </c>
      <c r="Q8">
        <f t="shared" si="23"/>
        <v>3.5721306134521829</v>
      </c>
      <c r="R8">
        <f>(1-AT8/Constants!$C$19/F8)</f>
        <v>0.99999976805149149</v>
      </c>
      <c r="S8">
        <f t="shared" si="0"/>
        <v>0.99147150013871088</v>
      </c>
      <c r="T8" s="36">
        <f t="shared" si="1"/>
        <v>0.99998666333691677</v>
      </c>
      <c r="U8">
        <f t="shared" si="2"/>
        <v>0.99856239919210921</v>
      </c>
      <c r="V8">
        <f t="shared" si="24"/>
        <v>770.83844784490429</v>
      </c>
      <c r="W8">
        <f t="shared" si="4"/>
        <v>0.34274603741619775</v>
      </c>
      <c r="X8">
        <f t="shared" si="25"/>
        <v>18073.968632635839</v>
      </c>
      <c r="Y8">
        <f t="shared" si="5"/>
        <v>25.720453018004054</v>
      </c>
      <c r="Z8">
        <f t="shared" si="26"/>
        <v>89.607705271965557</v>
      </c>
      <c r="AA8">
        <f t="shared" si="6"/>
        <v>6.6947566764742172E-2</v>
      </c>
      <c r="AB8">
        <f t="shared" si="27"/>
        <v>3.7394003129435846E-2</v>
      </c>
      <c r="AC8">
        <f t="shared" si="7"/>
        <v>7.56690187924017E-5</v>
      </c>
      <c r="AD8">
        <f t="shared" si="8"/>
        <v>4.1851409492311913E-2</v>
      </c>
      <c r="AE8">
        <f t="shared" si="9"/>
        <v>770.76423391232834</v>
      </c>
      <c r="AF8">
        <f t="shared" si="28"/>
        <v>0.34324783743132298</v>
      </c>
      <c r="AG8">
        <f t="shared" si="10"/>
        <v>18074.524732654627</v>
      </c>
      <c r="AH8">
        <f t="shared" si="29"/>
        <v>25.720828746432044</v>
      </c>
      <c r="AI8">
        <f t="shared" si="11"/>
        <v>89.556195804876737</v>
      </c>
      <c r="AJ8">
        <f t="shared" si="30"/>
        <v>6.8174799381483353E-2</v>
      </c>
      <c r="AK8">
        <f t="shared" si="12"/>
        <v>3.7367354458977015E-2</v>
      </c>
      <c r="AL8">
        <f t="shared" si="31"/>
        <v>7.5961733012953992E-5</v>
      </c>
      <c r="AM8">
        <f>(1/AG8*(Constants!D$5/Constants!D$2)-1)*1000</f>
        <v>6.5089633825536897</v>
      </c>
      <c r="AN8">
        <f t="shared" si="32"/>
        <v>1.4230431575311688</v>
      </c>
      <c r="AP8" s="27">
        <f t="shared" si="13"/>
        <v>6.7129119631292479E-6</v>
      </c>
      <c r="AQ8" s="1">
        <f t="shared" si="14"/>
        <v>1.4897473070848778E-8</v>
      </c>
      <c r="AS8" t="str">
        <f t="shared" si="3"/>
        <v>Calcite</v>
      </c>
      <c r="AT8">
        <f>IF($AS8="Calcite",Constants!B$14*1,IF($AS8="Aragonite",Constants!B$13*1,"Spike ID Error"))</f>
        <v>1.7545077788293085E-4</v>
      </c>
      <c r="AU8">
        <f>IF($AS8="Calcite",Constants!C$14*1,IF($AS8="Aragonite",Constants!C$13*1,"Spike ID Error"))</f>
        <v>4.3055569043463493E-5</v>
      </c>
      <c r="AV8">
        <f>IF($AS8="Calcite",Constants!D$14*1,IF($AS8="Aragonite",Constants!D$13*1,"Spike ID Error"))</f>
        <v>3.6000000000000002E-4</v>
      </c>
      <c r="AW8">
        <f>IF($AS8="Calcite",Constants!E$14*1,IF($AS8="Aragonite",Constants!E$13*1,"Spike ID Error"))</f>
        <v>1.1950837132982323E-3</v>
      </c>
      <c r="AX8">
        <f>IF($AS8="Calcite",Constants!F$14*1,IF($AS8="Aragonite",Constants!F$13*1,"Spike ID Error"))</f>
        <v>5.3835042409610378E-5</v>
      </c>
      <c r="AY8">
        <f>IF($AS8="Calcite",Constants!G$14*1,IF($AS8="Aragonite",Constants!G$13*1,"Spike ID Error"))</f>
        <v>0.32920668495576472</v>
      </c>
      <c r="AZ8">
        <f>IF($AS8="Calcite",Constants!H$14*1,IF($AS8="Aragonite",Constants!H$13*1,"Spike ID Error"))</f>
        <v>2.4228595919861906</v>
      </c>
      <c r="BA8">
        <f>IF($AS8="Calcite",Constants!I$14*1,IF($AS8="Aragonite",Constants!I$13*1,"Spike ID Error"))</f>
        <v>0.98129648892116261</v>
      </c>
      <c r="BB8">
        <f>IF($AS8="Calcite",Constants!J$14*1,IF($AS8="Aragonite",Constants!J$13*1,"Spike ID Error"))</f>
        <v>7.3596913510785749</v>
      </c>
      <c r="BC8">
        <f>IF($AS8="Calcite",Constants!K$14*1,IF($AS8="Aragonite",Constants!K$13*1,"Spike ID Error"))</f>
        <v>5.6732610254575369E-3</v>
      </c>
      <c r="BE8">
        <f t="shared" si="15"/>
        <v>4.4464055778908651E-4</v>
      </c>
      <c r="BF8" s="1">
        <f t="shared" si="16"/>
        <v>4.4464055779059892E-4</v>
      </c>
      <c r="BG8" s="1">
        <f t="shared" si="33"/>
        <v>4.4533441268937522E-4</v>
      </c>
      <c r="BH8">
        <f t="shared" si="17"/>
        <v>1.4224160701415051E-3</v>
      </c>
      <c r="BI8" s="1">
        <f t="shared" si="18"/>
        <v>1.4230661533605352E-3</v>
      </c>
      <c r="BJ8" s="1">
        <f t="shared" si="34"/>
        <v>1.4230431575311688E-3</v>
      </c>
      <c r="BK8">
        <f t="shared" si="19"/>
        <v>7.4711840343279982E-4</v>
      </c>
      <c r="BL8" s="1">
        <f t="shared" si="20"/>
        <v>7.4711841533662421E-4</v>
      </c>
      <c r="BM8" s="1">
        <f t="shared" si="35"/>
        <v>7.6125162272436459E-4</v>
      </c>
      <c r="BN8">
        <f t="shared" si="21"/>
        <v>2.0235474593177194E-3</v>
      </c>
      <c r="BO8" s="1">
        <f t="shared" si="22"/>
        <v>2.0235602626036174E-3</v>
      </c>
      <c r="BP8" s="1">
        <f t="shared" si="36"/>
        <v>2.0328367933123825E-3</v>
      </c>
      <c r="BR8" s="77">
        <f t="shared" si="43"/>
        <v>0.99844194636543238</v>
      </c>
      <c r="BS8" s="77">
        <f t="shared" si="44"/>
        <v>3.3961722323283539E-12</v>
      </c>
      <c r="BT8" s="77">
        <f t="shared" si="45"/>
        <v>1.5580536311714521E-3</v>
      </c>
      <c r="BU8" s="77">
        <f t="shared" si="37"/>
        <v>0.99543035917825617</v>
      </c>
      <c r="BV8" s="77">
        <f t="shared" si="38"/>
        <v>6.2982360119478997E-6</v>
      </c>
      <c r="BW8" s="77">
        <f t="shared" si="39"/>
        <v>4.5633425857318777E-3</v>
      </c>
      <c r="BY8" s="75">
        <f t="shared" si="40"/>
        <v>0.83907679452158013</v>
      </c>
      <c r="BZ8" s="75">
        <f t="shared" si="41"/>
        <v>4.0268847221947714E-2</v>
      </c>
      <c r="CA8" s="75">
        <f t="shared" si="42"/>
        <v>0.12065435825647254</v>
      </c>
    </row>
    <row r="9" spans="1:79">
      <c r="A9" s="65" t="s">
        <v>352</v>
      </c>
      <c r="B9" s="41" t="s">
        <v>73</v>
      </c>
      <c r="C9" s="62">
        <v>44946</v>
      </c>
      <c r="D9" s="41">
        <v>0.20121</v>
      </c>
      <c r="E9" s="41">
        <v>7.9969999999999999E-2</v>
      </c>
      <c r="F9" s="34" cm="1">
        <f t="array" ref="F9:I9">'U data'!E15:H15</f>
        <v>14245.72354661292</v>
      </c>
      <c r="G9" s="34">
        <v>34.55486307871476</v>
      </c>
      <c r="H9" s="34">
        <v>18174.206543014508</v>
      </c>
      <c r="I9" s="34">
        <v>21.014752231209144</v>
      </c>
      <c r="J9" s="48" cm="1">
        <f t="array" ref="J9:M9">'Th data'!E15:H15</f>
        <v>87.19597328271982</v>
      </c>
      <c r="K9" s="48">
        <v>0.1151975199252241</v>
      </c>
      <c r="L9" s="48">
        <v>0.9811037151692934</v>
      </c>
      <c r="M9" s="48">
        <v>1.4616862167927259E-3</v>
      </c>
      <c r="N9">
        <f t="shared" si="23"/>
        <v>0.16527568042642199</v>
      </c>
      <c r="O9">
        <f t="shared" si="23"/>
        <v>0.31807395611086225</v>
      </c>
      <c r="P9">
        <f t="shared" si="23"/>
        <v>0.24690791130277173</v>
      </c>
      <c r="Q9">
        <f t="shared" si="23"/>
        <v>3.5721306134521829</v>
      </c>
      <c r="R9">
        <f>(1-AT9/Constants!$C$19/F9)</f>
        <v>0.99999998744922514</v>
      </c>
      <c r="S9">
        <f t="shared" si="0"/>
        <v>0.99953197052650333</v>
      </c>
      <c r="T9" s="36">
        <f t="shared" si="1"/>
        <v>0.99998629427864261</v>
      </c>
      <c r="U9">
        <f t="shared" si="2"/>
        <v>0.99994512808220248</v>
      </c>
      <c r="V9">
        <f t="shared" si="24"/>
        <v>14245.723367818051</v>
      </c>
      <c r="W9">
        <f t="shared" si="4"/>
        <v>34.554862645024464</v>
      </c>
      <c r="X9">
        <f t="shared" si="25"/>
        <v>18182.716362079816</v>
      </c>
      <c r="Y9">
        <f t="shared" si="5"/>
        <v>21.024635193773193</v>
      </c>
      <c r="Z9">
        <f t="shared" si="26"/>
        <v>87.194778199006521</v>
      </c>
      <c r="AA9">
        <f t="shared" si="6"/>
        <v>0.11519594168002616</v>
      </c>
      <c r="AB9">
        <f t="shared" si="27"/>
        <v>0.98104988012688377</v>
      </c>
      <c r="AC9">
        <f t="shared" si="7"/>
        <v>1.461606036052984E-3</v>
      </c>
      <c r="AD9">
        <f t="shared" si="8"/>
        <v>0.76882232800682615</v>
      </c>
      <c r="AE9">
        <f t="shared" si="9"/>
        <v>14245.647353522474</v>
      </c>
      <c r="AF9">
        <f t="shared" si="28"/>
        <v>34.554867870566767</v>
      </c>
      <c r="AG9">
        <f t="shared" si="10"/>
        <v>18182.748134740908</v>
      </c>
      <c r="AH9">
        <f t="shared" si="29"/>
        <v>21.024636694248034</v>
      </c>
      <c r="AI9">
        <f t="shared" si="11"/>
        <v>87.142019158750855</v>
      </c>
      <c r="AJ9">
        <f t="shared" si="30"/>
        <v>0.11594858666707271</v>
      </c>
      <c r="AK9">
        <f t="shared" si="12"/>
        <v>0.98102258498373907</v>
      </c>
      <c r="AL9">
        <f t="shared" si="31"/>
        <v>1.4616219650371201E-3</v>
      </c>
      <c r="AM9">
        <f>(1/AG9*(Constants!D$5/Constants!D$2)-1)*1000</f>
        <v>0.51823945895312917</v>
      </c>
      <c r="AN9">
        <f t="shared" si="32"/>
        <v>1.1562958766434908</v>
      </c>
      <c r="AP9" s="27">
        <f t="shared" si="13"/>
        <v>9.5353572771750514E-6</v>
      </c>
      <c r="AQ9" s="1">
        <f t="shared" si="14"/>
        <v>2.8121639505714645E-8</v>
      </c>
      <c r="AS9" t="str">
        <f t="shared" si="3"/>
        <v>Calcite</v>
      </c>
      <c r="AT9">
        <f>IF($AS9="Calcite",Constants!B$14*1,IF($AS9="Aragonite",Constants!B$13*1,"Spike ID Error"))</f>
        <v>1.7545077788293085E-4</v>
      </c>
      <c r="AU9">
        <f>IF($AS9="Calcite",Constants!C$14*1,IF($AS9="Aragonite",Constants!C$13*1,"Spike ID Error"))</f>
        <v>4.3055569043463493E-5</v>
      </c>
      <c r="AV9">
        <f>IF($AS9="Calcite",Constants!D$14*1,IF($AS9="Aragonite",Constants!D$13*1,"Spike ID Error"))</f>
        <v>3.6000000000000002E-4</v>
      </c>
      <c r="AW9">
        <f>IF($AS9="Calcite",Constants!E$14*1,IF($AS9="Aragonite",Constants!E$13*1,"Spike ID Error"))</f>
        <v>1.1950837132982323E-3</v>
      </c>
      <c r="AX9">
        <f>IF($AS9="Calcite",Constants!F$14*1,IF($AS9="Aragonite",Constants!F$13*1,"Spike ID Error"))</f>
        <v>5.3835042409610378E-5</v>
      </c>
      <c r="AY9">
        <f>IF($AS9="Calcite",Constants!G$14*1,IF($AS9="Aragonite",Constants!G$13*1,"Spike ID Error"))</f>
        <v>0.32920668495576472</v>
      </c>
      <c r="AZ9">
        <f>IF($AS9="Calcite",Constants!H$14*1,IF($AS9="Aragonite",Constants!H$13*1,"Spike ID Error"))</f>
        <v>2.4228595919861906</v>
      </c>
      <c r="BA9">
        <f>IF($AS9="Calcite",Constants!I$14*1,IF($AS9="Aragonite",Constants!I$13*1,"Spike ID Error"))</f>
        <v>0.98129648892116261</v>
      </c>
      <c r="BB9">
        <f>IF($AS9="Calcite",Constants!J$14*1,IF($AS9="Aragonite",Constants!J$13*1,"Spike ID Error"))</f>
        <v>7.3596913510785749</v>
      </c>
      <c r="BC9">
        <f>IF($AS9="Calcite",Constants!K$14*1,IF($AS9="Aragonite",Constants!K$13*1,"Spike ID Error"))</f>
        <v>5.6732610254575369E-3</v>
      </c>
      <c r="BE9">
        <f t="shared" si="15"/>
        <v>2.4256306087682409E-3</v>
      </c>
      <c r="BF9" s="1">
        <f t="shared" si="16"/>
        <v>2.4256306087682418E-3</v>
      </c>
      <c r="BG9" s="1">
        <f t="shared" si="33"/>
        <v>2.4256439186684273E-3</v>
      </c>
      <c r="BH9">
        <f t="shared" si="17"/>
        <v>1.1562954443965223E-3</v>
      </c>
      <c r="BI9" s="1">
        <f t="shared" si="18"/>
        <v>1.1562978146444729E-3</v>
      </c>
      <c r="BJ9" s="1">
        <f t="shared" si="34"/>
        <v>1.1562958766434908E-3</v>
      </c>
      <c r="BK9">
        <f t="shared" si="19"/>
        <v>1.3211334834432489E-3</v>
      </c>
      <c r="BL9" s="1">
        <f t="shared" si="20"/>
        <v>1.3211334905527481E-3</v>
      </c>
      <c r="BM9" s="1">
        <f t="shared" si="35"/>
        <v>1.3305703469625087E-3</v>
      </c>
      <c r="BN9">
        <f t="shared" si="21"/>
        <v>1.4898386319335323E-3</v>
      </c>
      <c r="BO9" s="1">
        <f t="shared" si="22"/>
        <v>1.4898386571984982E-3</v>
      </c>
      <c r="BP9" s="1">
        <f t="shared" si="36"/>
        <v>1.4898963463326864E-3</v>
      </c>
      <c r="BR9" s="77">
        <f t="shared" si="43"/>
        <v>0.99999451283839158</v>
      </c>
      <c r="BS9" s="77">
        <f t="shared" si="44"/>
        <v>0</v>
      </c>
      <c r="BT9" s="77">
        <f t="shared" si="45"/>
        <v>5.4871616084195551E-6</v>
      </c>
      <c r="BU9" s="77">
        <f t="shared" si="37"/>
        <v>0.99996126280912345</v>
      </c>
      <c r="BV9" s="77">
        <f t="shared" si="38"/>
        <v>1.6957532600336833E-8</v>
      </c>
      <c r="BW9" s="77">
        <f t="shared" si="39"/>
        <v>3.8720233343947363E-5</v>
      </c>
      <c r="BY9" s="75">
        <f t="shared" si="40"/>
        <v>0.25521416621623039</v>
      </c>
      <c r="BZ9" s="75">
        <f t="shared" si="41"/>
        <v>0.67646722786059299</v>
      </c>
      <c r="CA9" s="75">
        <f t="shared" si="42"/>
        <v>6.8318605923176554E-2</v>
      </c>
    </row>
    <row r="10" spans="1:79">
      <c r="A10" s="65" t="s">
        <v>353</v>
      </c>
      <c r="B10" s="41" t="s">
        <v>73</v>
      </c>
      <c r="C10" s="62">
        <v>44946</v>
      </c>
      <c r="D10" s="41">
        <v>0.19899</v>
      </c>
      <c r="E10" s="41">
        <v>7.739E-2</v>
      </c>
      <c r="F10" s="34" cm="1">
        <f t="array" ref="F10:I10">'U data'!E17:H17</f>
        <v>10679.221660074725</v>
      </c>
      <c r="G10" s="34">
        <v>28.929737651470241</v>
      </c>
      <c r="H10" s="34">
        <v>18122.753735197046</v>
      </c>
      <c r="I10" s="34">
        <v>18.43539398080301</v>
      </c>
      <c r="J10" s="48" cm="1">
        <f t="array" ref="J10:M10">'Th data'!E17:H17</f>
        <v>181.60095302473422</v>
      </c>
      <c r="K10" s="48">
        <v>0.21246249278753515</v>
      </c>
      <c r="L10" s="48">
        <v>0.73995142762021937</v>
      </c>
      <c r="M10" s="48">
        <v>1.046237562756528E-3</v>
      </c>
      <c r="N10">
        <f t="shared" si="23"/>
        <v>0.16527568042642199</v>
      </c>
      <c r="O10">
        <f t="shared" si="23"/>
        <v>0.31807395611086225</v>
      </c>
      <c r="P10">
        <f t="shared" si="23"/>
        <v>0.24690791130277173</v>
      </c>
      <c r="Q10">
        <f t="shared" si="23"/>
        <v>3.5721306134521829</v>
      </c>
      <c r="R10">
        <f>(1-AT10/Constants!$C$19/F10)</f>
        <v>0.99999998325768713</v>
      </c>
      <c r="S10">
        <f t="shared" si="0"/>
        <v>0.99937743192871853</v>
      </c>
      <c r="T10" s="36">
        <f t="shared" si="1"/>
        <v>0.99999341917708362</v>
      </c>
      <c r="U10">
        <f t="shared" si="2"/>
        <v>0.99992724516718245</v>
      </c>
      <c r="V10">
        <f t="shared" si="24"/>
        <v>10679.221481279856</v>
      </c>
      <c r="W10">
        <f t="shared" si="4"/>
        <v>28.929737167119537</v>
      </c>
      <c r="X10">
        <f t="shared" si="25"/>
        <v>18134.043108022528</v>
      </c>
      <c r="Y10">
        <f t="shared" si="5"/>
        <v>18.446964584367311</v>
      </c>
      <c r="Z10">
        <f t="shared" si="26"/>
        <v>181.59975794102093</v>
      </c>
      <c r="AA10">
        <f t="shared" si="6"/>
        <v>0.21246109494560825</v>
      </c>
      <c r="AB10">
        <f t="shared" si="27"/>
        <v>0.73989759257780974</v>
      </c>
      <c r="AC10">
        <f t="shared" si="7"/>
        <v>1.0461614785466792E-3</v>
      </c>
      <c r="AD10">
        <f t="shared" si="8"/>
        <v>0.57789002053023908</v>
      </c>
      <c r="AE10">
        <f t="shared" si="9"/>
        <v>10679.142932847019</v>
      </c>
      <c r="AF10">
        <f t="shared" si="28"/>
        <v>28.929743831818428</v>
      </c>
      <c r="AG10">
        <f t="shared" si="10"/>
        <v>18134.086313560252</v>
      </c>
      <c r="AH10">
        <f t="shared" si="29"/>
        <v>18.446967746673366</v>
      </c>
      <c r="AI10">
        <f t="shared" si="11"/>
        <v>181.54524003884694</v>
      </c>
      <c r="AJ10">
        <f t="shared" si="30"/>
        <v>0.21289781461789956</v>
      </c>
      <c r="AK10">
        <f t="shared" si="12"/>
        <v>0.73986938747899489</v>
      </c>
      <c r="AL10">
        <f t="shared" si="31"/>
        <v>1.0461852415657186E-3</v>
      </c>
      <c r="AM10">
        <f>(1/AG10*(Constants!D$5/Constants!D$2)-1)*1000</f>
        <v>3.2030750119929063</v>
      </c>
      <c r="AN10">
        <f t="shared" si="32"/>
        <v>1.0172537743398269</v>
      </c>
      <c r="AP10" s="27">
        <f t="shared" si="13"/>
        <v>9.5930964935487465E-6</v>
      </c>
      <c r="AQ10" s="1">
        <f t="shared" si="14"/>
        <v>3.0233182119789009E-8</v>
      </c>
      <c r="AS10" t="str">
        <f t="shared" si="3"/>
        <v>Calcite</v>
      </c>
      <c r="AT10">
        <f>IF($AS10="Calcite",Constants!B$14*1,IF($AS10="Aragonite",Constants!B$13*1,"Spike ID Error"))</f>
        <v>1.7545077788293085E-4</v>
      </c>
      <c r="AU10">
        <f>IF($AS10="Calcite",Constants!C$14*1,IF($AS10="Aragonite",Constants!C$13*1,"Spike ID Error"))</f>
        <v>4.3055569043463493E-5</v>
      </c>
      <c r="AV10">
        <f>IF($AS10="Calcite",Constants!D$14*1,IF($AS10="Aragonite",Constants!D$13*1,"Spike ID Error"))</f>
        <v>3.6000000000000002E-4</v>
      </c>
      <c r="AW10">
        <f>IF($AS10="Calcite",Constants!E$14*1,IF($AS10="Aragonite",Constants!E$13*1,"Spike ID Error"))</f>
        <v>1.1950837132982323E-3</v>
      </c>
      <c r="AX10">
        <f>IF($AS10="Calcite",Constants!F$14*1,IF($AS10="Aragonite",Constants!F$13*1,"Spike ID Error"))</f>
        <v>5.3835042409610378E-5</v>
      </c>
      <c r="AY10">
        <f>IF($AS10="Calcite",Constants!G$14*1,IF($AS10="Aragonite",Constants!G$13*1,"Spike ID Error"))</f>
        <v>0.32920668495576472</v>
      </c>
      <c r="AZ10">
        <f>IF($AS10="Calcite",Constants!H$14*1,IF($AS10="Aragonite",Constants!H$13*1,"Spike ID Error"))</f>
        <v>2.4228595919861906</v>
      </c>
      <c r="BA10">
        <f>IF($AS10="Calcite",Constants!I$14*1,IF($AS10="Aragonite",Constants!I$13*1,"Spike ID Error"))</f>
        <v>0.98129648892116261</v>
      </c>
      <c r="BB10">
        <f>IF($AS10="Calcite",Constants!J$14*1,IF($AS10="Aragonite",Constants!J$13*1,"Spike ID Error"))</f>
        <v>7.3596913510785749</v>
      </c>
      <c r="BC10">
        <f>IF($AS10="Calcite",Constants!K$14*1,IF($AS10="Aragonite",Constants!K$13*1,"Spike ID Error"))</f>
        <v>5.6732610254575369E-3</v>
      </c>
      <c r="BE10">
        <f t="shared" si="15"/>
        <v>2.7089743590234471E-3</v>
      </c>
      <c r="BF10" s="1">
        <f t="shared" si="16"/>
        <v>2.7089743590234484E-3</v>
      </c>
      <c r="BG10" s="1">
        <f t="shared" si="33"/>
        <v>2.7089949084618038E-3</v>
      </c>
      <c r="BH10">
        <f t="shared" si="17"/>
        <v>1.0172512549789148E-3</v>
      </c>
      <c r="BI10" s="1">
        <f t="shared" si="18"/>
        <v>1.0172560236280869E-3</v>
      </c>
      <c r="BJ10" s="1">
        <f t="shared" si="34"/>
        <v>1.0172537743398269E-3</v>
      </c>
      <c r="BK10">
        <f t="shared" si="19"/>
        <v>1.1699415077331536E-3</v>
      </c>
      <c r="BL10" s="1">
        <f t="shared" si="20"/>
        <v>1.1699415095840068E-3</v>
      </c>
      <c r="BM10" s="1">
        <f t="shared" si="35"/>
        <v>1.1726984115493406E-3</v>
      </c>
      <c r="BN10">
        <f t="shared" si="21"/>
        <v>1.4139273521254832E-3</v>
      </c>
      <c r="BO10" s="1">
        <f t="shared" si="22"/>
        <v>1.4139273989280643E-3</v>
      </c>
      <c r="BP10" s="1">
        <f t="shared" si="36"/>
        <v>1.4140134181391849E-3</v>
      </c>
      <c r="BR10" s="77">
        <f t="shared" si="43"/>
        <v>0.99999241436804021</v>
      </c>
      <c r="BS10" s="77">
        <f t="shared" si="44"/>
        <v>0</v>
      </c>
      <c r="BT10" s="77">
        <f t="shared" si="45"/>
        <v>7.5856319597944477E-6</v>
      </c>
      <c r="BU10" s="77">
        <f t="shared" si="37"/>
        <v>0.9999391335240545</v>
      </c>
      <c r="BV10" s="77">
        <f t="shared" si="38"/>
        <v>3.3099106788725408E-8</v>
      </c>
      <c r="BW10" s="77">
        <f t="shared" si="39"/>
        <v>6.0833376838709263E-5</v>
      </c>
      <c r="BY10" s="75">
        <f t="shared" si="40"/>
        <v>0.2013061146725181</v>
      </c>
      <c r="BZ10" s="75">
        <f t="shared" si="41"/>
        <v>0.73886702192378306</v>
      </c>
      <c r="CA10" s="75">
        <f t="shared" si="42"/>
        <v>5.9826863403698811E-2</v>
      </c>
    </row>
    <row r="11" spans="1:79">
      <c r="A11" s="41" t="s">
        <v>354</v>
      </c>
      <c r="B11" s="41" t="s">
        <v>73</v>
      </c>
      <c r="C11" s="62">
        <v>44946</v>
      </c>
      <c r="D11" s="41">
        <v>0.19852</v>
      </c>
      <c r="E11" s="41">
        <v>8.8940000000000005E-2</v>
      </c>
      <c r="F11" s="34" cm="1">
        <f t="array" ref="F11:I11">'U data'!E19:H19</f>
        <v>20324.065558151819</v>
      </c>
      <c r="G11" s="34">
        <v>103.54425641484032</v>
      </c>
      <c r="H11" s="34">
        <v>18147.4547061134</v>
      </c>
      <c r="I11" s="34">
        <v>19.264267293330168</v>
      </c>
      <c r="J11" s="48" cm="1">
        <f t="array" ref="J11:M11">'Th data'!E19:H19</f>
        <v>420.91011187231442</v>
      </c>
      <c r="K11" s="48">
        <v>0.51396958290082229</v>
      </c>
      <c r="L11" s="48">
        <v>1.5361680682948258</v>
      </c>
      <c r="M11" s="48">
        <v>2.6420221658194033E-3</v>
      </c>
      <c r="N11">
        <f t="shared" si="23"/>
        <v>0.16527568042642199</v>
      </c>
      <c r="O11">
        <f t="shared" si="23"/>
        <v>0.31807395611086225</v>
      </c>
      <c r="P11">
        <f t="shared" si="23"/>
        <v>0.24690791130277173</v>
      </c>
      <c r="Q11">
        <f t="shared" si="23"/>
        <v>3.5721306134521829</v>
      </c>
      <c r="R11">
        <f>(1-AT11/Constants!$C$19/F11)</f>
        <v>0.99999999120280003</v>
      </c>
      <c r="S11">
        <f t="shared" si="0"/>
        <v>0.99967242753422714</v>
      </c>
      <c r="T11" s="36">
        <f t="shared" si="1"/>
        <v>0.99999716071512756</v>
      </c>
      <c r="U11">
        <f t="shared" si="2"/>
        <v>0.99996495497887194</v>
      </c>
      <c r="V11">
        <f t="shared" si="24"/>
        <v>20324.065379356951</v>
      </c>
      <c r="W11">
        <f t="shared" si="4"/>
        <v>103.54425550394079</v>
      </c>
      <c r="X11">
        <f t="shared" si="25"/>
        <v>18153.401100827374</v>
      </c>
      <c r="Y11">
        <f t="shared" si="5"/>
        <v>19.27060258766446</v>
      </c>
      <c r="Z11">
        <f t="shared" si="26"/>
        <v>420.90891678860112</v>
      </c>
      <c r="AA11">
        <f t="shared" si="6"/>
        <v>0.51396812373370171</v>
      </c>
      <c r="AB11">
        <f t="shared" si="27"/>
        <v>1.536114233252416</v>
      </c>
      <c r="AC11">
        <f t="shared" si="7"/>
        <v>2.6419295898093527E-3</v>
      </c>
      <c r="AD11">
        <f t="shared" si="8"/>
        <v>1.098633467447494</v>
      </c>
      <c r="AE11">
        <f t="shared" si="9"/>
        <v>20323.997031445804</v>
      </c>
      <c r="AF11">
        <f t="shared" si="28"/>
        <v>103.54425691379596</v>
      </c>
      <c r="AG11">
        <f t="shared" si="10"/>
        <v>18153.420962138811</v>
      </c>
      <c r="AH11">
        <f t="shared" si="29"/>
        <v>19.270603227355934</v>
      </c>
      <c r="AI11">
        <f t="shared" si="11"/>
        <v>420.86147873542768</v>
      </c>
      <c r="AJ11">
        <f t="shared" si="30"/>
        <v>0.51410493118613154</v>
      </c>
      <c r="AK11">
        <f t="shared" si="12"/>
        <v>1.5360896909475219</v>
      </c>
      <c r="AL11">
        <f t="shared" si="31"/>
        <v>2.6419367143831834E-3</v>
      </c>
      <c r="AM11">
        <f>(1/AG11*(Constants!D$5/Constants!D$2)-1)*1000</f>
        <v>2.1345943686617019</v>
      </c>
      <c r="AN11">
        <f t="shared" si="32"/>
        <v>1.0615411424407082</v>
      </c>
      <c r="AP11" s="27">
        <f t="shared" si="13"/>
        <v>1.0465201755376646E-5</v>
      </c>
      <c r="AQ11" s="1">
        <f t="shared" si="14"/>
        <v>5.6848371570664245E-8</v>
      </c>
      <c r="AS11" t="str">
        <f t="shared" si="3"/>
        <v>Calcite</v>
      </c>
      <c r="AT11">
        <f>IF($AS11="Calcite",Constants!B$14*1,IF($AS11="Aragonite",Constants!B$13*1,"Spike ID Error"))</f>
        <v>1.7545077788293085E-4</v>
      </c>
      <c r="AU11">
        <f>IF($AS11="Calcite",Constants!C$14*1,IF($AS11="Aragonite",Constants!C$13*1,"Spike ID Error"))</f>
        <v>4.3055569043463493E-5</v>
      </c>
      <c r="AV11">
        <f>IF($AS11="Calcite",Constants!D$14*1,IF($AS11="Aragonite",Constants!D$13*1,"Spike ID Error"))</f>
        <v>3.6000000000000002E-4</v>
      </c>
      <c r="AW11">
        <f>IF($AS11="Calcite",Constants!E$14*1,IF($AS11="Aragonite",Constants!E$13*1,"Spike ID Error"))</f>
        <v>1.1950837132982323E-3</v>
      </c>
      <c r="AX11">
        <f>IF($AS11="Calcite",Constants!F$14*1,IF($AS11="Aragonite",Constants!F$13*1,"Spike ID Error"))</f>
        <v>5.3835042409610378E-5</v>
      </c>
      <c r="AY11">
        <f>IF($AS11="Calcite",Constants!G$14*1,IF($AS11="Aragonite",Constants!G$13*1,"Spike ID Error"))</f>
        <v>0.32920668495576472</v>
      </c>
      <c r="AZ11">
        <f>IF($AS11="Calcite",Constants!H$14*1,IF($AS11="Aragonite",Constants!H$13*1,"Spike ID Error"))</f>
        <v>2.4228595919861906</v>
      </c>
      <c r="BA11">
        <f>IF($AS11="Calcite",Constants!I$14*1,IF($AS11="Aragonite",Constants!I$13*1,"Spike ID Error"))</f>
        <v>0.98129648892116261</v>
      </c>
      <c r="BB11">
        <f>IF($AS11="Calcite",Constants!J$14*1,IF($AS11="Aragonite",Constants!J$13*1,"Spike ID Error"))</f>
        <v>7.3596913510785749</v>
      </c>
      <c r="BC11">
        <f>IF($AS11="Calcite",Constants!K$14*1,IF($AS11="Aragonite",Constants!K$13*1,"Spike ID Error"))</f>
        <v>5.6732610254575369E-3</v>
      </c>
      <c r="BE11">
        <f t="shared" si="15"/>
        <v>5.0946625869994575E-3</v>
      </c>
      <c r="BF11" s="1">
        <f t="shared" si="16"/>
        <v>5.0946625869994575E-3</v>
      </c>
      <c r="BG11" s="1">
        <f t="shared" si="33"/>
        <v>5.0946797892948746E-3</v>
      </c>
      <c r="BH11">
        <f t="shared" si="17"/>
        <v>1.0615410042511661E-3</v>
      </c>
      <c r="BI11" s="1">
        <f t="shared" si="18"/>
        <v>1.0615422686157784E-3</v>
      </c>
      <c r="BJ11" s="1">
        <f t="shared" si="34"/>
        <v>1.0615411424407081E-3</v>
      </c>
      <c r="BK11">
        <f t="shared" si="19"/>
        <v>1.2210910795527241E-3</v>
      </c>
      <c r="BL11" s="1">
        <f t="shared" si="20"/>
        <v>1.2210910798828218E-3</v>
      </c>
      <c r="BM11" s="1">
        <f t="shared" si="35"/>
        <v>1.2215537823296982E-3</v>
      </c>
      <c r="BN11">
        <f t="shared" si="21"/>
        <v>1.7198783260428628E-3</v>
      </c>
      <c r="BO11" s="1">
        <f t="shared" si="22"/>
        <v>1.7198783349696544E-3</v>
      </c>
      <c r="BP11" s="1">
        <f t="shared" si="36"/>
        <v>1.719910451813221E-3</v>
      </c>
      <c r="BR11" s="77">
        <f t="shared" si="43"/>
        <v>0.99999662347858387</v>
      </c>
      <c r="BS11" s="77">
        <f t="shared" si="44"/>
        <v>0</v>
      </c>
      <c r="BT11" s="77">
        <f t="shared" si="45"/>
        <v>3.3765214161318724E-6</v>
      </c>
      <c r="BU11" s="77">
        <f t="shared" si="37"/>
        <v>0.99998132125406625</v>
      </c>
      <c r="BV11" s="77">
        <f t="shared" si="38"/>
        <v>5.190265328636201E-9</v>
      </c>
      <c r="BW11" s="77">
        <f t="shared" si="39"/>
        <v>1.8673555668424768E-5</v>
      </c>
      <c r="BY11" s="75">
        <f t="shared" si="40"/>
        <v>0.10024687069920162</v>
      </c>
      <c r="BZ11" s="75">
        <f t="shared" si="41"/>
        <v>0.87961563260929376</v>
      </c>
      <c r="CA11" s="75">
        <f t="shared" si="42"/>
        <v>2.0137496691504594E-2</v>
      </c>
    </row>
    <row r="12" spans="1:79">
      <c r="A12" s="41" t="s">
        <v>355</v>
      </c>
      <c r="B12" s="41" t="s">
        <v>73</v>
      </c>
      <c r="C12" s="62">
        <v>44946</v>
      </c>
      <c r="D12" s="41">
        <v>0.22197</v>
      </c>
      <c r="E12" s="41">
        <v>8.4709999999999994E-2</v>
      </c>
      <c r="F12" s="34" cm="1">
        <f t="array" ref="F12:I12">'U data'!E21:H21</f>
        <v>21011.169676471774</v>
      </c>
      <c r="G12" s="34">
        <v>112.74397864443024</v>
      </c>
      <c r="H12" s="34">
        <v>18166.455856675566</v>
      </c>
      <c r="I12" s="34">
        <v>17.251292139633659</v>
      </c>
      <c r="J12" s="48" cm="1">
        <f t="array" ref="J12:M12">'Th data'!E21:H21</f>
        <v>552.75876174099119</v>
      </c>
      <c r="K12" s="48">
        <v>0.57571854509344</v>
      </c>
      <c r="L12" s="48">
        <v>1.6019751610252133</v>
      </c>
      <c r="M12" s="48">
        <v>1.7272519380037931E-3</v>
      </c>
      <c r="N12">
        <f t="shared" si="23"/>
        <v>0.16527568042642199</v>
      </c>
      <c r="O12">
        <f t="shared" si="23"/>
        <v>0.31807395611086225</v>
      </c>
      <c r="P12">
        <f t="shared" si="23"/>
        <v>0.24690791130277173</v>
      </c>
      <c r="Q12">
        <f t="shared" si="23"/>
        <v>3.5721306134521829</v>
      </c>
      <c r="R12">
        <f>(1-AT12/Constants!$C$19/F12)</f>
        <v>0.99999999149048469</v>
      </c>
      <c r="S12">
        <f t="shared" si="0"/>
        <v>0.99968280799381803</v>
      </c>
      <c r="T12" s="36">
        <f t="shared" si="1"/>
        <v>0.99999783796513775</v>
      </c>
      <c r="U12">
        <f t="shared" si="2"/>
        <v>0.99996639458356196</v>
      </c>
      <c r="V12">
        <f t="shared" si="24"/>
        <v>21011.169497676903</v>
      </c>
      <c r="W12">
        <f t="shared" si="4"/>
        <v>112.74397768503363</v>
      </c>
      <c r="X12">
        <f t="shared" si="25"/>
        <v>18172.219784938196</v>
      </c>
      <c r="Y12">
        <f t="shared" si="5"/>
        <v>17.256789782619169</v>
      </c>
      <c r="Z12">
        <f t="shared" si="26"/>
        <v>552.75756665727783</v>
      </c>
      <c r="AA12">
        <f t="shared" si="6"/>
        <v>0.57571730049391345</v>
      </c>
      <c r="AB12">
        <f t="shared" si="27"/>
        <v>1.6019213259828036</v>
      </c>
      <c r="AC12">
        <f t="shared" si="7"/>
        <v>1.7271939139579815E-3</v>
      </c>
      <c r="AD12">
        <f t="shared" si="8"/>
        <v>1.1345992454530449</v>
      </c>
      <c r="AE12">
        <f t="shared" si="9"/>
        <v>21011.097736807853</v>
      </c>
      <c r="AF12">
        <f t="shared" si="28"/>
        <v>112.74397911238877</v>
      </c>
      <c r="AG12">
        <f t="shared" si="10"/>
        <v>18172.240062274705</v>
      </c>
      <c r="AH12">
        <f t="shared" si="29"/>
        <v>17.256790527199946</v>
      </c>
      <c r="AI12">
        <f t="shared" si="11"/>
        <v>552.70775978147515</v>
      </c>
      <c r="AJ12">
        <f t="shared" si="30"/>
        <v>0.57585193877664897</v>
      </c>
      <c r="AK12">
        <f t="shared" si="12"/>
        <v>1.6018955581561327</v>
      </c>
      <c r="AL12">
        <f t="shared" si="31"/>
        <v>1.7272059272765363E-3</v>
      </c>
      <c r="AM12">
        <f>(1/AG12*(Constants!D$5/Constants!D$2)-1)*1000</f>
        <v>1.0967877352230371</v>
      </c>
      <c r="AN12">
        <f t="shared" si="32"/>
        <v>0.94962373752836238</v>
      </c>
      <c r="AP12" s="27">
        <f t="shared" si="13"/>
        <v>1.0556637478208938E-5</v>
      </c>
      <c r="AQ12" s="1">
        <f t="shared" si="14"/>
        <v>5.8348650719137215E-8</v>
      </c>
      <c r="AS12" t="str">
        <f t="shared" si="3"/>
        <v>Calcite</v>
      </c>
      <c r="AT12">
        <f>IF($AS12="Calcite",Constants!B$14*1,IF($AS12="Aragonite",Constants!B$13*1,"Spike ID Error"))</f>
        <v>1.7545077788293085E-4</v>
      </c>
      <c r="AU12">
        <f>IF($AS12="Calcite",Constants!C$14*1,IF($AS12="Aragonite",Constants!C$13*1,"Spike ID Error"))</f>
        <v>4.3055569043463493E-5</v>
      </c>
      <c r="AV12">
        <f>IF($AS12="Calcite",Constants!D$14*1,IF($AS12="Aragonite",Constants!D$13*1,"Spike ID Error"))</f>
        <v>3.6000000000000002E-4</v>
      </c>
      <c r="AW12">
        <f>IF($AS12="Calcite",Constants!E$14*1,IF($AS12="Aragonite",Constants!E$13*1,"Spike ID Error"))</f>
        <v>1.1950837132982323E-3</v>
      </c>
      <c r="AX12">
        <f>IF($AS12="Calcite",Constants!F$14*1,IF($AS12="Aragonite",Constants!F$13*1,"Spike ID Error"))</f>
        <v>5.3835042409610378E-5</v>
      </c>
      <c r="AY12">
        <f>IF($AS12="Calcite",Constants!G$14*1,IF($AS12="Aragonite",Constants!G$13*1,"Spike ID Error"))</f>
        <v>0.32920668495576472</v>
      </c>
      <c r="AZ12">
        <f>IF($AS12="Calcite",Constants!H$14*1,IF($AS12="Aragonite",Constants!H$13*1,"Spike ID Error"))</f>
        <v>2.4228595919861906</v>
      </c>
      <c r="BA12">
        <f>IF($AS12="Calcite",Constants!I$14*1,IF($AS12="Aragonite",Constants!I$13*1,"Spike ID Error"))</f>
        <v>0.98129648892116261</v>
      </c>
      <c r="BB12">
        <f>IF($AS12="Calcite",Constants!J$14*1,IF($AS12="Aragonite",Constants!J$13*1,"Spike ID Error"))</f>
        <v>7.3596913510785749</v>
      </c>
      <c r="BC12">
        <f>IF($AS12="Calcite",Constants!K$14*1,IF($AS12="Aragonite",Constants!K$13*1,"Spike ID Error"))</f>
        <v>5.6732610254575369E-3</v>
      </c>
      <c r="BE12">
        <f t="shared" si="15"/>
        <v>5.3659068191087194E-3</v>
      </c>
      <c r="BF12" s="1">
        <f t="shared" si="16"/>
        <v>5.3659068191087194E-3</v>
      </c>
      <c r="BG12" s="1">
        <f t="shared" si="33"/>
        <v>5.3659252136493843E-3</v>
      </c>
      <c r="BH12">
        <f t="shared" si="17"/>
        <v>9.4962343099490071E-4</v>
      </c>
      <c r="BI12" s="1">
        <f t="shared" si="18"/>
        <v>9.4962475618538529E-4</v>
      </c>
      <c r="BJ12" s="1">
        <f t="shared" si="34"/>
        <v>9.4962373752836241E-4</v>
      </c>
      <c r="BK12">
        <f t="shared" si="19"/>
        <v>1.0415367153659106E-3</v>
      </c>
      <c r="BL12" s="1">
        <f t="shared" si="20"/>
        <v>1.0415367155903108E-3</v>
      </c>
      <c r="BM12" s="1">
        <f t="shared" si="35"/>
        <v>1.0418741705459759E-3</v>
      </c>
      <c r="BN12">
        <f t="shared" si="21"/>
        <v>1.0782014478291952E-3</v>
      </c>
      <c r="BO12" s="1">
        <f t="shared" si="22"/>
        <v>1.0782014609227587E-3</v>
      </c>
      <c r="BP12" s="1">
        <f t="shared" si="36"/>
        <v>1.0782263041322385E-3</v>
      </c>
      <c r="BR12" s="77">
        <f t="shared" si="43"/>
        <v>0.99999657197222613</v>
      </c>
      <c r="BS12" s="77">
        <f t="shared" si="44"/>
        <v>0</v>
      </c>
      <c r="BT12" s="77">
        <f t="shared" si="45"/>
        <v>3.4280277738663045E-6</v>
      </c>
      <c r="BU12" s="77">
        <f t="shared" si="37"/>
        <v>0.99997694704446727</v>
      </c>
      <c r="BV12" s="77">
        <f t="shared" si="38"/>
        <v>1.2143613559167932E-8</v>
      </c>
      <c r="BW12" s="77">
        <f t="shared" si="39"/>
        <v>2.3040811919172732E-5</v>
      </c>
      <c r="BY12" s="75">
        <f t="shared" si="40"/>
        <v>3.8054798393682691E-2</v>
      </c>
      <c r="BZ12" s="75">
        <f t="shared" si="41"/>
        <v>0.94249447143286524</v>
      </c>
      <c r="CA12" s="75">
        <f t="shared" si="42"/>
        <v>1.9450730173452176E-2</v>
      </c>
    </row>
    <row r="13" spans="1:79">
      <c r="A13" s="41" t="s">
        <v>356</v>
      </c>
      <c r="B13" s="41" t="s">
        <v>73</v>
      </c>
      <c r="C13" s="62">
        <v>44946</v>
      </c>
      <c r="D13" s="41">
        <v>9.8339999999999997E-2</v>
      </c>
      <c r="E13" s="41">
        <v>7.6450000000000004E-2</v>
      </c>
      <c r="F13" s="34" cm="1">
        <f t="array" ref="F13:I13">'U data'!E23:H23</f>
        <v>13802.223234115379</v>
      </c>
      <c r="G13" s="34">
        <v>30.347981757720117</v>
      </c>
      <c r="H13" s="34">
        <v>18142.85519336267</v>
      </c>
      <c r="I13" s="34">
        <v>17.796798447141551</v>
      </c>
      <c r="J13" s="48" cm="1">
        <f t="array" ref="J13:M13">'Th data'!E23:H23</f>
        <v>137.72149364156232</v>
      </c>
      <c r="K13" s="48">
        <v>0.16724546645701266</v>
      </c>
      <c r="L13" s="48">
        <v>0.16397440834936902</v>
      </c>
      <c r="M13" s="48">
        <v>2.4842512216982963E-4</v>
      </c>
      <c r="N13">
        <f t="shared" si="23"/>
        <v>0.16527568042642199</v>
      </c>
      <c r="O13">
        <f t="shared" si="23"/>
        <v>0.31807395611086225</v>
      </c>
      <c r="P13">
        <f t="shared" si="23"/>
        <v>0.24690791130277173</v>
      </c>
      <c r="Q13">
        <f t="shared" si="23"/>
        <v>3.5721306134521829</v>
      </c>
      <c r="R13">
        <f>(1-AT13/Constants!$C$19/F13)</f>
        <v>0.99999998704593696</v>
      </c>
      <c r="S13">
        <f t="shared" si="0"/>
        <v>0.99951776487223065</v>
      </c>
      <c r="T13" s="36">
        <f t="shared" si="1"/>
        <v>0.99999132246041122</v>
      </c>
      <c r="U13">
        <f t="shared" si="2"/>
        <v>0.99967168631403192</v>
      </c>
      <c r="V13">
        <f t="shared" si="24"/>
        <v>13802.22305532051</v>
      </c>
      <c r="W13">
        <f t="shared" si="4"/>
        <v>30.347981364590463</v>
      </c>
      <c r="X13">
        <f t="shared" si="25"/>
        <v>18151.608301487468</v>
      </c>
      <c r="Y13">
        <f t="shared" si="5"/>
        <v>17.80543844097464</v>
      </c>
      <c r="Z13">
        <f t="shared" si="26"/>
        <v>137.72029855784902</v>
      </c>
      <c r="AA13">
        <f t="shared" si="6"/>
        <v>0.16724401560484484</v>
      </c>
      <c r="AB13">
        <f t="shared" si="27"/>
        <v>0.16392057330695942</v>
      </c>
      <c r="AC13">
        <f t="shared" si="7"/>
        <v>2.4834370667937609E-4</v>
      </c>
      <c r="AD13">
        <f t="shared" si="8"/>
        <v>0.74616379984262016</v>
      </c>
      <c r="AE13">
        <f t="shared" si="9"/>
        <v>13802.143541086143</v>
      </c>
      <c r="AF13">
        <f t="shared" si="28"/>
        <v>30.347987875024298</v>
      </c>
      <c r="AG13">
        <f t="shared" si="10"/>
        <v>18151.642308840324</v>
      </c>
      <c r="AH13">
        <f t="shared" si="29"/>
        <v>17.805440470726651</v>
      </c>
      <c r="AI13">
        <f t="shared" si="11"/>
        <v>137.66511032437296</v>
      </c>
      <c r="AJ13">
        <f t="shared" si="30"/>
        <v>0.16781215562429197</v>
      </c>
      <c r="AK13">
        <f t="shared" si="12"/>
        <v>0.16389202140902243</v>
      </c>
      <c r="AL13">
        <f t="shared" si="31"/>
        <v>2.4844626647826641E-4</v>
      </c>
      <c r="AM13">
        <f>(1/AG13*(Constants!D$5/Constants!D$2)-1)*1000</f>
        <v>2.2327920948770341</v>
      </c>
      <c r="AN13">
        <f t="shared" si="32"/>
        <v>0.98092724436592371</v>
      </c>
      <c r="AP13" s="27">
        <f t="shared" si="13"/>
        <v>1.644187816412732E-6</v>
      </c>
      <c r="AQ13" s="1">
        <f t="shared" si="14"/>
        <v>4.5703937361566406E-9</v>
      </c>
      <c r="AS13" t="str">
        <f t="shared" si="3"/>
        <v>Calcite</v>
      </c>
      <c r="AT13">
        <f>IF($AS13="Calcite",Constants!B$14*1,IF($AS13="Aragonite",Constants!B$13*1,"Spike ID Error"))</f>
        <v>1.7545077788293085E-4</v>
      </c>
      <c r="AU13">
        <f>IF($AS13="Calcite",Constants!C$14*1,IF($AS13="Aragonite",Constants!C$13*1,"Spike ID Error"))</f>
        <v>4.3055569043463493E-5</v>
      </c>
      <c r="AV13">
        <f>IF($AS13="Calcite",Constants!D$14*1,IF($AS13="Aragonite",Constants!D$13*1,"Spike ID Error"))</f>
        <v>3.6000000000000002E-4</v>
      </c>
      <c r="AW13">
        <f>IF($AS13="Calcite",Constants!E$14*1,IF($AS13="Aragonite",Constants!E$13*1,"Spike ID Error"))</f>
        <v>1.1950837132982323E-3</v>
      </c>
      <c r="AX13">
        <f>IF($AS13="Calcite",Constants!F$14*1,IF($AS13="Aragonite",Constants!F$13*1,"Spike ID Error"))</f>
        <v>5.3835042409610378E-5</v>
      </c>
      <c r="AY13">
        <f>IF($AS13="Calcite",Constants!G$14*1,IF($AS13="Aragonite",Constants!G$13*1,"Spike ID Error"))</f>
        <v>0.32920668495576472</v>
      </c>
      <c r="AZ13">
        <f>IF($AS13="Calcite",Constants!H$14*1,IF($AS13="Aragonite",Constants!H$13*1,"Spike ID Error"))</f>
        <v>2.4228595919861906</v>
      </c>
      <c r="BA13">
        <f>IF($AS13="Calcite",Constants!I$14*1,IF($AS13="Aragonite",Constants!I$13*1,"Spike ID Error"))</f>
        <v>0.98129648892116261</v>
      </c>
      <c r="BB13">
        <f>IF($AS13="Calcite",Constants!J$14*1,IF($AS13="Aragonite",Constants!J$13*1,"Spike ID Error"))</f>
        <v>7.3596913510785749</v>
      </c>
      <c r="BC13">
        <f>IF($AS13="Calcite",Constants!K$14*1,IF($AS13="Aragonite",Constants!K$13*1,"Spike ID Error"))</f>
        <v>5.6732610254575369E-3</v>
      </c>
      <c r="BE13">
        <f t="shared" si="15"/>
        <v>2.1987748816225546E-3</v>
      </c>
      <c r="BF13" s="1">
        <f t="shared" si="16"/>
        <v>2.1987748816225559E-3</v>
      </c>
      <c r="BG13" s="1">
        <f t="shared" si="33"/>
        <v>2.1987880204755571E-3</v>
      </c>
      <c r="BH13">
        <f t="shared" si="17"/>
        <v>9.8092600406424896E-4</v>
      </c>
      <c r="BI13" s="1">
        <f t="shared" si="18"/>
        <v>9.8092897032796495E-4</v>
      </c>
      <c r="BJ13" s="1">
        <f t="shared" si="34"/>
        <v>9.8092724436592369E-4</v>
      </c>
      <c r="BK13">
        <f t="shared" si="19"/>
        <v>1.2143744744178438E-3</v>
      </c>
      <c r="BL13" s="1">
        <f t="shared" si="20"/>
        <v>1.2143744775182466E-3</v>
      </c>
      <c r="BM13" s="1">
        <f t="shared" si="35"/>
        <v>1.2189882769053477E-3</v>
      </c>
      <c r="BN13">
        <f t="shared" si="21"/>
        <v>1.5150237446841539E-3</v>
      </c>
      <c r="BO13" s="1">
        <f t="shared" si="22"/>
        <v>1.5150246346096229E-3</v>
      </c>
      <c r="BP13" s="1">
        <f t="shared" si="36"/>
        <v>1.5159143461793265E-3</v>
      </c>
      <c r="BR13" s="77">
        <f t="shared" si="43"/>
        <v>0.99999402450218933</v>
      </c>
      <c r="BS13" s="77">
        <f t="shared" si="44"/>
        <v>0</v>
      </c>
      <c r="BT13" s="77">
        <f t="shared" si="45"/>
        <v>5.9754978106729695E-6</v>
      </c>
      <c r="BU13" s="77">
        <f t="shared" si="37"/>
        <v>0.9994124988015205</v>
      </c>
      <c r="BV13" s="77">
        <f t="shared" si="38"/>
        <v>5.8705524574875767E-7</v>
      </c>
      <c r="BW13" s="77">
        <f t="shared" si="39"/>
        <v>5.8691414323375213E-4</v>
      </c>
      <c r="BY13" s="75">
        <f t="shared" si="40"/>
        <v>0.29740272656737354</v>
      </c>
      <c r="BZ13" s="75">
        <f t="shared" si="41"/>
        <v>0.62569450954910433</v>
      </c>
      <c r="CA13" s="75">
        <f t="shared" si="42"/>
        <v>7.690276388352249E-2</v>
      </c>
    </row>
    <row r="14" spans="1:79">
      <c r="A14" s="41"/>
      <c r="B14" s="41" t="s">
        <v>73</v>
      </c>
      <c r="C14" s="62">
        <v>44946</v>
      </c>
      <c r="D14" s="41"/>
      <c r="E14" s="41"/>
      <c r="F14" s="34"/>
      <c r="G14" s="34"/>
      <c r="H14" s="34"/>
      <c r="I14" s="34"/>
      <c r="J14" s="48"/>
      <c r="K14" s="48"/>
      <c r="L14" s="48"/>
      <c r="M14" s="48"/>
      <c r="N14">
        <f t="shared" si="23"/>
        <v>0.16527568042642199</v>
      </c>
      <c r="O14">
        <f t="shared" si="23"/>
        <v>0.31807395611086225</v>
      </c>
      <c r="P14">
        <f t="shared" si="23"/>
        <v>0.24690791130277173</v>
      </c>
      <c r="Q14">
        <f t="shared" si="23"/>
        <v>3.5721306134521829</v>
      </c>
      <c r="R14" t="e">
        <f>(1-AT14/Constants!$C$19/F14)</f>
        <v>#DIV/0!</v>
      </c>
      <c r="S14" t="e">
        <f t="shared" si="0"/>
        <v>#DIV/0!</v>
      </c>
      <c r="T14" s="36"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Calcite</v>
      </c>
      <c r="AT14">
        <f>IF($AS14="Calcite",Constants!B$14*1,IF($AS14="Aragonite",Constants!B$13*1,"Spike ID Error"))</f>
        <v>1.7545077788293085E-4</v>
      </c>
      <c r="AU14">
        <f>IF($AS14="Calcite",Constants!C$14*1,IF($AS14="Aragonite",Constants!C$13*1,"Spike ID Error"))</f>
        <v>4.3055569043463493E-5</v>
      </c>
      <c r="AV14">
        <f>IF($AS14="Calcite",Constants!D$14*1,IF($AS14="Aragonite",Constants!D$13*1,"Spike ID Error"))</f>
        <v>3.6000000000000002E-4</v>
      </c>
      <c r="AW14">
        <f>IF($AS14="Calcite",Constants!E$14*1,IF($AS14="Aragonite",Constants!E$13*1,"Spike ID Error"))</f>
        <v>1.1950837132982323E-3</v>
      </c>
      <c r="AX14">
        <f>IF($AS14="Calcite",Constants!F$14*1,IF($AS14="Aragonite",Constants!F$13*1,"Spike ID Error"))</f>
        <v>5.3835042409610378E-5</v>
      </c>
      <c r="AY14">
        <f>IF($AS14="Calcite",Constants!G$14*1,IF($AS14="Aragonite",Constants!G$13*1,"Spike ID Error"))</f>
        <v>0.32920668495576472</v>
      </c>
      <c r="AZ14">
        <f>IF($AS14="Calcite",Constants!H$14*1,IF($AS14="Aragonite",Constants!H$13*1,"Spike ID Error"))</f>
        <v>2.4228595919861906</v>
      </c>
      <c r="BA14">
        <f>IF($AS14="Calcite",Constants!I$14*1,IF($AS14="Aragonite",Constants!I$13*1,"Spike ID Error"))</f>
        <v>0.98129648892116261</v>
      </c>
      <c r="BB14">
        <f>IF($AS14="Calcite",Constants!J$14*1,IF($AS14="Aragonite",Constants!J$13*1,"Spike ID Error"))</f>
        <v>7.3596913510785749</v>
      </c>
      <c r="BC14">
        <f>IF($AS14="Calcite",Constants!K$14*1,IF($AS14="Aragonite",Constants!K$13*1,"Spike ID Error"))</f>
        <v>5.6732610254575369E-3</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77" t="e">
        <f t="shared" si="43"/>
        <v>#DIV/0!</v>
      </c>
      <c r="BS14" s="77" t="e">
        <f t="shared" si="44"/>
        <v>#DIV/0!</v>
      </c>
      <c r="BT14" s="77" t="e">
        <f t="shared" si="45"/>
        <v>#DIV/0!</v>
      </c>
      <c r="BU14" s="77" t="e">
        <f t="shared" si="37"/>
        <v>#DIV/0!</v>
      </c>
      <c r="BV14" s="77" t="e">
        <f t="shared" si="38"/>
        <v>#DIV/0!</v>
      </c>
      <c r="BW14" s="77" t="e">
        <f t="shared" si="39"/>
        <v>#DIV/0!</v>
      </c>
      <c r="BY14" s="75" t="e">
        <f t="shared" si="40"/>
        <v>#DIV/0!</v>
      </c>
      <c r="BZ14" s="75" t="e">
        <f t="shared" si="41"/>
        <v>#DIV/0!</v>
      </c>
      <c r="CA14" s="75" t="e">
        <f t="shared" si="42"/>
        <v>#DIV/0!</v>
      </c>
    </row>
    <row r="15" spans="1:79">
      <c r="A15" s="41"/>
      <c r="B15" s="41" t="s">
        <v>73</v>
      </c>
      <c r="C15" s="62">
        <v>44946</v>
      </c>
      <c r="D15" s="41"/>
      <c r="E15" s="41"/>
      <c r="F15" s="34"/>
      <c r="G15" s="34"/>
      <c r="H15" s="34"/>
      <c r="I15" s="34"/>
      <c r="J15" s="48"/>
      <c r="K15" s="48"/>
      <c r="L15" s="48"/>
      <c r="M15" s="48"/>
      <c r="N15">
        <f t="shared" si="23"/>
        <v>0.16527568042642199</v>
      </c>
      <c r="O15">
        <f t="shared" si="23"/>
        <v>0.31807395611086225</v>
      </c>
      <c r="P15">
        <f t="shared" si="23"/>
        <v>0.24690791130277173</v>
      </c>
      <c r="Q15">
        <f t="shared" si="23"/>
        <v>3.5721306134521829</v>
      </c>
      <c r="R15" t="e">
        <f>(1-AT15/Constants!$C$19/F15)</f>
        <v>#DIV/0!</v>
      </c>
      <c r="S15" t="e">
        <f t="shared" si="0"/>
        <v>#DIV/0!</v>
      </c>
      <c r="T15" s="36"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Calcite</v>
      </c>
      <c r="AT15">
        <f>IF($AS15="Calcite",Constants!B$14*1,IF($AS15="Aragonite",Constants!B$13*1,"Spike ID Error"))</f>
        <v>1.7545077788293085E-4</v>
      </c>
      <c r="AU15">
        <f>IF($AS15="Calcite",Constants!C$14*1,IF($AS15="Aragonite",Constants!C$13*1,"Spike ID Error"))</f>
        <v>4.3055569043463493E-5</v>
      </c>
      <c r="AV15">
        <f>IF($AS15="Calcite",Constants!D$14*1,IF($AS15="Aragonite",Constants!D$13*1,"Spike ID Error"))</f>
        <v>3.6000000000000002E-4</v>
      </c>
      <c r="AW15">
        <f>IF($AS15="Calcite",Constants!E$14*1,IF($AS15="Aragonite",Constants!E$13*1,"Spike ID Error"))</f>
        <v>1.1950837132982323E-3</v>
      </c>
      <c r="AX15">
        <f>IF($AS15="Calcite",Constants!F$14*1,IF($AS15="Aragonite",Constants!F$13*1,"Spike ID Error"))</f>
        <v>5.3835042409610378E-5</v>
      </c>
      <c r="AY15">
        <f>IF($AS15="Calcite",Constants!G$14*1,IF($AS15="Aragonite",Constants!G$13*1,"Spike ID Error"))</f>
        <v>0.32920668495576472</v>
      </c>
      <c r="AZ15">
        <f>IF($AS15="Calcite",Constants!H$14*1,IF($AS15="Aragonite",Constants!H$13*1,"Spike ID Error"))</f>
        <v>2.4228595919861906</v>
      </c>
      <c r="BA15">
        <f>IF($AS15="Calcite",Constants!I$14*1,IF($AS15="Aragonite",Constants!I$13*1,"Spike ID Error"))</f>
        <v>0.98129648892116261</v>
      </c>
      <c r="BB15">
        <f>IF($AS15="Calcite",Constants!J$14*1,IF($AS15="Aragonite",Constants!J$13*1,"Spike ID Error"))</f>
        <v>7.3596913510785749</v>
      </c>
      <c r="BC15">
        <f>IF($AS15="Calcite",Constants!K$14*1,IF($AS15="Aragonite",Constants!K$13*1,"Spike ID Error"))</f>
        <v>5.6732610254575369E-3</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77" t="e">
        <f t="shared" si="43"/>
        <v>#DIV/0!</v>
      </c>
      <c r="BS15" s="77" t="e">
        <f t="shared" si="44"/>
        <v>#DIV/0!</v>
      </c>
      <c r="BT15" s="77" t="e">
        <f t="shared" si="45"/>
        <v>#DIV/0!</v>
      </c>
      <c r="BU15" s="77" t="e">
        <f t="shared" si="37"/>
        <v>#DIV/0!</v>
      </c>
      <c r="BV15" s="77" t="e">
        <f t="shared" si="38"/>
        <v>#DIV/0!</v>
      </c>
      <c r="BW15" s="77" t="e">
        <f t="shared" si="39"/>
        <v>#DIV/0!</v>
      </c>
      <c r="BY15" s="75" t="e">
        <f t="shared" si="40"/>
        <v>#DIV/0!</v>
      </c>
      <c r="BZ15" s="75" t="e">
        <f t="shared" si="41"/>
        <v>#DIV/0!</v>
      </c>
      <c r="CA15" s="75" t="e">
        <f t="shared" si="42"/>
        <v>#DIV/0!</v>
      </c>
    </row>
    <row r="16" spans="1:79">
      <c r="A16" s="41"/>
      <c r="B16" s="41" t="s">
        <v>73</v>
      </c>
      <c r="C16" s="62">
        <v>44946</v>
      </c>
      <c r="D16" s="41"/>
      <c r="E16" s="41"/>
      <c r="F16" s="34"/>
      <c r="G16" s="34"/>
      <c r="H16" s="34"/>
      <c r="I16" s="34"/>
      <c r="J16" s="48"/>
      <c r="K16" s="48"/>
      <c r="L16" s="48"/>
      <c r="M16" s="48"/>
      <c r="N16">
        <f t="shared" si="23"/>
        <v>0.16527568042642199</v>
      </c>
      <c r="O16">
        <f t="shared" si="23"/>
        <v>0.31807395611086225</v>
      </c>
      <c r="P16">
        <f t="shared" si="23"/>
        <v>0.24690791130277173</v>
      </c>
      <c r="Q16">
        <f t="shared" si="23"/>
        <v>3.5721306134521829</v>
      </c>
      <c r="R16" t="e">
        <f>(1-AT16/Constants!$C$19/F16)</f>
        <v>#DIV/0!</v>
      </c>
      <c r="S16" t="e">
        <f t="shared" si="0"/>
        <v>#DIV/0!</v>
      </c>
      <c r="T16" s="36"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Calcite</v>
      </c>
      <c r="AT16">
        <f>IF($AS16="Calcite",Constants!B$14*1,IF($AS16="Aragonite",Constants!B$13*1,"Spike ID Error"))</f>
        <v>1.7545077788293085E-4</v>
      </c>
      <c r="AU16">
        <f>IF($AS16="Calcite",Constants!C$14*1,IF($AS16="Aragonite",Constants!C$13*1,"Spike ID Error"))</f>
        <v>4.3055569043463493E-5</v>
      </c>
      <c r="AV16">
        <f>IF($AS16="Calcite",Constants!D$14*1,IF($AS16="Aragonite",Constants!D$13*1,"Spike ID Error"))</f>
        <v>3.6000000000000002E-4</v>
      </c>
      <c r="AW16">
        <f>IF($AS16="Calcite",Constants!E$14*1,IF($AS16="Aragonite",Constants!E$13*1,"Spike ID Error"))</f>
        <v>1.1950837132982323E-3</v>
      </c>
      <c r="AX16">
        <f>IF($AS16="Calcite",Constants!F$14*1,IF($AS16="Aragonite",Constants!F$13*1,"Spike ID Error"))</f>
        <v>5.3835042409610378E-5</v>
      </c>
      <c r="AY16">
        <f>IF($AS16="Calcite",Constants!G$14*1,IF($AS16="Aragonite",Constants!G$13*1,"Spike ID Error"))</f>
        <v>0.32920668495576472</v>
      </c>
      <c r="AZ16">
        <f>IF($AS16="Calcite",Constants!H$14*1,IF($AS16="Aragonite",Constants!H$13*1,"Spike ID Error"))</f>
        <v>2.4228595919861906</v>
      </c>
      <c r="BA16">
        <f>IF($AS16="Calcite",Constants!I$14*1,IF($AS16="Aragonite",Constants!I$13*1,"Spike ID Error"))</f>
        <v>0.98129648892116261</v>
      </c>
      <c r="BB16">
        <f>IF($AS16="Calcite",Constants!J$14*1,IF($AS16="Aragonite",Constants!J$13*1,"Spike ID Error"))</f>
        <v>7.3596913510785749</v>
      </c>
      <c r="BC16">
        <f>IF($AS16="Calcite",Constants!K$14*1,IF($AS16="Aragonite",Constants!K$13*1,"Spike ID Error"))</f>
        <v>5.6732610254575369E-3</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77" t="e">
        <f t="shared" si="43"/>
        <v>#DIV/0!</v>
      </c>
      <c r="BS16" s="77" t="e">
        <f t="shared" si="44"/>
        <v>#DIV/0!</v>
      </c>
      <c r="BT16" s="77" t="e">
        <f t="shared" si="45"/>
        <v>#DIV/0!</v>
      </c>
      <c r="BU16" s="77" t="e">
        <f t="shared" si="37"/>
        <v>#DIV/0!</v>
      </c>
      <c r="BV16" s="77" t="e">
        <f t="shared" si="38"/>
        <v>#DIV/0!</v>
      </c>
      <c r="BW16" s="77" t="e">
        <f t="shared" si="39"/>
        <v>#DIV/0!</v>
      </c>
      <c r="BY16" s="75" t="e">
        <f t="shared" si="40"/>
        <v>#DIV/0!</v>
      </c>
      <c r="BZ16" s="75" t="e">
        <f t="shared" si="41"/>
        <v>#DIV/0!</v>
      </c>
      <c r="CA16" s="75" t="e">
        <f t="shared" si="42"/>
        <v>#DIV/0!</v>
      </c>
    </row>
    <row r="17" spans="1:79">
      <c r="A17" s="41"/>
      <c r="B17" s="41" t="s">
        <v>73</v>
      </c>
      <c r="C17" s="62">
        <v>44946</v>
      </c>
      <c r="D17" s="41"/>
      <c r="E17" s="41"/>
      <c r="F17" s="34"/>
      <c r="G17" s="34"/>
      <c r="H17" s="34"/>
      <c r="I17" s="34"/>
      <c r="J17" s="48"/>
      <c r="K17" s="48"/>
      <c r="L17" s="48"/>
      <c r="M17" s="48"/>
      <c r="N17">
        <f t="shared" si="23"/>
        <v>0.16527568042642199</v>
      </c>
      <c r="O17">
        <f t="shared" si="23"/>
        <v>0.31807395611086225</v>
      </c>
      <c r="P17">
        <f t="shared" si="23"/>
        <v>0.24690791130277173</v>
      </c>
      <c r="Q17">
        <f t="shared" si="23"/>
        <v>3.5721306134521829</v>
      </c>
      <c r="R17" t="e">
        <f>(1-AT17/Constants!$C$19/F17)</f>
        <v>#DIV/0!</v>
      </c>
      <c r="S17" t="e">
        <f t="shared" si="0"/>
        <v>#DIV/0!</v>
      </c>
      <c r="T17" s="36"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Calcite</v>
      </c>
      <c r="AT17">
        <f>IF($AS17="Calcite",Constants!B$14*1,IF($AS17="Aragonite",Constants!B$13*1,"Spike ID Error"))</f>
        <v>1.7545077788293085E-4</v>
      </c>
      <c r="AU17">
        <f>IF($AS17="Calcite",Constants!C$14*1,IF($AS17="Aragonite",Constants!C$13*1,"Spike ID Error"))</f>
        <v>4.3055569043463493E-5</v>
      </c>
      <c r="AV17">
        <f>IF($AS17="Calcite",Constants!D$14*1,IF($AS17="Aragonite",Constants!D$13*1,"Spike ID Error"))</f>
        <v>3.6000000000000002E-4</v>
      </c>
      <c r="AW17">
        <f>IF($AS17="Calcite",Constants!E$14*1,IF($AS17="Aragonite",Constants!E$13*1,"Spike ID Error"))</f>
        <v>1.1950837132982323E-3</v>
      </c>
      <c r="AX17">
        <f>IF($AS17="Calcite",Constants!F$14*1,IF($AS17="Aragonite",Constants!F$13*1,"Spike ID Error"))</f>
        <v>5.3835042409610378E-5</v>
      </c>
      <c r="AY17">
        <f>IF($AS17="Calcite",Constants!G$14*1,IF($AS17="Aragonite",Constants!G$13*1,"Spike ID Error"))</f>
        <v>0.32920668495576472</v>
      </c>
      <c r="AZ17">
        <f>IF($AS17="Calcite",Constants!H$14*1,IF($AS17="Aragonite",Constants!H$13*1,"Spike ID Error"))</f>
        <v>2.4228595919861906</v>
      </c>
      <c r="BA17">
        <f>IF($AS17="Calcite",Constants!I$14*1,IF($AS17="Aragonite",Constants!I$13*1,"Spike ID Error"))</f>
        <v>0.98129648892116261</v>
      </c>
      <c r="BB17">
        <f>IF($AS17="Calcite",Constants!J$14*1,IF($AS17="Aragonite",Constants!J$13*1,"Spike ID Error"))</f>
        <v>7.3596913510785749</v>
      </c>
      <c r="BC17">
        <f>IF($AS17="Calcite",Constants!K$14*1,IF($AS17="Aragonite",Constants!K$13*1,"Spike ID Error"))</f>
        <v>5.6732610254575369E-3</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77" t="e">
        <f t="shared" si="43"/>
        <v>#DIV/0!</v>
      </c>
      <c r="BS17" s="77" t="e">
        <f t="shared" si="44"/>
        <v>#DIV/0!</v>
      </c>
      <c r="BT17" s="77" t="e">
        <f t="shared" si="45"/>
        <v>#DIV/0!</v>
      </c>
      <c r="BU17" s="77" t="e">
        <f t="shared" si="37"/>
        <v>#DIV/0!</v>
      </c>
      <c r="BV17" s="77" t="e">
        <f t="shared" si="38"/>
        <v>#DIV/0!</v>
      </c>
      <c r="BW17" s="77" t="e">
        <f t="shared" si="39"/>
        <v>#DIV/0!</v>
      </c>
      <c r="BY17" s="75" t="e">
        <f t="shared" si="40"/>
        <v>#DIV/0!</v>
      </c>
      <c r="BZ17" s="75" t="e">
        <f t="shared" si="41"/>
        <v>#DIV/0!</v>
      </c>
      <c r="CA17" s="75" t="e">
        <f t="shared" si="42"/>
        <v>#DIV/0!</v>
      </c>
    </row>
    <row r="18" spans="1:79">
      <c r="A18" s="41"/>
      <c r="B18" s="41" t="s">
        <v>73</v>
      </c>
      <c r="C18" s="62">
        <v>44946</v>
      </c>
      <c r="D18" s="41"/>
      <c r="E18" s="41"/>
      <c r="F18" s="34"/>
      <c r="G18" s="34"/>
      <c r="H18" s="34"/>
      <c r="I18" s="34"/>
      <c r="J18" s="48"/>
      <c r="K18" s="48"/>
      <c r="L18" s="48"/>
      <c r="M18" s="48"/>
      <c r="N18">
        <f t="shared" si="23"/>
        <v>0.16527568042642199</v>
      </c>
      <c r="O18">
        <f t="shared" si="23"/>
        <v>0.31807395611086225</v>
      </c>
      <c r="P18">
        <f t="shared" si="23"/>
        <v>0.24690791130277173</v>
      </c>
      <c r="Q18">
        <f t="shared" si="23"/>
        <v>3.5721306134521829</v>
      </c>
      <c r="R18" t="e">
        <f>(1-AT18/Constants!$C$19/F18)</f>
        <v>#DIV/0!</v>
      </c>
      <c r="S18" t="e">
        <f t="shared" si="0"/>
        <v>#DIV/0!</v>
      </c>
      <c r="T18" s="36"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Calcite</v>
      </c>
      <c r="AT18">
        <f>IF($AS18="Calcite",Constants!B$14*1,IF($AS18="Aragonite",Constants!B$13*1,"Spike ID Error"))</f>
        <v>1.7545077788293085E-4</v>
      </c>
      <c r="AU18">
        <f>IF($AS18="Calcite",Constants!C$14*1,IF($AS18="Aragonite",Constants!C$13*1,"Spike ID Error"))</f>
        <v>4.3055569043463493E-5</v>
      </c>
      <c r="AV18">
        <f>IF($AS18="Calcite",Constants!D$14*1,IF($AS18="Aragonite",Constants!D$13*1,"Spike ID Error"))</f>
        <v>3.6000000000000002E-4</v>
      </c>
      <c r="AW18">
        <f>IF($AS18="Calcite",Constants!E$14*1,IF($AS18="Aragonite",Constants!E$13*1,"Spike ID Error"))</f>
        <v>1.1950837132982323E-3</v>
      </c>
      <c r="AX18">
        <f>IF($AS18="Calcite",Constants!F$14*1,IF($AS18="Aragonite",Constants!F$13*1,"Spike ID Error"))</f>
        <v>5.3835042409610378E-5</v>
      </c>
      <c r="AY18">
        <f>IF($AS18="Calcite",Constants!G$14*1,IF($AS18="Aragonite",Constants!G$13*1,"Spike ID Error"))</f>
        <v>0.32920668495576472</v>
      </c>
      <c r="AZ18">
        <f>IF($AS18="Calcite",Constants!H$14*1,IF($AS18="Aragonite",Constants!H$13*1,"Spike ID Error"))</f>
        <v>2.4228595919861906</v>
      </c>
      <c r="BA18">
        <f>IF($AS18="Calcite",Constants!I$14*1,IF($AS18="Aragonite",Constants!I$13*1,"Spike ID Error"))</f>
        <v>0.98129648892116261</v>
      </c>
      <c r="BB18">
        <f>IF($AS18="Calcite",Constants!J$14*1,IF($AS18="Aragonite",Constants!J$13*1,"Spike ID Error"))</f>
        <v>7.3596913510785749</v>
      </c>
      <c r="BC18">
        <f>IF($AS18="Calcite",Constants!K$14*1,IF($AS18="Aragonite",Constants!K$13*1,"Spike ID Error"))</f>
        <v>5.6732610254575369E-3</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77" t="e">
        <f t="shared" si="43"/>
        <v>#DIV/0!</v>
      </c>
      <c r="BS18" s="77" t="e">
        <f t="shared" si="44"/>
        <v>#DIV/0!</v>
      </c>
      <c r="BT18" s="77" t="e">
        <f t="shared" si="45"/>
        <v>#DIV/0!</v>
      </c>
      <c r="BU18" s="77" t="e">
        <f t="shared" si="37"/>
        <v>#DIV/0!</v>
      </c>
      <c r="BV18" s="77" t="e">
        <f t="shared" si="38"/>
        <v>#DIV/0!</v>
      </c>
      <c r="BW18" s="77" t="e">
        <f t="shared" si="39"/>
        <v>#DIV/0!</v>
      </c>
      <c r="BY18" s="75" t="e">
        <f t="shared" si="40"/>
        <v>#DIV/0!</v>
      </c>
      <c r="BZ18" s="75" t="e">
        <f t="shared" si="41"/>
        <v>#DIV/0!</v>
      </c>
      <c r="CA18" s="75" t="e">
        <f t="shared" si="42"/>
        <v>#DIV/0!</v>
      </c>
    </row>
    <row r="19" spans="1:79">
      <c r="A19" s="41"/>
      <c r="B19" s="41" t="s">
        <v>73</v>
      </c>
      <c r="C19" s="62">
        <v>44946</v>
      </c>
      <c r="D19" s="41"/>
      <c r="E19" s="41"/>
      <c r="F19" s="34"/>
      <c r="G19" s="34"/>
      <c r="H19" s="34"/>
      <c r="I19" s="34"/>
      <c r="J19" s="48"/>
      <c r="K19" s="48"/>
      <c r="L19" s="48"/>
      <c r="M19" s="48"/>
      <c r="N19">
        <f t="shared" si="23"/>
        <v>0.16527568042642199</v>
      </c>
      <c r="O19">
        <f t="shared" si="23"/>
        <v>0.31807395611086225</v>
      </c>
      <c r="P19">
        <f t="shared" si="23"/>
        <v>0.24690791130277173</v>
      </c>
      <c r="Q19">
        <f t="shared" si="23"/>
        <v>3.5721306134521829</v>
      </c>
      <c r="R19" t="e">
        <f>(1-AT19/Constants!$C$19/F19)</f>
        <v>#DIV/0!</v>
      </c>
      <c r="S19" t="e">
        <f t="shared" si="0"/>
        <v>#DIV/0!</v>
      </c>
      <c r="T19" s="36"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Calcite</v>
      </c>
      <c r="AT19">
        <f>IF($AS19="Calcite",Constants!B$14*1,IF($AS19="Aragonite",Constants!B$13*1,"Spike ID Error"))</f>
        <v>1.7545077788293085E-4</v>
      </c>
      <c r="AU19">
        <f>IF($AS19="Calcite",Constants!C$14*1,IF($AS19="Aragonite",Constants!C$13*1,"Spike ID Error"))</f>
        <v>4.3055569043463493E-5</v>
      </c>
      <c r="AV19">
        <f>IF($AS19="Calcite",Constants!D$14*1,IF($AS19="Aragonite",Constants!D$13*1,"Spike ID Error"))</f>
        <v>3.6000000000000002E-4</v>
      </c>
      <c r="AW19">
        <f>IF($AS19="Calcite",Constants!E$14*1,IF($AS19="Aragonite",Constants!E$13*1,"Spike ID Error"))</f>
        <v>1.1950837132982323E-3</v>
      </c>
      <c r="AX19">
        <f>IF($AS19="Calcite",Constants!F$14*1,IF($AS19="Aragonite",Constants!F$13*1,"Spike ID Error"))</f>
        <v>5.3835042409610378E-5</v>
      </c>
      <c r="AY19">
        <f>IF($AS19="Calcite",Constants!G$14*1,IF($AS19="Aragonite",Constants!G$13*1,"Spike ID Error"))</f>
        <v>0.32920668495576472</v>
      </c>
      <c r="AZ19">
        <f>IF($AS19="Calcite",Constants!H$14*1,IF($AS19="Aragonite",Constants!H$13*1,"Spike ID Error"))</f>
        <v>2.4228595919861906</v>
      </c>
      <c r="BA19">
        <f>IF($AS19="Calcite",Constants!I$14*1,IF($AS19="Aragonite",Constants!I$13*1,"Spike ID Error"))</f>
        <v>0.98129648892116261</v>
      </c>
      <c r="BB19">
        <f>IF($AS19="Calcite",Constants!J$14*1,IF($AS19="Aragonite",Constants!J$13*1,"Spike ID Error"))</f>
        <v>7.3596913510785749</v>
      </c>
      <c r="BC19">
        <f>IF($AS19="Calcite",Constants!K$14*1,IF($AS19="Aragonite",Constants!K$13*1,"Spike ID Error"))</f>
        <v>5.6732610254575369E-3</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77" t="e">
        <f t="shared" si="43"/>
        <v>#DIV/0!</v>
      </c>
      <c r="BS19" s="77" t="e">
        <f t="shared" si="44"/>
        <v>#DIV/0!</v>
      </c>
      <c r="BT19" s="77" t="e">
        <f t="shared" si="45"/>
        <v>#DIV/0!</v>
      </c>
      <c r="BU19" s="77" t="e">
        <f t="shared" si="37"/>
        <v>#DIV/0!</v>
      </c>
      <c r="BV19" s="77" t="e">
        <f t="shared" si="38"/>
        <v>#DIV/0!</v>
      </c>
      <c r="BW19" s="77" t="e">
        <f t="shared" si="39"/>
        <v>#DIV/0!</v>
      </c>
      <c r="BY19" s="75" t="e">
        <f t="shared" si="40"/>
        <v>#DIV/0!</v>
      </c>
      <c r="BZ19" s="75" t="e">
        <f t="shared" si="41"/>
        <v>#DIV/0!</v>
      </c>
      <c r="CA19" s="75" t="e">
        <f t="shared" si="42"/>
        <v>#DIV/0!</v>
      </c>
    </row>
    <row r="20" spans="1:79">
      <c r="A20" s="41"/>
      <c r="B20" s="41" t="s">
        <v>73</v>
      </c>
      <c r="C20" s="62">
        <v>44946</v>
      </c>
      <c r="D20" s="41"/>
      <c r="E20" s="41"/>
      <c r="F20" s="34"/>
      <c r="G20" s="34"/>
      <c r="H20" s="34"/>
      <c r="I20" s="34"/>
      <c r="J20" s="48"/>
      <c r="K20" s="48"/>
      <c r="L20" s="48"/>
      <c r="M20" s="48"/>
      <c r="N20">
        <f t="shared" si="23"/>
        <v>0.16527568042642199</v>
      </c>
      <c r="O20">
        <f t="shared" si="23"/>
        <v>0.31807395611086225</v>
      </c>
      <c r="P20">
        <f t="shared" si="23"/>
        <v>0.24690791130277173</v>
      </c>
      <c r="Q20">
        <f t="shared" si="23"/>
        <v>3.5721306134521829</v>
      </c>
      <c r="R20" t="e">
        <f>(1-AT20/Constants!$C$19/F20)</f>
        <v>#DIV/0!</v>
      </c>
      <c r="S20" t="e">
        <f t="shared" si="0"/>
        <v>#DIV/0!</v>
      </c>
      <c r="T20" s="36"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Calcite</v>
      </c>
      <c r="AT20">
        <f>IF($AS20="Calcite",Constants!B$14*1,IF($AS20="Aragonite",Constants!B$13*1,"Spike ID Error"))</f>
        <v>1.7545077788293085E-4</v>
      </c>
      <c r="AU20">
        <f>IF($AS20="Calcite",Constants!C$14*1,IF($AS20="Aragonite",Constants!C$13*1,"Spike ID Error"))</f>
        <v>4.3055569043463493E-5</v>
      </c>
      <c r="AV20">
        <f>IF($AS20="Calcite",Constants!D$14*1,IF($AS20="Aragonite",Constants!D$13*1,"Spike ID Error"))</f>
        <v>3.6000000000000002E-4</v>
      </c>
      <c r="AW20">
        <f>IF($AS20="Calcite",Constants!E$14*1,IF($AS20="Aragonite",Constants!E$13*1,"Spike ID Error"))</f>
        <v>1.1950837132982323E-3</v>
      </c>
      <c r="AX20">
        <f>IF($AS20="Calcite",Constants!F$14*1,IF($AS20="Aragonite",Constants!F$13*1,"Spike ID Error"))</f>
        <v>5.3835042409610378E-5</v>
      </c>
      <c r="AY20">
        <f>IF($AS20="Calcite",Constants!G$14*1,IF($AS20="Aragonite",Constants!G$13*1,"Spike ID Error"))</f>
        <v>0.32920668495576472</v>
      </c>
      <c r="AZ20">
        <f>IF($AS20="Calcite",Constants!H$14*1,IF($AS20="Aragonite",Constants!H$13*1,"Spike ID Error"))</f>
        <v>2.4228595919861906</v>
      </c>
      <c r="BA20">
        <f>IF($AS20="Calcite",Constants!I$14*1,IF($AS20="Aragonite",Constants!I$13*1,"Spike ID Error"))</f>
        <v>0.98129648892116261</v>
      </c>
      <c r="BB20">
        <f>IF($AS20="Calcite",Constants!J$14*1,IF($AS20="Aragonite",Constants!J$13*1,"Spike ID Error"))</f>
        <v>7.3596913510785749</v>
      </c>
      <c r="BC20">
        <f>IF($AS20="Calcite",Constants!K$14*1,IF($AS20="Aragonite",Constants!K$13*1,"Spike ID Error"))</f>
        <v>5.6732610254575369E-3</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77" t="e">
        <f t="shared" si="43"/>
        <v>#DIV/0!</v>
      </c>
      <c r="BS20" s="77" t="e">
        <f t="shared" si="44"/>
        <v>#DIV/0!</v>
      </c>
      <c r="BT20" s="77" t="e">
        <f t="shared" si="45"/>
        <v>#DIV/0!</v>
      </c>
      <c r="BU20" s="77" t="e">
        <f t="shared" si="37"/>
        <v>#DIV/0!</v>
      </c>
      <c r="BV20" s="77" t="e">
        <f t="shared" si="38"/>
        <v>#DIV/0!</v>
      </c>
      <c r="BW20" s="77" t="e">
        <f t="shared" si="39"/>
        <v>#DIV/0!</v>
      </c>
      <c r="BY20" s="75" t="e">
        <f t="shared" si="40"/>
        <v>#DIV/0!</v>
      </c>
      <c r="BZ20" s="75" t="e">
        <f t="shared" si="41"/>
        <v>#DIV/0!</v>
      </c>
      <c r="CA20" s="75" t="e">
        <f t="shared" si="42"/>
        <v>#DIV/0!</v>
      </c>
    </row>
    <row r="21" spans="1:79">
      <c r="A21" s="41"/>
      <c r="B21" s="41" t="s">
        <v>73</v>
      </c>
      <c r="C21" s="62">
        <v>44946</v>
      </c>
      <c r="D21" s="41"/>
      <c r="E21" s="41"/>
      <c r="F21" s="34"/>
      <c r="G21" s="34"/>
      <c r="H21" s="34"/>
      <c r="I21" s="34"/>
      <c r="J21" s="48"/>
      <c r="K21" s="48"/>
      <c r="L21" s="48"/>
      <c r="M21" s="48"/>
      <c r="N21">
        <f t="shared" si="23"/>
        <v>0.16527568042642199</v>
      </c>
      <c r="O21">
        <f t="shared" si="23"/>
        <v>0.31807395611086225</v>
      </c>
      <c r="P21">
        <f t="shared" si="23"/>
        <v>0.24690791130277173</v>
      </c>
      <c r="Q21">
        <f t="shared" si="23"/>
        <v>3.5721306134521829</v>
      </c>
      <c r="R21" t="e">
        <f>(1-AT21/Constants!$C$19/F21)</f>
        <v>#DIV/0!</v>
      </c>
      <c r="S21" t="e">
        <f t="shared" si="0"/>
        <v>#DIV/0!</v>
      </c>
      <c r="T21" s="36"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Calcite</v>
      </c>
      <c r="AT21">
        <f>IF($AS21="Calcite",Constants!B$14*1,IF($AS21="Aragonite",Constants!B$13*1,"Spike ID Error"))</f>
        <v>1.7545077788293085E-4</v>
      </c>
      <c r="AU21">
        <f>IF($AS21="Calcite",Constants!C$14*1,IF($AS21="Aragonite",Constants!C$13*1,"Spike ID Error"))</f>
        <v>4.3055569043463493E-5</v>
      </c>
      <c r="AV21">
        <f>IF($AS21="Calcite",Constants!D$14*1,IF($AS21="Aragonite",Constants!D$13*1,"Spike ID Error"))</f>
        <v>3.6000000000000002E-4</v>
      </c>
      <c r="AW21">
        <f>IF($AS21="Calcite",Constants!E$14*1,IF($AS21="Aragonite",Constants!E$13*1,"Spike ID Error"))</f>
        <v>1.1950837132982323E-3</v>
      </c>
      <c r="AX21">
        <f>IF($AS21="Calcite",Constants!F$14*1,IF($AS21="Aragonite",Constants!F$13*1,"Spike ID Error"))</f>
        <v>5.3835042409610378E-5</v>
      </c>
      <c r="AY21">
        <f>IF($AS21="Calcite",Constants!G$14*1,IF($AS21="Aragonite",Constants!G$13*1,"Spike ID Error"))</f>
        <v>0.32920668495576472</v>
      </c>
      <c r="AZ21">
        <f>IF($AS21="Calcite",Constants!H$14*1,IF($AS21="Aragonite",Constants!H$13*1,"Spike ID Error"))</f>
        <v>2.4228595919861906</v>
      </c>
      <c r="BA21">
        <f>IF($AS21="Calcite",Constants!I$14*1,IF($AS21="Aragonite",Constants!I$13*1,"Spike ID Error"))</f>
        <v>0.98129648892116261</v>
      </c>
      <c r="BB21">
        <f>IF($AS21="Calcite",Constants!J$14*1,IF($AS21="Aragonite",Constants!J$13*1,"Spike ID Error"))</f>
        <v>7.3596913510785749</v>
      </c>
      <c r="BC21">
        <f>IF($AS21="Calcite",Constants!K$14*1,IF($AS21="Aragonite",Constants!K$13*1,"Spike ID Error"))</f>
        <v>5.6732610254575369E-3</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77" t="e">
        <f t="shared" si="43"/>
        <v>#DIV/0!</v>
      </c>
      <c r="BS21" s="77" t="e">
        <f t="shared" si="44"/>
        <v>#DIV/0!</v>
      </c>
      <c r="BT21" s="77" t="e">
        <f t="shared" si="45"/>
        <v>#DIV/0!</v>
      </c>
      <c r="BU21" s="77" t="e">
        <f t="shared" si="37"/>
        <v>#DIV/0!</v>
      </c>
      <c r="BV21" s="77" t="e">
        <f t="shared" si="38"/>
        <v>#DIV/0!</v>
      </c>
      <c r="BW21" s="77" t="e">
        <f t="shared" si="39"/>
        <v>#DIV/0!</v>
      </c>
      <c r="BY21" s="75" t="e">
        <f t="shared" si="40"/>
        <v>#DIV/0!</v>
      </c>
      <c r="BZ21" s="75" t="e">
        <f t="shared" si="41"/>
        <v>#DIV/0!</v>
      </c>
      <c r="CA21" s="75" t="e">
        <f t="shared" si="42"/>
        <v>#DIV/0!</v>
      </c>
    </row>
    <row r="22" spans="1:79">
      <c r="A22" s="41"/>
      <c r="B22" s="41" t="s">
        <v>73</v>
      </c>
      <c r="C22" s="62">
        <v>44946</v>
      </c>
      <c r="D22" s="41"/>
      <c r="E22" s="41"/>
      <c r="F22" s="34"/>
      <c r="G22" s="34"/>
      <c r="H22" s="34"/>
      <c r="I22" s="34"/>
      <c r="J22" s="48"/>
      <c r="K22" s="48"/>
      <c r="L22" s="48"/>
      <c r="M22" s="48"/>
      <c r="N22">
        <f t="shared" ref="N22:Q23" si="51">N$4</f>
        <v>0.16527568042642199</v>
      </c>
      <c r="O22">
        <f t="shared" si="51"/>
        <v>0.31807395611086225</v>
      </c>
      <c r="P22">
        <f t="shared" si="51"/>
        <v>0.24690791130277173</v>
      </c>
      <c r="Q22">
        <f t="shared" si="51"/>
        <v>3.5721306134521829</v>
      </c>
      <c r="R22" t="e">
        <f>(1-AT22/Constants!$C$19/F22)</f>
        <v>#DIV/0!</v>
      </c>
      <c r="S22" t="e">
        <f t="shared" si="0"/>
        <v>#DIV/0!</v>
      </c>
      <c r="T22" s="36"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Calcite</v>
      </c>
      <c r="AT22">
        <f>IF($AS22="Calcite",Constants!B$14*1,IF($AS22="Aragonite",Constants!B$13*1,"Spike ID Error"))</f>
        <v>1.7545077788293085E-4</v>
      </c>
      <c r="AU22">
        <f>IF($AS22="Calcite",Constants!C$14*1,IF($AS22="Aragonite",Constants!C$13*1,"Spike ID Error"))</f>
        <v>4.3055569043463493E-5</v>
      </c>
      <c r="AV22">
        <f>IF($AS22="Calcite",Constants!D$14*1,IF($AS22="Aragonite",Constants!D$13*1,"Spike ID Error"))</f>
        <v>3.6000000000000002E-4</v>
      </c>
      <c r="AW22">
        <f>IF($AS22="Calcite",Constants!E$14*1,IF($AS22="Aragonite",Constants!E$13*1,"Spike ID Error"))</f>
        <v>1.1950837132982323E-3</v>
      </c>
      <c r="AX22">
        <f>IF($AS22="Calcite",Constants!F$14*1,IF($AS22="Aragonite",Constants!F$13*1,"Spike ID Error"))</f>
        <v>5.3835042409610378E-5</v>
      </c>
      <c r="AY22">
        <f>IF($AS22="Calcite",Constants!G$14*1,IF($AS22="Aragonite",Constants!G$13*1,"Spike ID Error"))</f>
        <v>0.32920668495576472</v>
      </c>
      <c r="AZ22">
        <f>IF($AS22="Calcite",Constants!H$14*1,IF($AS22="Aragonite",Constants!H$13*1,"Spike ID Error"))</f>
        <v>2.4228595919861906</v>
      </c>
      <c r="BA22">
        <f>IF($AS22="Calcite",Constants!I$14*1,IF($AS22="Aragonite",Constants!I$13*1,"Spike ID Error"))</f>
        <v>0.98129648892116261</v>
      </c>
      <c r="BB22">
        <f>IF($AS22="Calcite",Constants!J$14*1,IF($AS22="Aragonite",Constants!J$13*1,"Spike ID Error"))</f>
        <v>7.3596913510785749</v>
      </c>
      <c r="BC22">
        <f>IF($AS22="Calcite",Constants!K$14*1,IF($AS22="Aragonite",Constants!K$13*1,"Spike ID Error"))</f>
        <v>5.6732610254575369E-3</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77" t="e">
        <f t="shared" si="43"/>
        <v>#DIV/0!</v>
      </c>
      <c r="BS22" s="77" t="e">
        <f t="shared" si="44"/>
        <v>#DIV/0!</v>
      </c>
      <c r="BT22" s="77" t="e">
        <f t="shared" si="45"/>
        <v>#DIV/0!</v>
      </c>
      <c r="BU22" s="77" t="e">
        <f t="shared" si="37"/>
        <v>#DIV/0!</v>
      </c>
      <c r="BV22" s="77" t="e">
        <f t="shared" si="38"/>
        <v>#DIV/0!</v>
      </c>
      <c r="BW22" s="77" t="e">
        <f t="shared" si="39"/>
        <v>#DIV/0!</v>
      </c>
      <c r="BY22" s="75" t="e">
        <f t="shared" si="40"/>
        <v>#DIV/0!</v>
      </c>
      <c r="BZ22" s="75" t="e">
        <f t="shared" si="41"/>
        <v>#DIV/0!</v>
      </c>
      <c r="CA22" s="75" t="e">
        <f t="shared" si="42"/>
        <v>#DIV/0!</v>
      </c>
    </row>
    <row r="23" spans="1:79">
      <c r="A23" s="41"/>
      <c r="B23" s="41" t="s">
        <v>73</v>
      </c>
      <c r="C23" s="62">
        <v>44946</v>
      </c>
      <c r="D23" s="41"/>
      <c r="E23" s="41"/>
      <c r="F23" s="34"/>
      <c r="G23" s="34"/>
      <c r="H23" s="34"/>
      <c r="I23" s="34"/>
      <c r="J23" s="48"/>
      <c r="K23" s="48"/>
      <c r="L23" s="48"/>
      <c r="M23" s="48"/>
      <c r="N23">
        <f t="shared" si="51"/>
        <v>0.16527568042642199</v>
      </c>
      <c r="O23">
        <f t="shared" si="51"/>
        <v>0.31807395611086225</v>
      </c>
      <c r="P23">
        <f t="shared" si="51"/>
        <v>0.24690791130277173</v>
      </c>
      <c r="Q23">
        <f t="shared" si="51"/>
        <v>3.5721306134521829</v>
      </c>
      <c r="R23" t="e">
        <f>(1-AT23/Constants!$C$19/F23)</f>
        <v>#DIV/0!</v>
      </c>
      <c r="S23" t="e">
        <f t="shared" si="0"/>
        <v>#DIV/0!</v>
      </c>
      <c r="T23" s="36"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Calcite</v>
      </c>
      <c r="AT23">
        <f>IF($AS23="Calcite",Constants!B$14*1,IF($AS23="Aragonite",Constants!B$13*1,"Spike ID Error"))</f>
        <v>1.7545077788293085E-4</v>
      </c>
      <c r="AU23">
        <f>IF($AS23="Calcite",Constants!C$14*1,IF($AS23="Aragonite",Constants!C$13*1,"Spike ID Error"))</f>
        <v>4.3055569043463493E-5</v>
      </c>
      <c r="AV23">
        <f>IF($AS23="Calcite",Constants!D$14*1,IF($AS23="Aragonite",Constants!D$13*1,"Spike ID Error"))</f>
        <v>3.6000000000000002E-4</v>
      </c>
      <c r="AW23">
        <f>IF($AS23="Calcite",Constants!E$14*1,IF($AS23="Aragonite",Constants!E$13*1,"Spike ID Error"))</f>
        <v>1.1950837132982323E-3</v>
      </c>
      <c r="AX23">
        <f>IF($AS23="Calcite",Constants!F$14*1,IF($AS23="Aragonite",Constants!F$13*1,"Spike ID Error"))</f>
        <v>5.3835042409610378E-5</v>
      </c>
      <c r="AY23">
        <f>IF($AS23="Calcite",Constants!G$14*1,IF($AS23="Aragonite",Constants!G$13*1,"Spike ID Error"))</f>
        <v>0.32920668495576472</v>
      </c>
      <c r="AZ23">
        <f>IF($AS23="Calcite",Constants!H$14*1,IF($AS23="Aragonite",Constants!H$13*1,"Spike ID Error"))</f>
        <v>2.4228595919861906</v>
      </c>
      <c r="BA23">
        <f>IF($AS23="Calcite",Constants!I$14*1,IF($AS23="Aragonite",Constants!I$13*1,"Spike ID Error"))</f>
        <v>0.98129648892116261</v>
      </c>
      <c r="BB23">
        <f>IF($AS23="Calcite",Constants!J$14*1,IF($AS23="Aragonite",Constants!J$13*1,"Spike ID Error"))</f>
        <v>7.3596913510785749</v>
      </c>
      <c r="BC23">
        <f>IF($AS23="Calcite",Constants!K$14*1,IF($AS23="Aragonite",Constants!K$13*1,"Spike ID Error"))</f>
        <v>5.6732610254575369E-3</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77" t="e">
        <f t="shared" si="43"/>
        <v>#DIV/0!</v>
      </c>
      <c r="BS23" s="77" t="e">
        <f t="shared" si="44"/>
        <v>#DIV/0!</v>
      </c>
      <c r="BT23" s="77" t="e">
        <f t="shared" si="45"/>
        <v>#DIV/0!</v>
      </c>
      <c r="BU23" s="77" t="e">
        <f t="shared" si="37"/>
        <v>#DIV/0!</v>
      </c>
      <c r="BV23" s="77" t="e">
        <f t="shared" si="38"/>
        <v>#DIV/0!</v>
      </c>
      <c r="BW23" s="77" t="e">
        <f t="shared" si="39"/>
        <v>#DIV/0!</v>
      </c>
      <c r="BY23" s="75" t="e">
        <f t="shared" si="40"/>
        <v>#DIV/0!</v>
      </c>
      <c r="BZ23" s="75" t="e">
        <f t="shared" si="41"/>
        <v>#DIV/0!</v>
      </c>
      <c r="CA23" s="75" t="e">
        <f t="shared" si="42"/>
        <v>#DIV/0!</v>
      </c>
    </row>
    <row r="24" spans="1:79">
      <c r="S24" s="36"/>
      <c r="AO24" s="27"/>
      <c r="AP24" s="1"/>
    </row>
    <row r="25" spans="1:79">
      <c r="A25" s="2" t="s">
        <v>112</v>
      </c>
      <c r="O25" t="s">
        <v>144</v>
      </c>
      <c r="S25" t="s">
        <v>143</v>
      </c>
      <c r="T25" s="58">
        <v>18264</v>
      </c>
    </row>
    <row r="26" spans="1:79">
      <c r="A26" s="2" t="s">
        <v>74</v>
      </c>
      <c r="B26" s="2" t="s">
        <v>113</v>
      </c>
      <c r="C26" s="2" t="s">
        <v>25</v>
      </c>
      <c r="D26" s="64" t="s">
        <v>71</v>
      </c>
      <c r="E26" s="2" t="s">
        <v>46</v>
      </c>
      <c r="F26" s="2" t="s">
        <v>71</v>
      </c>
      <c r="G26" s="2" t="s">
        <v>70</v>
      </c>
      <c r="H26" s="2" t="s">
        <v>71</v>
      </c>
      <c r="I26" s="2" t="s">
        <v>86</v>
      </c>
      <c r="J26" s="2" t="s">
        <v>71</v>
      </c>
      <c r="K26" s="2" t="s">
        <v>87</v>
      </c>
      <c r="L26" s="2" t="s">
        <v>71</v>
      </c>
      <c r="M26" s="2" t="s">
        <v>88</v>
      </c>
      <c r="N26" s="2" t="s">
        <v>71</v>
      </c>
      <c r="O26" s="2" t="s">
        <v>89</v>
      </c>
      <c r="P26" s="2" t="s">
        <v>71</v>
      </c>
      <c r="Q26" s="2" t="s">
        <v>90</v>
      </c>
      <c r="R26" s="2" t="s">
        <v>71</v>
      </c>
      <c r="S26" s="2" t="s">
        <v>89</v>
      </c>
      <c r="T26" s="2" t="s">
        <v>71</v>
      </c>
    </row>
    <row r="27" spans="1:79" ht="16.149999999999999" thickBot="1">
      <c r="A27" s="63"/>
      <c r="B27" s="63"/>
      <c r="C27" s="63" t="s">
        <v>91</v>
      </c>
      <c r="D27" s="63"/>
      <c r="E27" s="63" t="s">
        <v>92</v>
      </c>
      <c r="F27" s="63"/>
      <c r="G27" s="63" t="s">
        <v>93</v>
      </c>
      <c r="H27" s="63"/>
      <c r="I27" s="63" t="s">
        <v>94</v>
      </c>
      <c r="J27" s="63"/>
      <c r="K27" s="63" t="s">
        <v>95</v>
      </c>
      <c r="L27" s="63"/>
      <c r="M27" s="63" t="s">
        <v>96</v>
      </c>
      <c r="N27" s="63"/>
      <c r="O27" s="63" t="s">
        <v>96</v>
      </c>
      <c r="P27" s="63"/>
      <c r="Q27" s="63" t="s">
        <v>115</v>
      </c>
      <c r="R27" s="63"/>
      <c r="S27" s="63" t="s">
        <v>97</v>
      </c>
      <c r="T27" s="63"/>
    </row>
    <row r="28" spans="1:79">
      <c r="A28" s="2" t="str">
        <f t="shared" ref="A28:A36" si="52">A5</f>
        <v>AB12-6A</v>
      </c>
      <c r="B28" s="2"/>
      <c r="C28" s="45">
        <f>AE5*AZ5/BA5*E5/D5*Constants!$B$2/1000</f>
        <v>169.71198812658304</v>
      </c>
      <c r="D28" s="43">
        <f t="shared" ref="D28:D36" si="53">2*C28*SQRT((AF5/1000)^2+(0.01)^2)</f>
        <v>3.5996307340310958</v>
      </c>
      <c r="E28" s="43">
        <f>AI5*AY5*Constants!$B$7*E5/D5</f>
        <v>4860.63796321264</v>
      </c>
      <c r="F28" s="43">
        <f t="shared" ref="F28:F36" si="54">2*E28*SQRT((AJ5/AI5)^2+0.01^2)</f>
        <v>97.859121584686861</v>
      </c>
      <c r="G28" s="46">
        <f t="shared" ref="G28:G36" si="55">AM5</f>
        <v>3.3568158472849774</v>
      </c>
      <c r="H28" s="46">
        <f t="shared" ref="H28:H36" si="56">2*AN5</f>
        <v>7.9111651521743198</v>
      </c>
      <c r="I28" s="50">
        <f>AP5*Constants!D$8/Constants!D$2</f>
        <v>0.22577966908952615</v>
      </c>
      <c r="J28" s="51">
        <f t="shared" ref="J28:J36" si="57">2*AQ5/AP5*I28</f>
        <v>2.9994009922399761E-3</v>
      </c>
      <c r="K28" s="53">
        <f t="shared" ref="K28:K36" si="58">AK5/AI5*1000000</f>
        <v>125.16472886175669</v>
      </c>
      <c r="L28" s="54">
        <f t="shared" ref="L28:L36" si="59">K28*2*SQRT((AJ5/AI5)^2+(AL5/AK5)^2)</f>
        <v>0.77380091866155309</v>
      </c>
      <c r="M28">
        <v>27794.122123215398</v>
      </c>
      <c r="N28">
        <v>493.958037437705</v>
      </c>
      <c r="O28">
        <v>24405.727929988501</v>
      </c>
      <c r="P28">
        <v>1786.4724233305801</v>
      </c>
      <c r="Q28">
        <v>3.59635972569383</v>
      </c>
      <c r="R28">
        <v>8.47508700075368</v>
      </c>
      <c r="S28" s="49">
        <f t="shared" ref="S28:S36" si="60">ROUND(O28-(C5-T$25)/365,1)</f>
        <v>24332.6</v>
      </c>
      <c r="T28" s="49">
        <f>ROUND(MAX(N28,P28),1)</f>
        <v>1786.5</v>
      </c>
      <c r="U28" s="1"/>
      <c r="V28" s="81" t="s">
        <v>388</v>
      </c>
    </row>
    <row r="29" spans="1:79">
      <c r="A29" s="2" t="str">
        <f t="shared" si="52"/>
        <v>AB12-6B</v>
      </c>
      <c r="B29" s="2"/>
      <c r="C29" s="45">
        <f>AE6*AZ6/BA6*E6/D6*Constants!$B$2/1000</f>
        <v>187.37024777144447</v>
      </c>
      <c r="D29" s="43">
        <f t="shared" si="53"/>
        <v>3.7515898642347465</v>
      </c>
      <c r="E29" s="43">
        <f>AI6*AY6*Constants!$B$7*E6/D6</f>
        <v>5839.7212972327461</v>
      </c>
      <c r="F29" s="43">
        <f t="shared" si="54"/>
        <v>117.77875992555309</v>
      </c>
      <c r="G29" s="46">
        <f t="shared" si="55"/>
        <v>5.251529380129849</v>
      </c>
      <c r="H29" s="46">
        <f t="shared" si="56"/>
        <v>2.7538800735405564</v>
      </c>
      <c r="I29" s="50">
        <f>AP6*Constants!D$8/Constants!D$2</f>
        <v>0.22551823390249362</v>
      </c>
      <c r="J29" s="51">
        <f t="shared" si="57"/>
        <v>1.2354686106417023E-3</v>
      </c>
      <c r="K29" s="44">
        <f t="shared" si="58"/>
        <v>114.88625063780465</v>
      </c>
      <c r="L29" s="44">
        <f t="shared" si="59"/>
        <v>0.6597745482507158</v>
      </c>
      <c r="M29">
        <v>27695.560155937201</v>
      </c>
      <c r="N29">
        <v>194.58428763044</v>
      </c>
      <c r="O29">
        <v>24015.843757764698</v>
      </c>
      <c r="P29">
        <v>1881.09130308464</v>
      </c>
      <c r="Q29">
        <v>5.6202891259202401</v>
      </c>
      <c r="R29">
        <v>2.9472718033372902</v>
      </c>
      <c r="S29" s="49">
        <f t="shared" si="60"/>
        <v>23942.7</v>
      </c>
      <c r="T29" s="49">
        <f>ROUND(MAX(N29,P29),1)</f>
        <v>1881.1</v>
      </c>
      <c r="U29" s="1"/>
      <c r="V29" s="37"/>
    </row>
    <row r="30" spans="1:79">
      <c r="A30" s="2" t="str">
        <f t="shared" si="52"/>
        <v>AB12-6C</v>
      </c>
      <c r="B30" s="2"/>
      <c r="C30" s="45">
        <f>AE7*AZ7/BA7*E7/D7*Constants!$B$2/1000</f>
        <v>195.90080632411363</v>
      </c>
      <c r="D30" s="43">
        <f t="shared" si="53"/>
        <v>3.9379593828965307</v>
      </c>
      <c r="E30" s="43">
        <f>AI7*AY7*Constants!$B$7*E7/D7</f>
        <v>5084.1928051628156</v>
      </c>
      <c r="F30" s="43">
        <f t="shared" si="54"/>
        <v>102.03337298611243</v>
      </c>
      <c r="G30" s="46">
        <f t="shared" si="55"/>
        <v>4.5981989350059038</v>
      </c>
      <c r="H30" s="46">
        <f t="shared" si="56"/>
        <v>3.0748498709410881</v>
      </c>
      <c r="I30" s="50">
        <f>AP7*Constants!D$8/Constants!D$2</f>
        <v>0.39396619224067708</v>
      </c>
      <c r="J30" s="51">
        <f t="shared" si="57"/>
        <v>1.8204832767569181E-3</v>
      </c>
      <c r="K30" s="44">
        <f t="shared" si="58"/>
        <v>241.01887275441217</v>
      </c>
      <c r="L30" s="44">
        <f t="shared" si="59"/>
        <v>0.98266120818147584</v>
      </c>
      <c r="M30">
        <v>54264.1420376776</v>
      </c>
      <c r="N30">
        <v>398.51909564263798</v>
      </c>
      <c r="O30">
        <v>51207.660238434597</v>
      </c>
      <c r="P30">
        <v>1598.8710718160401</v>
      </c>
      <c r="Q30">
        <v>5.31287179101846</v>
      </c>
      <c r="R30">
        <v>3.5531651651153999</v>
      </c>
      <c r="S30" s="49">
        <f t="shared" si="60"/>
        <v>51134.6</v>
      </c>
      <c r="T30" s="49">
        <f>ROUND(MAX(N30,P30),1)</f>
        <v>1598.9</v>
      </c>
      <c r="U30" s="1"/>
      <c r="V30" s="86"/>
      <c r="AE30" s="39"/>
    </row>
    <row r="31" spans="1:79">
      <c r="A31" s="2" t="str">
        <f t="shared" si="52"/>
        <v>AB12-6D</v>
      </c>
      <c r="B31" s="2"/>
      <c r="C31" s="45">
        <f>AE8*AZ8/BA8*E8/D8*Constants!$B$2/1000</f>
        <v>174.80225087016282</v>
      </c>
      <c r="D31" s="43">
        <f t="shared" si="53"/>
        <v>3.4981039151394548</v>
      </c>
      <c r="E31" s="43">
        <f>AI8*AY8*Constants!$B$7*E8/D8</f>
        <v>2639.6803938165581</v>
      </c>
      <c r="F31" s="43">
        <f t="shared" si="54"/>
        <v>52.946357441970434</v>
      </c>
      <c r="G31" s="46">
        <f t="shared" si="55"/>
        <v>6.5089633825536897</v>
      </c>
      <c r="H31" s="46">
        <f t="shared" si="56"/>
        <v>2.8460863150623377</v>
      </c>
      <c r="I31" s="50">
        <f>AP8*Constants!D$8/Constants!D$2</f>
        <v>0.39684705013497096</v>
      </c>
      <c r="J31" s="51">
        <f t="shared" si="57"/>
        <v>1.7613870925474184E-3</v>
      </c>
      <c r="K31" s="44">
        <f t="shared" si="58"/>
        <v>417.2503546308763</v>
      </c>
      <c r="L31" s="44">
        <f t="shared" si="59"/>
        <v>1.8114489541122523</v>
      </c>
      <c r="M31">
        <v>54634.410462406602</v>
      </c>
      <c r="N31">
        <v>381.17795662304502</v>
      </c>
      <c r="O31">
        <v>52870.354363505699</v>
      </c>
      <c r="P31">
        <v>966.21633898264997</v>
      </c>
      <c r="Q31">
        <v>7.5563566303537897</v>
      </c>
      <c r="R31">
        <v>3.3040113244409999</v>
      </c>
      <c r="S31" s="49">
        <f t="shared" si="60"/>
        <v>52797.3</v>
      </c>
      <c r="T31" s="49">
        <f>ROUND(MAX(N31,P31),1)</f>
        <v>966.2</v>
      </c>
      <c r="U31" s="1"/>
      <c r="V31" s="40"/>
      <c r="W31" s="40"/>
      <c r="X31" s="40"/>
      <c r="Y31" s="40"/>
      <c r="Z31" s="40"/>
      <c r="AA31" s="40"/>
      <c r="AB31" s="40"/>
      <c r="AC31" s="40"/>
      <c r="AD31" s="40"/>
      <c r="AE31" s="40"/>
      <c r="AF31" s="40"/>
      <c r="AG31" s="40"/>
      <c r="AH31" s="40"/>
      <c r="AI31" s="40"/>
      <c r="AJ31" s="40"/>
      <c r="AK31" s="40"/>
      <c r="AL31" s="40"/>
      <c r="AU31" s="1"/>
    </row>
    <row r="32" spans="1:79">
      <c r="A32" s="2" t="str">
        <f t="shared" si="52"/>
        <v>AB12-6E</v>
      </c>
      <c r="B32" s="2"/>
      <c r="C32" s="45">
        <f>AE9*AZ9/BA9*E9/D9*Constants!$B$2/1000</f>
        <v>3327.8009715143735</v>
      </c>
      <c r="D32" s="43">
        <f t="shared" si="53"/>
        <v>239.42031876399582</v>
      </c>
      <c r="E32" s="43">
        <f>AI9*AY9*Constants!$B$7*E9/D9</f>
        <v>2645.6538165910797</v>
      </c>
      <c r="F32" s="43">
        <f t="shared" si="54"/>
        <v>53.379412530823977</v>
      </c>
      <c r="G32" s="46">
        <f t="shared" si="55"/>
        <v>0.51823945895312917</v>
      </c>
      <c r="H32" s="46">
        <f t="shared" si="56"/>
        <v>2.3125917532869815</v>
      </c>
      <c r="I32" s="50">
        <f>AP9*Constants!D$8/Constants!D$2</f>
        <v>0.56370147980698171</v>
      </c>
      <c r="J32" s="51">
        <f t="shared" si="57"/>
        <v>3.3249325312467376E-3</v>
      </c>
      <c r="K32" s="55">
        <f t="shared" si="58"/>
        <v>11257.744477971788</v>
      </c>
      <c r="L32" s="44">
        <f t="shared" si="59"/>
        <v>44.975829439610656</v>
      </c>
      <c r="M32">
        <v>90363.369126260499</v>
      </c>
      <c r="N32">
        <v>906.18346824167998</v>
      </c>
      <c r="O32">
        <v>90270.568971270201</v>
      </c>
      <c r="P32">
        <v>907.26075447457004</v>
      </c>
      <c r="Q32">
        <v>0.66829133194693102</v>
      </c>
      <c r="R32">
        <v>2.9840890062271601</v>
      </c>
      <c r="S32" s="49">
        <f t="shared" si="60"/>
        <v>90197.5</v>
      </c>
      <c r="T32" s="49">
        <f>ROUND(MAX(N32,P32),1)</f>
        <v>907.3</v>
      </c>
      <c r="U32" s="1"/>
    </row>
    <row r="33" spans="1:23">
      <c r="A33" s="2" t="str">
        <f t="shared" si="52"/>
        <v>AB12-6F</v>
      </c>
      <c r="B33" s="2"/>
      <c r="C33" s="45">
        <f>AE10*AZ10/BA10*E10/D10*Constants!$B$2/1000</f>
        <v>2441.1114840861037</v>
      </c>
      <c r="D33" s="43">
        <f t="shared" si="53"/>
        <v>149.44149382704683</v>
      </c>
      <c r="E33" s="43">
        <f>AI10*AY10*Constants!$B$7*E10/D10</f>
        <v>5393.4458618510916</v>
      </c>
      <c r="F33" s="43">
        <f t="shared" si="54"/>
        <v>108.6081028603552</v>
      </c>
      <c r="G33" s="46">
        <f t="shared" si="55"/>
        <v>3.2030750119929063</v>
      </c>
      <c r="H33" s="46">
        <f t="shared" si="56"/>
        <v>2.0345075486796538</v>
      </c>
      <c r="I33" s="50">
        <f>AP10*Constants!D$8/Constants!D$2</f>
        <v>0.56711484763019449</v>
      </c>
      <c r="J33" s="51">
        <f t="shared" si="57"/>
        <v>3.5745885560038624E-3</v>
      </c>
      <c r="K33" s="44">
        <f t="shared" si="58"/>
        <v>4075.3995385429998</v>
      </c>
      <c r="L33" s="44">
        <f t="shared" si="59"/>
        <v>14.973209829022641</v>
      </c>
      <c r="M33">
        <v>90792.211195596305</v>
      </c>
      <c r="N33">
        <v>948.73525608049101</v>
      </c>
      <c r="O33">
        <v>90535.008801340096</v>
      </c>
      <c r="P33">
        <v>957.20880464493405</v>
      </c>
      <c r="Q33">
        <v>4.1353960241472896</v>
      </c>
      <c r="R33">
        <v>2.62741401067291</v>
      </c>
      <c r="S33" s="49">
        <f t="shared" si="60"/>
        <v>90461.9</v>
      </c>
      <c r="T33" s="49">
        <f t="shared" ref="T33:T46" si="61">ROUND(MAX(N33,P33),1)</f>
        <v>957.2</v>
      </c>
      <c r="U33" s="1"/>
    </row>
    <row r="34" spans="1:23">
      <c r="A34" s="2" t="str">
        <f t="shared" si="52"/>
        <v>AB12-6G</v>
      </c>
      <c r="B34" s="2"/>
      <c r="C34" s="45">
        <f>AE11*AZ11/BA11*E11/D11*Constants!$B$2/1000</f>
        <v>5351.7966246606438</v>
      </c>
      <c r="D34" s="43">
        <f t="shared" si="53"/>
        <v>1113.4522210032997</v>
      </c>
      <c r="E34" s="43">
        <f>AI11*AY11*Constants!$B$7*E11/D11</f>
        <v>14403.230068696948</v>
      </c>
      <c r="F34" s="43">
        <f t="shared" si="54"/>
        <v>290.20588376779727</v>
      </c>
      <c r="G34" s="46">
        <f t="shared" si="55"/>
        <v>2.1345943686617019</v>
      </c>
      <c r="H34" s="46">
        <f t="shared" si="56"/>
        <v>2.1230822848814164</v>
      </c>
      <c r="I34" s="50">
        <f>AP11*Constants!D$8/Constants!D$2</f>
        <v>0.61867107277727007</v>
      </c>
      <c r="J34" s="51">
        <f t="shared" si="57"/>
        <v>6.7214075461458538E-3</v>
      </c>
      <c r="K34" s="44">
        <f t="shared" si="58"/>
        <v>3649.8700132001782</v>
      </c>
      <c r="L34" s="44">
        <f t="shared" si="59"/>
        <v>15.39931260292745</v>
      </c>
      <c r="M34">
        <v>104702.166463498</v>
      </c>
      <c r="N34">
        <v>1955.5464818385501</v>
      </c>
      <c r="O34">
        <v>104388.39401719801</v>
      </c>
      <c r="P34">
        <v>1961.6607363107901</v>
      </c>
      <c r="Q34">
        <v>2.8664002032052802</v>
      </c>
      <c r="R34">
        <v>2.85033358160383</v>
      </c>
      <c r="S34" s="49">
        <f t="shared" si="60"/>
        <v>104315.3</v>
      </c>
      <c r="T34" s="49">
        <f t="shared" si="61"/>
        <v>1961.7</v>
      </c>
      <c r="U34" s="1"/>
    </row>
    <row r="35" spans="1:23">
      <c r="A35" s="2" t="str">
        <f t="shared" si="52"/>
        <v>AB12-6H</v>
      </c>
      <c r="B35" s="2"/>
      <c r="C35" s="45">
        <f>AE12*AZ12/BA12*E12/D12*Constants!$B$2/1000</f>
        <v>4712.8841317706065</v>
      </c>
      <c r="D35" s="43">
        <f t="shared" si="53"/>
        <v>1066.8705957891375</v>
      </c>
      <c r="E35" s="43">
        <f>AI12*AY12*Constants!$B$7*E12/D12</f>
        <v>16112.533160637471</v>
      </c>
      <c r="F35" s="43">
        <f t="shared" si="54"/>
        <v>323.99496074838328</v>
      </c>
      <c r="G35" s="46">
        <f t="shared" si="55"/>
        <v>1.0967877352230371</v>
      </c>
      <c r="H35" s="46">
        <f t="shared" si="56"/>
        <v>1.8992474750567248</v>
      </c>
      <c r="I35" s="50">
        <f>AP12*Constants!D$8/Constants!D$2</f>
        <v>0.62407647613757855</v>
      </c>
      <c r="J35" s="51">
        <f t="shared" si="57"/>
        <v>6.8987914766131808E-3</v>
      </c>
      <c r="K35" s="44">
        <f t="shared" si="58"/>
        <v>2898.2686235298679</v>
      </c>
      <c r="L35" s="44">
        <f t="shared" si="59"/>
        <v>8.6910832140450811</v>
      </c>
      <c r="M35">
        <v>106460.648599461</v>
      </c>
      <c r="N35">
        <v>2031.9684082092799</v>
      </c>
      <c r="O35">
        <v>106061.346616308</v>
      </c>
      <c r="P35">
        <v>2041.5982959723101</v>
      </c>
      <c r="Q35">
        <v>1.4797759114431199</v>
      </c>
      <c r="R35">
        <v>2.5616317820583001</v>
      </c>
      <c r="S35" s="49">
        <f t="shared" si="60"/>
        <v>105988.2</v>
      </c>
      <c r="T35" s="49">
        <f t="shared" si="61"/>
        <v>2041.6</v>
      </c>
      <c r="U35" s="1"/>
    </row>
    <row r="36" spans="1:23">
      <c r="A36" s="2" t="str">
        <f t="shared" si="52"/>
        <v>AB10-bottom</v>
      </c>
      <c r="B36" s="2"/>
      <c r="C36" s="45">
        <f>AE13*AZ13/BA13*E13/D13*Constants!$B$2/1000</f>
        <v>6306.5442226278365</v>
      </c>
      <c r="D36" s="43">
        <f t="shared" si="53"/>
        <v>403.027230699874</v>
      </c>
      <c r="E36" s="43">
        <f>AI13*AY13*Constants!$B$7*E13/D13</f>
        <v>8175.2122230548111</v>
      </c>
      <c r="F36" s="43">
        <f t="shared" si="54"/>
        <v>164.71454626120368</v>
      </c>
      <c r="G36" s="46">
        <f t="shared" si="55"/>
        <v>2.2327920948770341</v>
      </c>
      <c r="H36" s="46">
        <f t="shared" si="56"/>
        <v>1.9618544887318474</v>
      </c>
      <c r="I36" s="50">
        <f>AP13*Constants!D$8/Constants!D$2</f>
        <v>9.7199410389271795E-2</v>
      </c>
      <c r="J36" s="51">
        <f t="shared" si="57"/>
        <v>5.4037570643295819E-4</v>
      </c>
      <c r="K36" s="44">
        <f t="shared" si="58"/>
        <v>1190.51240378083</v>
      </c>
      <c r="L36" s="44">
        <f t="shared" si="59"/>
        <v>4.6316463769822507</v>
      </c>
      <c r="M36">
        <v>11123.638254577299</v>
      </c>
      <c r="N36">
        <v>69.141557342515398</v>
      </c>
      <c r="O36">
        <v>10972.5297559877</v>
      </c>
      <c r="P36">
        <v>102.385591218583</v>
      </c>
      <c r="Q36">
        <v>2.3032268321262301</v>
      </c>
      <c r="R36">
        <v>2.0237041150951098</v>
      </c>
      <c r="S36" s="49">
        <f t="shared" si="60"/>
        <v>10899.4</v>
      </c>
      <c r="T36" s="49">
        <f t="shared" si="61"/>
        <v>102.4</v>
      </c>
      <c r="U36" s="1"/>
    </row>
    <row r="37" spans="1:23">
      <c r="A37" s="2"/>
      <c r="B37" s="2"/>
      <c r="C37" s="45"/>
      <c r="D37" s="43"/>
      <c r="E37" s="43"/>
      <c r="F37" s="43"/>
      <c r="G37" s="46"/>
      <c r="H37" s="46"/>
      <c r="I37" s="50"/>
      <c r="J37" s="51"/>
      <c r="K37" s="53"/>
      <c r="L37" s="54"/>
      <c r="S37" s="49"/>
      <c r="T37" s="49"/>
    </row>
    <row r="38" spans="1:23">
      <c r="A38" s="2" t="s">
        <v>348</v>
      </c>
      <c r="B38" s="2"/>
      <c r="C38" s="45">
        <v>169.71198812658304</v>
      </c>
      <c r="D38" s="43">
        <v>3.5996307340310958</v>
      </c>
      <c r="E38" s="43">
        <v>4860.63796321264</v>
      </c>
      <c r="F38" s="43">
        <v>97.859121584686861</v>
      </c>
      <c r="G38" s="46">
        <v>3.3568158472849774</v>
      </c>
      <c r="H38" s="46">
        <v>7.9111651521743198</v>
      </c>
      <c r="I38" s="50">
        <v>0.22577966908952615</v>
      </c>
      <c r="J38" s="51">
        <v>2.9994009922399761E-3</v>
      </c>
      <c r="K38" s="44">
        <v>125.16472886175669</v>
      </c>
      <c r="L38" s="44">
        <v>0.77380091866155309</v>
      </c>
      <c r="M38">
        <v>27794.122123215398</v>
      </c>
      <c r="N38">
        <v>493.958037437705</v>
      </c>
      <c r="O38">
        <v>26927.185608057</v>
      </c>
      <c r="P38">
        <v>655.44984061227501</v>
      </c>
      <c r="Q38">
        <v>3.6220416240956501</v>
      </c>
      <c r="R38">
        <v>8.5355913384705193</v>
      </c>
      <c r="S38" s="49">
        <f t="shared" ref="S38:S46" si="62">ROUND(O38-(C15-T$25)/365,1)</f>
        <v>26854.1</v>
      </c>
      <c r="T38" s="49">
        <f t="shared" si="61"/>
        <v>655.4</v>
      </c>
      <c r="U38" s="1"/>
      <c r="V38" s="81" t="s">
        <v>389</v>
      </c>
      <c r="W38" s="81"/>
    </row>
    <row r="39" spans="1:23">
      <c r="A39" s="2" t="s">
        <v>349</v>
      </c>
      <c r="B39" s="2"/>
      <c r="C39" s="45">
        <v>187.37024777144447</v>
      </c>
      <c r="D39" s="43">
        <v>3.7515898642347465</v>
      </c>
      <c r="E39" s="43">
        <v>5839.7212972327461</v>
      </c>
      <c r="F39" s="43">
        <v>117.77875992555309</v>
      </c>
      <c r="G39" s="46">
        <v>5.251529380129849</v>
      </c>
      <c r="H39" s="46">
        <v>2.7538800735405564</v>
      </c>
      <c r="I39" s="50">
        <v>0.22551823390249362</v>
      </c>
      <c r="J39" s="51">
        <v>1.2354686106417023E-3</v>
      </c>
      <c r="K39" s="44">
        <v>114.88625063780465</v>
      </c>
      <c r="L39" s="44">
        <v>0.6597745482507158</v>
      </c>
      <c r="M39">
        <v>27695.560155937201</v>
      </c>
      <c r="N39">
        <v>194.58428763044</v>
      </c>
      <c r="O39">
        <v>26755.029028925201</v>
      </c>
      <c r="P39">
        <v>510.33753405824302</v>
      </c>
      <c r="Q39">
        <v>5.66390313096848</v>
      </c>
      <c r="R39">
        <v>2.9700015418252002</v>
      </c>
      <c r="S39" s="49">
        <f t="shared" si="62"/>
        <v>26681.9</v>
      </c>
      <c r="T39" s="49">
        <f t="shared" si="61"/>
        <v>510.3</v>
      </c>
      <c r="U39" s="1"/>
    </row>
    <row r="40" spans="1:23">
      <c r="A40" s="2" t="s">
        <v>350</v>
      </c>
      <c r="B40" s="2"/>
      <c r="C40" s="45">
        <v>195.90080632411363</v>
      </c>
      <c r="D40" s="43">
        <v>3.9379593828965307</v>
      </c>
      <c r="E40" s="43">
        <v>5084.1928051628156</v>
      </c>
      <c r="F40" s="43">
        <v>102.03337298611243</v>
      </c>
      <c r="G40" s="46">
        <v>4.5981989350059038</v>
      </c>
      <c r="H40" s="46">
        <v>3.0748498709410881</v>
      </c>
      <c r="I40" s="50">
        <v>0.39396619224067708</v>
      </c>
      <c r="J40" s="51">
        <v>1.8204832767569181E-3</v>
      </c>
      <c r="K40" s="44">
        <v>241.01887275441217</v>
      </c>
      <c r="L40" s="44">
        <v>0.98266120818147584</v>
      </c>
      <c r="M40">
        <v>54264.1420376776</v>
      </c>
      <c r="N40">
        <v>398.51909564263798</v>
      </c>
      <c r="O40">
        <v>53481.246356897602</v>
      </c>
      <c r="P40">
        <v>558.45995835317001</v>
      </c>
      <c r="Q40">
        <v>5.3470698133919798</v>
      </c>
      <c r="R40">
        <v>3.5759646298030998</v>
      </c>
      <c r="S40" s="49">
        <f t="shared" si="62"/>
        <v>53408.1</v>
      </c>
      <c r="T40" s="49">
        <f t="shared" si="61"/>
        <v>558.5</v>
      </c>
      <c r="U40" s="1"/>
    </row>
    <row r="41" spans="1:23">
      <c r="A41" s="2" t="s">
        <v>351</v>
      </c>
      <c r="B41" s="2"/>
      <c r="C41" s="45">
        <v>174.80225087016282</v>
      </c>
      <c r="D41" s="43">
        <v>3.4981039151394548</v>
      </c>
      <c r="E41" s="43">
        <v>2639.6803938165581</v>
      </c>
      <c r="F41" s="43">
        <v>52.946357441970434</v>
      </c>
      <c r="G41" s="46">
        <v>6.5089633825536897</v>
      </c>
      <c r="H41" s="46">
        <v>2.8460863150623377</v>
      </c>
      <c r="I41" s="50">
        <v>0.39684705013497096</v>
      </c>
      <c r="J41" s="51">
        <v>1.7613870925474184E-3</v>
      </c>
      <c r="K41" s="55">
        <v>417.2503546308763</v>
      </c>
      <c r="L41" s="44">
        <v>1.8114489541122523</v>
      </c>
      <c r="M41">
        <v>54634.410462406602</v>
      </c>
      <c r="N41">
        <v>381.17795662304502</v>
      </c>
      <c r="O41">
        <v>54180.567701302403</v>
      </c>
      <c r="P41">
        <v>443.13227557702498</v>
      </c>
      <c r="Q41">
        <v>7.58434798105014</v>
      </c>
      <c r="R41">
        <v>3.3161995226513001</v>
      </c>
      <c r="S41" s="49">
        <f t="shared" si="62"/>
        <v>54107.5</v>
      </c>
      <c r="T41" s="49">
        <f t="shared" si="61"/>
        <v>443.1</v>
      </c>
      <c r="U41" s="1"/>
    </row>
    <row r="42" spans="1:23">
      <c r="A42" s="2" t="s">
        <v>352</v>
      </c>
      <c r="B42" s="2"/>
      <c r="C42" s="45">
        <v>3327.8009715143735</v>
      </c>
      <c r="D42" s="43">
        <v>239.42031876399582</v>
      </c>
      <c r="E42" s="43">
        <v>2645.6538165910797</v>
      </c>
      <c r="F42" s="43">
        <v>53.379412530823977</v>
      </c>
      <c r="G42" s="46">
        <v>0.51823945895312917</v>
      </c>
      <c r="H42" s="46">
        <v>2.3125917532869815</v>
      </c>
      <c r="I42" s="50">
        <v>0.56370147980698171</v>
      </c>
      <c r="J42" s="51">
        <v>3.3249325312467376E-3</v>
      </c>
      <c r="K42" s="44">
        <v>11257.744477971788</v>
      </c>
      <c r="L42" s="44">
        <v>44.975829439610656</v>
      </c>
      <c r="M42">
        <v>90363.369126260499</v>
      </c>
      <c r="N42">
        <v>906.18346824167998</v>
      </c>
      <c r="O42">
        <v>90339.357838208307</v>
      </c>
      <c r="P42">
        <v>906.23428274883099</v>
      </c>
      <c r="Q42">
        <v>0.66842107747019597</v>
      </c>
      <c r="R42">
        <v>2.98466835153378</v>
      </c>
      <c r="S42" s="49">
        <f t="shared" si="62"/>
        <v>90266.3</v>
      </c>
      <c r="T42" s="49">
        <f t="shared" si="61"/>
        <v>906.2</v>
      </c>
      <c r="U42" s="1"/>
    </row>
    <row r="43" spans="1:23">
      <c r="A43" s="2" t="s">
        <v>353</v>
      </c>
      <c r="B43" s="2"/>
      <c r="C43" s="45">
        <v>2441.1114840861037</v>
      </c>
      <c r="D43" s="43">
        <v>149.44149382704683</v>
      </c>
      <c r="E43" s="43">
        <v>5393.4458618510916</v>
      </c>
      <c r="F43" s="43">
        <v>108.6081028603552</v>
      </c>
      <c r="G43" s="46">
        <v>3.2030750119929063</v>
      </c>
      <c r="H43" s="46">
        <v>2.0345075486796538</v>
      </c>
      <c r="I43" s="50">
        <v>0.56711484763019449</v>
      </c>
      <c r="J43" s="51">
        <v>3.5745885560038624E-3</v>
      </c>
      <c r="K43" s="44">
        <v>4075.3995385429998</v>
      </c>
      <c r="L43" s="44">
        <v>14.973209829022641</v>
      </c>
      <c r="M43">
        <v>90792.211195596305</v>
      </c>
      <c r="N43">
        <v>948.73525608049101</v>
      </c>
      <c r="O43">
        <v>90725.699404658299</v>
      </c>
      <c r="P43">
        <v>949.26004323896404</v>
      </c>
      <c r="Q43">
        <v>4.1376220464060403</v>
      </c>
      <c r="R43">
        <v>2.6288279148368399</v>
      </c>
      <c r="S43" s="49">
        <f t="shared" si="62"/>
        <v>90652.6</v>
      </c>
      <c r="T43" s="49">
        <f t="shared" si="61"/>
        <v>949.3</v>
      </c>
      <c r="U43" s="1"/>
    </row>
    <row r="44" spans="1:23">
      <c r="A44" s="2" t="s">
        <v>354</v>
      </c>
      <c r="B44" s="2"/>
      <c r="C44" s="45">
        <v>5351.7966246606438</v>
      </c>
      <c r="D44" s="43">
        <v>1113.4522210032997</v>
      </c>
      <c r="E44" s="43">
        <v>14403.230068696948</v>
      </c>
      <c r="F44" s="43">
        <v>290.20588376779727</v>
      </c>
      <c r="G44" s="46">
        <v>2.1345943686617019</v>
      </c>
      <c r="H44" s="46">
        <v>2.1230822848814164</v>
      </c>
      <c r="I44" s="50">
        <v>0.61867107277727007</v>
      </c>
      <c r="J44" s="51">
        <v>6.7214075461458538E-3</v>
      </c>
      <c r="K44" s="44">
        <v>3649.8700132001782</v>
      </c>
      <c r="L44" s="44">
        <v>15.39931260292745</v>
      </c>
      <c r="M44">
        <v>104702.166463498</v>
      </c>
      <c r="N44">
        <v>1955.5464818385501</v>
      </c>
      <c r="O44">
        <v>104621.041407882</v>
      </c>
      <c r="P44">
        <v>1955.91883876562</v>
      </c>
      <c r="Q44">
        <v>2.8682827415445802</v>
      </c>
      <c r="R44">
        <v>2.8522053085796499</v>
      </c>
      <c r="S44" s="49">
        <f t="shared" si="62"/>
        <v>104547.9</v>
      </c>
      <c r="T44" s="49">
        <f t="shared" si="61"/>
        <v>1955.9</v>
      </c>
      <c r="U44" s="1"/>
    </row>
    <row r="45" spans="1:23">
      <c r="A45" s="2" t="s">
        <v>355</v>
      </c>
      <c r="B45" s="2"/>
      <c r="C45" s="45">
        <v>4712.8841317706065</v>
      </c>
      <c r="D45" s="43">
        <v>1066.8705957891375</v>
      </c>
      <c r="E45" s="43">
        <v>16112.533160637471</v>
      </c>
      <c r="F45" s="43">
        <v>323.99496074838328</v>
      </c>
      <c r="G45" s="46">
        <v>1.0967877352230371</v>
      </c>
      <c r="H45" s="46">
        <v>1.8992474750567248</v>
      </c>
      <c r="I45" s="50">
        <v>0.62407647613757855</v>
      </c>
      <c r="J45" s="51">
        <v>6.8987914766131808E-3</v>
      </c>
      <c r="K45" s="44">
        <v>2898.2686235298679</v>
      </c>
      <c r="L45" s="44">
        <v>8.6910832140450811</v>
      </c>
      <c r="M45">
        <v>106460.648599461</v>
      </c>
      <c r="N45">
        <v>2031.9684082092799</v>
      </c>
      <c r="O45">
        <v>106357.4400787</v>
      </c>
      <c r="P45">
        <v>2032.57447857068</v>
      </c>
      <c r="Q45">
        <v>1.4810129193464801</v>
      </c>
      <c r="R45">
        <v>2.5637730337138498</v>
      </c>
      <c r="S45" s="49">
        <f t="shared" si="62"/>
        <v>106284.3</v>
      </c>
      <c r="T45" s="49">
        <f t="shared" si="61"/>
        <v>2032.6</v>
      </c>
      <c r="U45" s="1"/>
    </row>
    <row r="46" spans="1:23">
      <c r="A46" s="2" t="s">
        <v>356</v>
      </c>
      <c r="B46" s="2"/>
      <c r="C46" s="45">
        <v>6306.5442226278365</v>
      </c>
      <c r="D46" s="43">
        <v>403.027230699874</v>
      </c>
      <c r="E46" s="43">
        <v>8175.2122230548111</v>
      </c>
      <c r="F46" s="43">
        <v>164.71454626120368</v>
      </c>
      <c r="G46" s="46">
        <v>2.2327920948770341</v>
      </c>
      <c r="H46" s="46">
        <v>1.9618544887318474</v>
      </c>
      <c r="I46" s="50">
        <v>9.7199410389271795E-2</v>
      </c>
      <c r="J46" s="51">
        <v>5.4037570643295819E-4</v>
      </c>
      <c r="K46" s="53">
        <v>1190.51240378083</v>
      </c>
      <c r="L46" s="54">
        <v>4.6316463769822507</v>
      </c>
      <c r="M46">
        <v>11123.638254577299</v>
      </c>
      <c r="N46">
        <v>69.141557342515398</v>
      </c>
      <c r="O46">
        <v>11084.5479141632</v>
      </c>
      <c r="P46">
        <v>71.826439965853695</v>
      </c>
      <c r="Q46">
        <v>2.3039550478111099</v>
      </c>
      <c r="R46">
        <v>2.0243438979426598</v>
      </c>
      <c r="S46" s="49">
        <f t="shared" si="62"/>
        <v>11011.4</v>
      </c>
      <c r="T46" s="49">
        <f t="shared" si="61"/>
        <v>71.8</v>
      </c>
      <c r="U46" s="1"/>
    </row>
    <row r="47" spans="1:23">
      <c r="L47" s="61"/>
    </row>
    <row r="48" spans="1:23">
      <c r="L48" s="61"/>
    </row>
    <row r="51" spans="1:11">
      <c r="A51" s="2" t="s">
        <v>168</v>
      </c>
      <c r="B51" s="69" t="s">
        <v>178</v>
      </c>
      <c r="C51" s="69"/>
    </row>
    <row r="52" spans="1:11" ht="47.25">
      <c r="A52" t="s">
        <v>169</v>
      </c>
      <c r="B52" s="68" t="s">
        <v>173</v>
      </c>
      <c r="C52" s="68" t="s">
        <v>174</v>
      </c>
      <c r="D52" s="68" t="s">
        <v>179</v>
      </c>
      <c r="E52" s="68" t="s">
        <v>180</v>
      </c>
      <c r="F52" s="68" t="s">
        <v>170</v>
      </c>
      <c r="G52" s="68" t="s">
        <v>172</v>
      </c>
      <c r="H52" s="68" t="s">
        <v>171</v>
      </c>
      <c r="I52" s="68" t="s">
        <v>177</v>
      </c>
      <c r="J52" t="s">
        <v>175</v>
      </c>
      <c r="K52" s="68" t="s">
        <v>176</v>
      </c>
    </row>
    <row r="53" spans="1:11">
      <c r="A53" t="str">
        <f t="shared" ref="A53:A65" si="63">A4</f>
        <v>Procedural blank</v>
      </c>
      <c r="B53" s="69">
        <v>1</v>
      </c>
      <c r="C53" s="69">
        <v>0.3</v>
      </c>
      <c r="D53" s="87">
        <f>'U data'!T5</f>
        <v>4.1705650000000002E-3</v>
      </c>
      <c r="E53" s="87">
        <f>'Th data'!T5</f>
        <v>1.1240009999999999E-3</v>
      </c>
      <c r="F53" s="87">
        <f>'U data'!R4</f>
        <v>14.156739999999999</v>
      </c>
      <c r="G53" s="87">
        <f>'Th data'!P4</f>
        <v>0.20882400000000001</v>
      </c>
      <c r="H53">
        <f t="shared" ref="H53:H65" si="64">E4*AZ4*236/1000/B53*(F53/12.5)</f>
        <v>1.5464212728510297E-2</v>
      </c>
      <c r="I53">
        <f t="shared" ref="I53:I65" si="65">E4*AY4*229/C53*G53/250</f>
        <v>5.0125370682960677E-3</v>
      </c>
      <c r="J53" s="67">
        <f>D53/H53</f>
        <v>0.26969138831820511</v>
      </c>
      <c r="K53" s="67">
        <f>E53/I53</f>
        <v>0.22423794271951114</v>
      </c>
    </row>
    <row r="54" spans="1:11">
      <c r="A54" t="str">
        <f t="shared" si="63"/>
        <v>AB12-6A</v>
      </c>
      <c r="B54" s="69">
        <v>1</v>
      </c>
      <c r="C54" s="69">
        <v>0.3</v>
      </c>
      <c r="D54" s="87">
        <f>'U data'!T7</f>
        <v>9.645465E-4</v>
      </c>
      <c r="E54" s="87">
        <f>'Th data'!T7</f>
        <v>2.906952E-3</v>
      </c>
      <c r="F54" s="87">
        <f>'U data'!R6</f>
        <v>13.19739</v>
      </c>
      <c r="G54" s="87">
        <f>'Th data'!P6</f>
        <v>0.20561789999999999</v>
      </c>
      <c r="H54">
        <f t="shared" si="64"/>
        <v>5.9614978549252698E-2</v>
      </c>
      <c r="I54">
        <f t="shared" si="65"/>
        <v>2.0409900528596737E-2</v>
      </c>
      <c r="J54" s="67">
        <f t="shared" ref="J54:J65" si="66">D54/H54</f>
        <v>1.6179599883661973E-2</v>
      </c>
      <c r="K54" s="67">
        <f t="shared" ref="K54:K65" si="67">E54/I54</f>
        <v>0.14242852364356254</v>
      </c>
    </row>
    <row r="55" spans="1:11">
      <c r="A55" t="str">
        <f t="shared" si="63"/>
        <v>AB12-6B</v>
      </c>
      <c r="B55" s="69">
        <v>1</v>
      </c>
      <c r="C55" s="69">
        <v>0.3</v>
      </c>
      <c r="D55" s="87">
        <f>'U data'!T9</f>
        <v>1.053985E-2</v>
      </c>
      <c r="E55" s="87">
        <f>'Th data'!T9</f>
        <v>3.3416729999999999E-3</v>
      </c>
      <c r="F55" s="87">
        <f>'U data'!R8</f>
        <v>12.693350000000001</v>
      </c>
      <c r="G55" s="87">
        <f>'Th data'!P8</f>
        <v>0.2048565</v>
      </c>
      <c r="H55">
        <f t="shared" si="64"/>
        <v>4.9290477533617288E-2</v>
      </c>
      <c r="I55">
        <f t="shared" si="65"/>
        <v>1.7480310654993798E-2</v>
      </c>
      <c r="J55" s="67">
        <f t="shared" si="66"/>
        <v>0.21383136312306103</v>
      </c>
      <c r="K55" s="67">
        <f t="shared" si="67"/>
        <v>0.19116782681693054</v>
      </c>
    </row>
    <row r="56" spans="1:11">
      <c r="A56" t="str">
        <f t="shared" si="63"/>
        <v>AB12-6C</v>
      </c>
      <c r="B56" s="69">
        <v>1</v>
      </c>
      <c r="C56" s="69">
        <v>0.3</v>
      </c>
      <c r="D56" s="87">
        <f>'U data'!T11</f>
        <v>7.8624550000000008E-3</v>
      </c>
      <c r="E56" s="87">
        <f>'Th data'!T11</f>
        <v>3.7537759999999999E-3</v>
      </c>
      <c r="F56" s="87">
        <f>'U data'!R10</f>
        <v>12.95059</v>
      </c>
      <c r="G56" s="87">
        <f>'Th data'!P10</f>
        <v>0.20116329999999999</v>
      </c>
      <c r="H56">
        <f t="shared" si="64"/>
        <v>4.4756308621122613E-2</v>
      </c>
      <c r="I56">
        <f t="shared" si="65"/>
        <v>1.5276578095976717E-2</v>
      </c>
      <c r="J56" s="67">
        <f t="shared" si="66"/>
        <v>0.17567255303734627</v>
      </c>
      <c r="K56" s="67">
        <f t="shared" si="67"/>
        <v>0.2457209969678095</v>
      </c>
    </row>
    <row r="57" spans="1:11">
      <c r="A57" t="str">
        <f t="shared" si="63"/>
        <v>AB12-6D</v>
      </c>
      <c r="B57" s="69">
        <v>1</v>
      </c>
      <c r="C57" s="69">
        <v>0.3</v>
      </c>
      <c r="D57" s="87">
        <f>'U data'!T13</f>
        <v>1.489293E-2</v>
      </c>
      <c r="E57" s="87">
        <f>'Th data'!T13</f>
        <v>4.1135729999999997E-3</v>
      </c>
      <c r="F57" s="87">
        <f>'U data'!R12</f>
        <v>13.05231</v>
      </c>
      <c r="G57" s="87">
        <f>'Th data'!P12</f>
        <v>0.20312769999999999</v>
      </c>
      <c r="H57">
        <f t="shared" si="64"/>
        <v>4.8905144087538349E-2</v>
      </c>
      <c r="I57">
        <f t="shared" si="65"/>
        <v>1.6724338207134357E-2</v>
      </c>
      <c r="J57" s="67">
        <f t="shared" si="66"/>
        <v>0.30452686067834134</v>
      </c>
      <c r="K57" s="67">
        <f t="shared" si="67"/>
        <v>0.24596327514144686</v>
      </c>
    </row>
    <row r="58" spans="1:11">
      <c r="A58" t="str">
        <f t="shared" si="63"/>
        <v>AB12-6E</v>
      </c>
      <c r="B58" s="69">
        <v>6</v>
      </c>
      <c r="C58" s="69">
        <v>0.3</v>
      </c>
      <c r="D58" s="87">
        <f>'U data'!T15</f>
        <v>2.4292110000000001E-3</v>
      </c>
      <c r="E58" s="87">
        <f>'Th data'!T15</f>
        <v>2.3037140000000001E-3</v>
      </c>
      <c r="F58" s="87">
        <f>'U data'!R14</f>
        <v>13.30753</v>
      </c>
      <c r="G58" s="87">
        <f>'Th data'!P14</f>
        <v>0.20328959999999999</v>
      </c>
      <c r="H58">
        <f t="shared" si="64"/>
        <v>8.1134121185722548E-3</v>
      </c>
      <c r="I58">
        <f t="shared" si="65"/>
        <v>1.634124426698149E-2</v>
      </c>
      <c r="J58" s="67">
        <f t="shared" si="66"/>
        <v>0.29940682964191356</v>
      </c>
      <c r="K58" s="67">
        <f t="shared" si="67"/>
        <v>0.14097543383858466</v>
      </c>
    </row>
    <row r="59" spans="1:11">
      <c r="A59" t="str">
        <f t="shared" si="63"/>
        <v>AB12-6F</v>
      </c>
      <c r="B59" s="69">
        <v>7</v>
      </c>
      <c r="C59" s="69">
        <v>0.3</v>
      </c>
      <c r="D59" s="87">
        <f>'U data'!T17</f>
        <v>1.796289E-3</v>
      </c>
      <c r="E59" s="87">
        <f>'Th data'!T17</f>
        <v>3.5460040000000002E-3</v>
      </c>
      <c r="F59" s="87">
        <f>'U data'!R16</f>
        <v>13.309799999999999</v>
      </c>
      <c r="G59" s="87">
        <f>'Th data'!P16</f>
        <v>0.20313519999999999</v>
      </c>
      <c r="H59">
        <f t="shared" si="64"/>
        <v>6.7311392192720299E-3</v>
      </c>
      <c r="I59">
        <f t="shared" si="65"/>
        <v>1.5802030553355946E-2</v>
      </c>
      <c r="J59" s="67">
        <f t="shared" si="66"/>
        <v>0.26686255349718763</v>
      </c>
      <c r="K59" s="67">
        <f t="shared" si="67"/>
        <v>0.22440179368257959</v>
      </c>
    </row>
    <row r="60" spans="1:11">
      <c r="A60" t="str">
        <f t="shared" si="63"/>
        <v>AB12-6G</v>
      </c>
      <c r="B60" s="69">
        <v>12</v>
      </c>
      <c r="C60" s="69">
        <v>0.3</v>
      </c>
      <c r="D60" s="87">
        <f>'U data'!T19</f>
        <v>1.1778750000000001E-3</v>
      </c>
      <c r="E60" s="87">
        <f>'Th data'!T19</f>
        <v>3.9375759999999999E-3</v>
      </c>
      <c r="F60" s="87">
        <f>'U data'!R18</f>
        <v>13.588760000000001</v>
      </c>
      <c r="G60" s="87">
        <f>'Th data'!P18</f>
        <v>0.20900579999999999</v>
      </c>
      <c r="H60">
        <f t="shared" si="64"/>
        <v>4.6070820222191356E-3</v>
      </c>
      <c r="I60">
        <f t="shared" si="65"/>
        <v>1.8685224823783562E-2</v>
      </c>
      <c r="J60" s="67">
        <f t="shared" si="66"/>
        <v>0.25566616663634789</v>
      </c>
      <c r="K60" s="67">
        <f t="shared" si="67"/>
        <v>0.21073206435215275</v>
      </c>
    </row>
    <row r="61" spans="1:11">
      <c r="A61" t="str">
        <f t="shared" si="63"/>
        <v>AB12-6H</v>
      </c>
      <c r="B61" s="69">
        <v>12</v>
      </c>
      <c r="C61" s="69">
        <v>0.3</v>
      </c>
      <c r="D61" s="87">
        <f>'U data'!T21</f>
        <v>1.5828229999999999E-3</v>
      </c>
      <c r="E61" s="87">
        <f>'Th data'!T21</f>
        <v>4.3290239999999999E-3</v>
      </c>
      <c r="F61" s="87">
        <f>'U data'!R20</f>
        <v>13.604660000000001</v>
      </c>
      <c r="G61" s="87">
        <f>'Th data'!P20</f>
        <v>0.20810519999999999</v>
      </c>
      <c r="H61">
        <f t="shared" si="64"/>
        <v>4.3931027915118234E-3</v>
      </c>
      <c r="I61">
        <f t="shared" si="65"/>
        <v>1.7719867838723258E-2</v>
      </c>
      <c r="J61" s="67">
        <f t="shared" si="66"/>
        <v>0.3602972830634118</v>
      </c>
      <c r="K61" s="67">
        <f t="shared" si="67"/>
        <v>0.24430340222627261</v>
      </c>
    </row>
    <row r="62" spans="1:11">
      <c r="A62" t="str">
        <f t="shared" si="63"/>
        <v>AB10-bottom</v>
      </c>
      <c r="B62" s="69">
        <v>6</v>
      </c>
      <c r="C62" s="69">
        <v>0.3</v>
      </c>
      <c r="D62" s="87">
        <f>'U data'!T23</f>
        <v>2.997708E-3</v>
      </c>
      <c r="E62" s="87">
        <f>'Th data'!T23</f>
        <v>3.5948220000000001E-3</v>
      </c>
      <c r="F62" s="87">
        <f>'U data'!R22</f>
        <v>15.165990000000001</v>
      </c>
      <c r="G62" s="87">
        <f>'Th data'!P22</f>
        <v>0.21394669999999999</v>
      </c>
      <c r="H62">
        <f t="shared" si="64"/>
        <v>8.8394906653025875E-3</v>
      </c>
      <c r="I62">
        <f t="shared" si="65"/>
        <v>1.6440913573935859E-2</v>
      </c>
      <c r="J62" s="67">
        <f t="shared" si="66"/>
        <v>0.33912677930266072</v>
      </c>
      <c r="K62" s="67">
        <f t="shared" si="67"/>
        <v>0.21865098820900988</v>
      </c>
    </row>
    <row r="63" spans="1:11">
      <c r="A63">
        <f t="shared" si="63"/>
        <v>0</v>
      </c>
      <c r="B63" s="69">
        <v>1</v>
      </c>
      <c r="C63" s="69">
        <v>0.3</v>
      </c>
      <c r="D63" s="69">
        <v>0.1</v>
      </c>
      <c r="E63" s="69">
        <v>0.02</v>
      </c>
      <c r="F63" s="69">
        <v>12.5</v>
      </c>
      <c r="G63" s="69">
        <v>0.3</v>
      </c>
      <c r="H63">
        <f t="shared" si="64"/>
        <v>0</v>
      </c>
      <c r="I63">
        <f t="shared" si="65"/>
        <v>0</v>
      </c>
      <c r="J63" s="67" t="e">
        <f t="shared" si="66"/>
        <v>#DIV/0!</v>
      </c>
      <c r="K63" s="67" t="e">
        <f t="shared" si="67"/>
        <v>#DIV/0!</v>
      </c>
    </row>
    <row r="64" spans="1:11">
      <c r="A64">
        <f t="shared" si="63"/>
        <v>0</v>
      </c>
      <c r="B64" s="69">
        <v>1</v>
      </c>
      <c r="C64" s="69">
        <v>0.3</v>
      </c>
      <c r="D64" s="69">
        <v>0.1</v>
      </c>
      <c r="E64" s="69">
        <v>0.02</v>
      </c>
      <c r="F64" s="69">
        <v>12.5</v>
      </c>
      <c r="G64" s="69">
        <v>0.3</v>
      </c>
      <c r="H64">
        <f t="shared" si="64"/>
        <v>0</v>
      </c>
      <c r="I64">
        <f t="shared" si="65"/>
        <v>0</v>
      </c>
      <c r="J64" s="67" t="e">
        <f t="shared" si="66"/>
        <v>#DIV/0!</v>
      </c>
      <c r="K64" s="67" t="e">
        <f t="shared" si="67"/>
        <v>#DIV/0!</v>
      </c>
    </row>
    <row r="65" spans="1:11">
      <c r="A65">
        <f t="shared" si="63"/>
        <v>0</v>
      </c>
      <c r="B65" s="69">
        <v>1</v>
      </c>
      <c r="C65" s="69">
        <v>0.3</v>
      </c>
      <c r="D65" s="69">
        <v>0.1</v>
      </c>
      <c r="E65" s="69">
        <v>0.02</v>
      </c>
      <c r="F65" s="69">
        <v>12.5</v>
      </c>
      <c r="G65" s="69">
        <v>0.3</v>
      </c>
      <c r="H65">
        <f t="shared" si="64"/>
        <v>0</v>
      </c>
      <c r="I65">
        <f t="shared" si="65"/>
        <v>0</v>
      </c>
      <c r="J65" s="67" t="e">
        <f t="shared" si="66"/>
        <v>#DIV/0!</v>
      </c>
      <c r="K65" s="67"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Q4" activePane="bottomRight" state="frozen"/>
      <selection activeCell="E9" sqref="E9"/>
      <selection pane="topRight" activeCell="E9" sqref="E9"/>
      <selection pane="bottomLeft" activeCell="E9" sqref="E9"/>
      <selection pane="bottomRight" activeCell="R7" sqref="R7"/>
    </sheetView>
  </sheetViews>
  <sheetFormatPr defaultColWidth="11" defaultRowHeight="15.75"/>
  <cols>
    <col min="1" max="3" width="15.5" customWidth="1"/>
    <col min="4" max="4" width="12.3125" customWidth="1"/>
    <col min="5" max="8" width="12.3125" style="34" customWidth="1"/>
    <col min="9" max="9" width="12.3125" customWidth="1"/>
    <col min="36" max="36" width="13.5" customWidth="1"/>
    <col min="69" max="69" width="12.1875" bestFit="1" customWidth="1"/>
    <col min="70" max="70" width="12.1875" customWidth="1"/>
    <col min="83" max="83" width="11.5" bestFit="1" customWidth="1"/>
    <col min="84" max="84" width="11.5" customWidth="1"/>
    <col min="103" max="109" width="11" style="75"/>
  </cols>
  <sheetData>
    <row r="1" spans="1:109">
      <c r="J1" s="2" t="s">
        <v>15</v>
      </c>
      <c r="AR1" s="2" t="s">
        <v>14</v>
      </c>
      <c r="BU1" s="2" t="s">
        <v>247</v>
      </c>
      <c r="BV1" s="2"/>
      <c r="CC1" s="2" t="s">
        <v>248</v>
      </c>
      <c r="CD1" s="2"/>
      <c r="CM1" s="2" t="s">
        <v>64</v>
      </c>
      <c r="CQ1" s="2" t="s">
        <v>240</v>
      </c>
      <c r="CY1" s="78" t="s">
        <v>239</v>
      </c>
    </row>
    <row r="2" spans="1:109">
      <c r="J2" s="2" t="s">
        <v>125</v>
      </c>
      <c r="AB2" s="2" t="s">
        <v>133</v>
      </c>
      <c r="CN2" s="2"/>
      <c r="CQ2" s="89" t="s">
        <v>218</v>
      </c>
      <c r="CR2" s="89"/>
      <c r="CS2" s="89"/>
      <c r="CT2" s="89" t="s">
        <v>219</v>
      </c>
      <c r="CU2" s="89"/>
      <c r="CV2" s="89"/>
      <c r="CW2" s="89"/>
      <c r="CY2" s="90" t="s">
        <v>0</v>
      </c>
      <c r="CZ2" s="90"/>
      <c r="DA2" s="90"/>
      <c r="DB2" s="90" t="s">
        <v>4</v>
      </c>
      <c r="DC2" s="90"/>
      <c r="DD2" s="90"/>
      <c r="DE2" s="90"/>
    </row>
    <row r="3" spans="1:109">
      <c r="A3" t="s">
        <v>124</v>
      </c>
      <c r="B3" t="s">
        <v>199</v>
      </c>
      <c r="C3" t="s">
        <v>200</v>
      </c>
      <c r="D3" t="s">
        <v>201</v>
      </c>
      <c r="E3" s="35" t="s">
        <v>0</v>
      </c>
      <c r="F3" s="35" t="s">
        <v>158</v>
      </c>
      <c r="G3" s="35" t="s">
        <v>4</v>
      </c>
      <c r="H3" s="35" t="s">
        <v>158</v>
      </c>
      <c r="I3" s="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207</v>
      </c>
      <c r="CR3" t="s">
        <v>215</v>
      </c>
      <c r="CS3" t="s">
        <v>216</v>
      </c>
      <c r="CT3" t="s">
        <v>207</v>
      </c>
      <c r="CU3" t="s">
        <v>215</v>
      </c>
      <c r="CV3" t="s">
        <v>216</v>
      </c>
      <c r="CW3" t="s">
        <v>217</v>
      </c>
      <c r="CY3" s="75" t="s">
        <v>207</v>
      </c>
      <c r="CZ3" s="75" t="s">
        <v>215</v>
      </c>
      <c r="DA3" s="75" t="s">
        <v>216</v>
      </c>
      <c r="DB3" s="75" t="s">
        <v>207</v>
      </c>
      <c r="DC3" s="75" t="s">
        <v>215</v>
      </c>
      <c r="DD3" s="75" t="s">
        <v>216</v>
      </c>
      <c r="DE3" s="75" t="s">
        <v>217</v>
      </c>
    </row>
    <row r="4" spans="1:109">
      <c r="A4" s="66" t="str">
        <f t="shared" ref="A4:A38" si="0">X4</f>
        <v>U 13.5 ppb</v>
      </c>
      <c r="B4" s="66"/>
      <c r="C4" s="66"/>
      <c r="J4" s="1">
        <v>527004.30000000005</v>
      </c>
      <c r="K4" s="1">
        <v>326000</v>
      </c>
      <c r="L4" s="1">
        <v>140.1764</v>
      </c>
      <c r="M4" s="1">
        <v>1.0999999999999999E-2</v>
      </c>
      <c r="N4" s="1">
        <v>-0.26473150000000001</v>
      </c>
      <c r="O4" s="1">
        <v>0.78400000000000003</v>
      </c>
      <c r="P4" s="1">
        <v>23027.03</v>
      </c>
      <c r="Q4" s="1">
        <v>13</v>
      </c>
      <c r="R4" s="1">
        <v>14.156739999999999</v>
      </c>
      <c r="S4" s="1">
        <v>3.3099999999999997E-2</v>
      </c>
      <c r="T4" s="1">
        <v>1.353062E-5</v>
      </c>
      <c r="U4" s="1">
        <v>5.2900000000000002E-6</v>
      </c>
      <c r="V4" s="1">
        <v>38376.800000000003</v>
      </c>
      <c r="W4" s="1">
        <v>94.5</v>
      </c>
      <c r="X4" t="s">
        <v>323</v>
      </c>
      <c r="Y4" t="s">
        <v>324</v>
      </c>
      <c r="Z4">
        <v>3415</v>
      </c>
      <c r="AB4" s="59" cm="1">
        <f t="array" ref="AB4:AP4">U!A27:O27</f>
        <v>13.089510000000001</v>
      </c>
      <c r="AC4" s="59">
        <v>0.14199999999999999</v>
      </c>
      <c r="AD4" s="59">
        <v>2.5316030000000002E-5</v>
      </c>
      <c r="AE4" s="59">
        <v>9.4099999999999997E-6</v>
      </c>
      <c r="AF4" s="59">
        <v>893.11699999999996</v>
      </c>
      <c r="AG4" s="59">
        <v>9.41</v>
      </c>
      <c r="AH4" s="59">
        <v>498.86290000000002</v>
      </c>
      <c r="AI4" s="59">
        <v>11.3</v>
      </c>
      <c r="AJ4" s="59">
        <v>154.81890000000001</v>
      </c>
      <c r="AK4" s="59">
        <v>6.07</v>
      </c>
      <c r="AL4" s="59">
        <v>94.81147</v>
      </c>
      <c r="AM4" s="59">
        <v>4.09</v>
      </c>
      <c r="AN4" s="60" t="str">
        <v>U 13.5 ppb tail</v>
      </c>
      <c r="AO4" s="60" t="str">
        <v>Analysed on 27 January 2023 at 10:15</v>
      </c>
      <c r="AP4" s="60">
        <v>3416</v>
      </c>
      <c r="AQ4" s="1"/>
      <c r="AR4" s="1">
        <f>Constants!B$25</f>
        <v>2.3944420000000002E-6</v>
      </c>
      <c r="AS4" s="1">
        <f t="shared" ref="AS4:AS34" si="1">R4</f>
        <v>14.156739999999999</v>
      </c>
      <c r="AT4" s="1">
        <f t="shared" ref="AT4:AT34" si="2">MAX(0.000001,T4)</f>
        <v>1.353062E-5</v>
      </c>
      <c r="AU4" s="1">
        <f>EXP(-$BD4*LN(238-236)+LN(AF4))</f>
        <v>330.00957358600817</v>
      </c>
      <c r="AV4" s="1">
        <f t="shared" ref="AV4:AV34" si="3">AS4/L4</f>
        <v>0.1009923211039804</v>
      </c>
      <c r="AW4" s="1">
        <f>EXP(-BD4*LN(238-235)+LN(AF4))+EXP(-BD4*LN(236-235)+LN(AF4/AS4*AT4))</f>
        <v>184.33228265309069</v>
      </c>
      <c r="AX4" s="1">
        <f t="shared" ref="AX4:AX34" si="4">V4</f>
        <v>38376.800000000003</v>
      </c>
      <c r="AY4">
        <f>$AZ4*$AR4*62415093+EXP(-$BD4*LN(238-234)+LN($AF4))+EXP(-$BD4*LN(236-234)+LN($AF4/$AS4*$AT4))+EXP(-$BD4*LN(235-234)+LN($AF4/$AS4*$AV4))+BB4</f>
        <v>116.59518365581103</v>
      </c>
      <c r="AZ4" s="1">
        <f t="shared" ref="AZ4:AZ34" si="5">AT4/N4</f>
        <v>-5.1110729172765615E-5</v>
      </c>
      <c r="BA4" s="1">
        <f>EXP(-BD4*LN(238-233)+LN(AF4))+EXP(-BD4*LN(236-233)+LN(AF4/AS4*AT4))+EXP(-BD4*LN(235-233)+LN(AF4/AS4*AV4))</f>
        <v>90.855561541321435</v>
      </c>
      <c r="BB4" s="1">
        <f t="shared" ref="BB4:BB34" si="6">AL4-BC4</f>
        <v>-11.70846009938704</v>
      </c>
      <c r="BC4" s="1">
        <f>EXP(-$BD4*LN(238-233.5)+LN($AF4))+EXP(-$BD4*LN(236-233.5)+LN($AF4/$AS4*$AT4))+EXP(-$BD4*LN(235-233.5)+LN($AF4/$AS4*$AV4))</f>
        <v>106.51993009938704</v>
      </c>
      <c r="BD4">
        <f t="shared" ref="BD4:BD34" si="7">(LN(AF4)-LN(AH4))/(LN(238-236.5))</f>
        <v>1.4363413057823089</v>
      </c>
      <c r="BE4" s="1"/>
      <c r="BF4" s="32">
        <f t="shared" ref="BF4:BF42" si="8">AY4/AS4/62415093</f>
        <v>1.3195557179122642E-7</v>
      </c>
      <c r="BG4" s="1">
        <f t="shared" ref="BG4:BG42" si="9">AY4/AX4</f>
        <v>3.038168467819386E-3</v>
      </c>
      <c r="BH4" s="1">
        <f t="shared" ref="BH4:BH38" si="10">BG4*0.1</f>
        <v>3.0381684678193861E-4</v>
      </c>
      <c r="BI4" s="1">
        <f t="shared" ref="BI4:BI42" si="11">AW4/AV4/62415093</f>
        <v>2.9243101085144108E-5</v>
      </c>
      <c r="BJ4" s="1">
        <f t="shared" ref="BJ4:BJ38" si="12">BI4*0.1</f>
        <v>2.9243101085144111E-6</v>
      </c>
      <c r="BK4" s="1"/>
      <c r="BL4" s="1"/>
      <c r="BM4" s="1"/>
      <c r="BN4" s="1"/>
      <c r="BO4" s="1">
        <f t="shared" ref="BO4" si="13">L4/(1-AW4/62415093/AV4)</f>
        <v>140.18049931251156</v>
      </c>
      <c r="BP4" s="33">
        <f t="shared" ref="BP4" si="14">SQRT((M4/(1-BI4))^2+(BJ4*L4/(1-BI4)^2)^2)</f>
        <v>1.1007957603490156E-2</v>
      </c>
      <c r="BQ4" s="1"/>
      <c r="BR4" s="1"/>
      <c r="BS4" s="1">
        <f t="shared" ref="BS4" si="15">P4/(1-BG4)</f>
        <v>23097.203194440164</v>
      </c>
      <c r="BT4" s="1">
        <f t="shared" ref="BT4" si="16">SQRT((Q4/(1-BG4))^2+(BH4*P4/(1-BG4)^2)^2)</f>
        <v>14.818061844252995</v>
      </c>
      <c r="BU4" s="1"/>
      <c r="BV4" s="1"/>
      <c r="BW4" s="1"/>
      <c r="BX4" s="1"/>
      <c r="BY4" s="1"/>
      <c r="BZ4" s="1"/>
      <c r="CA4" s="1"/>
      <c r="CB4" s="1"/>
      <c r="CC4">
        <f>(Constants!$C$18/BO4)^(1/LN(Constants!$B$2/Constants!$B$4))</f>
        <v>0.26425630864743238</v>
      </c>
      <c r="CD4">
        <f>ABS((Constants!$C$18/BO4)^(1/LN(Constants!$B$2/Constants!$B$4))-(Constants!$C$18/(BO4+BP4))^(1/LN(Constants!$B$2/Constants!$B$4)))</f>
        <v>1.6273675559855261E-3</v>
      </c>
      <c r="CK4">
        <f>BS4*$CC4^(LN(Constants!$B$2/Constants!$B$5))</f>
        <v>22580.876374369327</v>
      </c>
      <c r="CL4" s="33">
        <f>CK4*SQRT((BT4/BS4)^2+((BS4*($CC4+$CD4)^(LN(Constants!$B$2/Constants!$B$5))-CK4)/CK4)^2)</f>
        <v>14.677014089543631</v>
      </c>
      <c r="CR4" s="1"/>
      <c r="CS4" s="1"/>
      <c r="CU4" s="1"/>
      <c r="CV4" s="1"/>
      <c r="CW4" s="1"/>
    </row>
    <row r="5" spans="1:109">
      <c r="A5" s="66" t="str">
        <f t="shared" si="0"/>
        <v>[BHT] AB12-6-TPB</v>
      </c>
      <c r="B5" t="str">
        <f>IF(NOT(ISBLANK($J5)),IF($T5&lt;Constants!$B$32,"low spike","OK"),"")</f>
        <v>low spike</v>
      </c>
      <c r="C5" t="str">
        <f>IF(NOT(ISBLANK($J5)), IF((ABS($L4-$L6)/$L4)&gt;Constants!$B$33,"variable mass bias","OK"), "")</f>
        <v>OK</v>
      </c>
      <c r="D5" t="str">
        <f>IF(NOT(ISBLANK($J5)), IF((ABS($P4-$P6)/$P4)&gt;Constants!$B$34,"variable IC yield","OK"),"")</f>
        <v>OK</v>
      </c>
      <c r="E5" s="34">
        <f>CE5</f>
        <v>0.26453381306301033</v>
      </c>
      <c r="F5" s="34">
        <f>CF5</f>
        <v>4.0047989970283249E-3</v>
      </c>
      <c r="G5" s="34">
        <f>CM5</f>
        <v>686.30517451341689</v>
      </c>
      <c r="H5" s="47">
        <f>CN5</f>
        <v>15.239937809983775</v>
      </c>
      <c r="I5" s="33"/>
      <c r="J5" s="1">
        <v>0.26756780000000002</v>
      </c>
      <c r="K5" s="1">
        <v>4.0499999999999998E-3</v>
      </c>
      <c r="L5" s="1">
        <v>0.52090020000000004</v>
      </c>
      <c r="M5" s="1">
        <v>31.8</v>
      </c>
      <c r="N5" s="1">
        <v>0.99768730000000005</v>
      </c>
      <c r="O5" s="1">
        <v>1.4599999999999999E-3</v>
      </c>
      <c r="P5" s="1">
        <v>830.15120000000002</v>
      </c>
      <c r="Q5" s="1">
        <v>18.399999999999999</v>
      </c>
      <c r="R5" s="1">
        <v>1.116063E-3</v>
      </c>
      <c r="S5" s="1">
        <v>1.77E-5</v>
      </c>
      <c r="T5" s="1">
        <v>4.1705650000000002E-3</v>
      </c>
      <c r="U5" s="1">
        <v>7.2200000000000003E-6</v>
      </c>
      <c r="V5" s="1">
        <v>84.256860000000003</v>
      </c>
      <c r="W5" s="1">
        <v>1.48</v>
      </c>
      <c r="X5" t="s">
        <v>303</v>
      </c>
      <c r="Y5" t="s">
        <v>304</v>
      </c>
      <c r="Z5">
        <v>3418</v>
      </c>
      <c r="AB5" s="1">
        <f>R5</f>
        <v>1.116063E-3</v>
      </c>
      <c r="AC5" s="1">
        <f>S5</f>
        <v>1.77E-5</v>
      </c>
      <c r="AD5" s="1">
        <f>T5</f>
        <v>4.1705650000000002E-3</v>
      </c>
      <c r="AE5" s="1">
        <f>U5</f>
        <v>7.2200000000000003E-6</v>
      </c>
      <c r="AF5" s="1">
        <f>AVERAGE(AF4/$AB4,AF6/$AB6)*$AB5</f>
        <v>7.5302424123794093E-2</v>
      </c>
      <c r="AG5" s="1">
        <f>AVERAGE(AG4/AF4,AG6/AF6)*AF5</f>
        <v>8.3424229565829669E-4</v>
      </c>
      <c r="AH5" s="1">
        <f>AVERAGE(AH4/$AB4,AH6/$AB6)*$AB5</f>
        <v>4.2373141082790944E-2</v>
      </c>
      <c r="AI5" s="1">
        <f>AVERAGE(AI4/AH4,AI6/AH6)*AH5</f>
        <v>6.4362934080941861E-4</v>
      </c>
      <c r="AJ5" s="1">
        <f>AVERAGE(AJ4/$AB4,AJ6/$AB6)*$AB5</f>
        <v>1.2796039160756357E-2</v>
      </c>
      <c r="AK5" s="1">
        <f>AVERAGE(AK4/AJ4,AK6/AJ6)*AJ5</f>
        <v>5.086137662090207E-4</v>
      </c>
      <c r="AL5" s="1">
        <f>AVERAGE(AL4/$AB4,AL6/$AB6)*$AB5</f>
        <v>7.6937149121613308E-3</v>
      </c>
      <c r="AM5" s="1">
        <f>AVERAGE(AM4/AL4,AM6/AL6)*AL5</f>
        <v>4.1249857632068071E-4</v>
      </c>
      <c r="AR5" s="1">
        <f>Constants!B$25</f>
        <v>2.3944420000000002E-6</v>
      </c>
      <c r="AS5" s="1">
        <f t="shared" si="1"/>
        <v>1.116063E-3</v>
      </c>
      <c r="AT5" s="1">
        <f t="shared" si="2"/>
        <v>4.1705650000000002E-3</v>
      </c>
      <c r="AU5" s="1">
        <f>EXP(-$BD5*LN(238-236)+LN(AF5))</f>
        <v>2.8178164937193537E-2</v>
      </c>
      <c r="AV5" s="1">
        <f t="shared" si="3"/>
        <v>2.1425658888209295E-3</v>
      </c>
      <c r="AW5" s="1">
        <f>EXP(-BD5*LN(238-235)+LN(AF5))+EXP(-BD5*LN(236-235)+LN(AF5/AS5*AT5))</f>
        <v>0.29725022766254444</v>
      </c>
      <c r="AX5" s="1">
        <f t="shared" si="4"/>
        <v>84.256860000000003</v>
      </c>
      <c r="AY5">
        <f>$AZ5*$AR5*62415093+EXP(-$BD5*LN(238-234)+LN($AF5))+EXP(-$BD5*LN(236-234)+LN($AF5/$AS5*$AT5))+EXP(-$BD5*LN(235-234)+LN($AF5/$AS5*$AV5))+BB5</f>
        <v>0.7258282261407174</v>
      </c>
      <c r="AZ5" s="1">
        <f t="shared" si="5"/>
        <v>4.1802326239895006E-3</v>
      </c>
      <c r="BA5" s="1">
        <f>EXP(-BD5*LN(238-233)+LN(AF5))+EXP(-BD5*LN(236-233)+LN(AF5/AS5*AT5))+EXP(-BD5*LN(235-233)+LN(AF5/AS5*AV5))</f>
        <v>0.12103078724814384</v>
      </c>
      <c r="BB5" s="1">
        <f t="shared" si="6"/>
        <v>-0.15930876213494025</v>
      </c>
      <c r="BC5" s="1">
        <f t="shared" ref="BC5:BC89" si="17">EXP(-$BD5*LN(238-233.5)+LN($AF5))+EXP(-$BD5*LN(236-233.5)+LN($AF5/$AS5*$AT5))+EXP(-$BD5*LN(235-233.5)+LN($AF5/$AS5*$AV5))</f>
        <v>0.16700247704710158</v>
      </c>
      <c r="BD5">
        <f t="shared" si="7"/>
        <v>1.4181186474070089</v>
      </c>
      <c r="BF5" s="32">
        <f t="shared" si="8"/>
        <v>1.0419707330126741E-5</v>
      </c>
      <c r="BG5" s="1">
        <f t="shared" si="9"/>
        <v>8.6144703961281884E-3</v>
      </c>
      <c r="BH5" s="1">
        <f t="shared" si="10"/>
        <v>8.6144703961281888E-4</v>
      </c>
      <c r="BI5" s="1">
        <f t="shared" si="11"/>
        <v>2.2227897610412236E-6</v>
      </c>
      <c r="BJ5" s="1">
        <f t="shared" si="12"/>
        <v>2.2227897610412237E-7</v>
      </c>
      <c r="BK5" s="1">
        <f>AU5/AT5/62415093</f>
        <v>1.0825007120135487E-7</v>
      </c>
      <c r="BL5" s="1">
        <f>BK5*0.1</f>
        <v>1.0825007120135488E-8</v>
      </c>
      <c r="BM5" s="1">
        <f>J5/(1-(AU5/62415093)/AT5)</f>
        <v>0.26756782896423659</v>
      </c>
      <c r="BN5" s="33">
        <f>SQRT((K5/(1-BK5))^2+(BL5*J5/(1-BK5)^2)^2)</f>
        <v>4.050000438413871E-3</v>
      </c>
      <c r="BO5" s="1">
        <f>L5/(1-AW5/62415093/AV5)</f>
        <v>0.52090135785420477</v>
      </c>
      <c r="BP5" s="33">
        <f>SQRT((M5/(1-BI5))^2+(BJ5*L5/(1-BI5)^2)^2)</f>
        <v>31.800070684871518</v>
      </c>
      <c r="BQ5" s="1">
        <f>N5*(1-BK5)</f>
        <v>0.99768719200027878</v>
      </c>
      <c r="BR5">
        <f>SQRT(O5^2+BL5^2)</f>
        <v>1.4600000000401302E-3</v>
      </c>
      <c r="BS5" s="1">
        <f>P5/(1-BG5)</f>
        <v>837.36465301415456</v>
      </c>
      <c r="BT5" s="1">
        <f>SQRT((Q5/(1-BG5))^2+(BH5*P5/(1-BG5)^2)^2)</f>
        <v>18.574140603594735</v>
      </c>
      <c r="BU5">
        <f>(Constants!$C$19/$BQ5)^(1/LN(Constants!$B$3/Constants!$B$6))</f>
        <v>0.2745825771788557</v>
      </c>
      <c r="BV5">
        <f>(Constants!$C$19/($BQ5-BR5))^(1/LN(Constants!$B$3/Constants!$B$6))-BU5</f>
        <v>3.3237954130516889E-2</v>
      </c>
      <c r="BW5">
        <f>$BM5*BU5^(LN(Constants!$B$2/Constants!$B$3))</f>
        <v>0.26465830492945203</v>
      </c>
      <c r="BX5" s="33">
        <f>BW5*SQRT((BN5/BM5)^2+(((BM5*($BU5+$BV5)^LN(Constants!$B$2/Constants!$B$3))-BW5)/BW5)^2)</f>
        <v>4.0141284554984849E-3</v>
      </c>
      <c r="BY5">
        <f>BO5*BU5^(LN(Constants!$B$2/Constants!$B$4))</f>
        <v>0.51241296583495077</v>
      </c>
      <c r="BZ5" s="33">
        <f>BY5*SQRT((BP5/BO5)^2+(((BO5*($BU5+$BV5)^LN(Constants!$B$2/Constants!$B$4))-BY5)/BY5)^2)</f>
        <v>31.281869959294024</v>
      </c>
      <c r="CA5">
        <f>BS5*BU5^(LN(Constants!$B$2/Constants!$B$5))</f>
        <v>819.17903923214305</v>
      </c>
      <c r="CB5" s="33">
        <f>CA5*SQRT((BT5/BS5)^2+(((BS5*($BU5+$BV5)^LN(Constants!$B$2/Constants!$B$5))-CA5)/CA5)^2)</f>
        <v>18.240331851141519</v>
      </c>
      <c r="CC5">
        <f>(Constants!$C$18/AVERAGE(BO4,BO6))^(1/LN(Constants!$B$2/Constants!$B$4))</f>
        <v>0.2597273104335901</v>
      </c>
      <c r="CD5">
        <f>MAX(ABS((Constants!$C$18/BO4)^(1/LN(Constants!$B$2/Constants!$B$4))-(Constants!$C$18/BO6)^(1/LN(Constants!$B$2/Constants!$B$4))),CD4,CD6)</f>
        <v>8.9794059385248648E-3</v>
      </c>
      <c r="CE5">
        <f>$BM5*CC5^(LN(Constants!$B$2/Constants!$B$3))</f>
        <v>0.26453381306301033</v>
      </c>
      <c r="CF5" s="33">
        <f>CE5*SQRT((BN5/BM5)^2+(($BM5*($CC5+$CD5)^(LN(Constants!$B$2/Constants!$B$3))-CE5)/CE5)^2)</f>
        <v>4.0047989970283249E-3</v>
      </c>
      <c r="CG5">
        <f>BO5*CC5^(LN(Constants!$B$2/Constants!$B$4))</f>
        <v>0.51205080884175191</v>
      </c>
      <c r="CH5" s="33">
        <f>CG5*SQRT((BP5/BO5)^2+((BO5*($CC5+$CD5)^(LN(Constants!$B$2/Constants!$B$4))-CG5)/CG5)^2)</f>
        <v>31.25976093227775</v>
      </c>
      <c r="CI5">
        <f>BQ5*$CC5^(LN(Constants!$B$3/Constants!$B$6))</f>
        <v>0.98059722954436435</v>
      </c>
      <c r="CJ5" s="33">
        <f>CI5*SQRT((BR5/BQ5)^2+((BQ5*($CC5+$CD5)^(LN(Constants!$B$3/Constants!$B$6))-CI5)/CI5)^2)</f>
        <v>1.4972432641022692E-3</v>
      </c>
      <c r="CK5">
        <f>BS5*CC5^(LN(Constants!$B$2/Constants!$B$5))</f>
        <v>818.40539066832002</v>
      </c>
      <c r="CL5" s="33">
        <f>CK5*SQRT((BT5/BS5)^2+((BS5*($CC5+$CD5)^(LN(Constants!$B$2/Constants!$B$5))-CK5)/CK5)^2)</f>
        <v>18.159745260856585</v>
      </c>
      <c r="CM5">
        <f>CK5*Constants!$C$17/AVERAGE(CK4,CK6)</f>
        <v>686.30517451341689</v>
      </c>
      <c r="CN5">
        <f>CM5*SQRT(((CK4-CK6)/CK6/4)^2+(CL5/CK5)^2+AVERAGE(CL4/CK4,CL6/CK6)^2)</f>
        <v>15.239937809983775</v>
      </c>
      <c r="CO5">
        <f>1/CM5*CE5*CI5</f>
        <v>3.7796760660344341E-4</v>
      </c>
      <c r="CQ5">
        <f>$K5/$J5</f>
        <v>1.5136350487614726E-2</v>
      </c>
      <c r="CR5">
        <f>$BN5/$BM5</f>
        <v>1.5136350487618595E-2</v>
      </c>
      <c r="CS5">
        <f>$CF5/$CE5</f>
        <v>1.5139081657112795E-2</v>
      </c>
      <c r="CT5">
        <f>$Q5/$P5</f>
        <v>2.2164636996248391E-2</v>
      </c>
      <c r="CU5">
        <f>$BT5/$BS5</f>
        <v>2.218166307442734E-2</v>
      </c>
      <c r="CV5">
        <f>$CL5/$CK5</f>
        <v>2.2189180897289926E-2</v>
      </c>
      <c r="CW5">
        <f>$CN5/$CM5</f>
        <v>2.2205774305561268E-2</v>
      </c>
      <c r="CY5" s="75">
        <f>$CQ5/$CS5</f>
        <v>0.9998195947706785</v>
      </c>
      <c r="CZ5" s="75">
        <f>$CR5/$CS5-$CY5</f>
        <v>2.5546231796624852E-13</v>
      </c>
      <c r="DA5" s="75">
        <f>$CS5/$CS5-$CZ5-$CY5</f>
        <v>1.8040522906603851E-4</v>
      </c>
      <c r="DB5" s="75">
        <f>$CT5/$CW5</f>
        <v>0.99814744990438931</v>
      </c>
      <c r="DC5" s="75">
        <f>$CU5/$CW5-$DB5</f>
        <v>7.667410262152119E-4</v>
      </c>
      <c r="DD5" s="75">
        <f>$CV5/$CW5-$DC5-$DB5</f>
        <v>3.385526106469694E-4</v>
      </c>
      <c r="DE5" s="75">
        <f>$CW5/$CW5-$DD5-$DC5-$DB5</f>
        <v>7.472564587485131E-4</v>
      </c>
    </row>
    <row r="6" spans="1:109">
      <c r="A6" s="66" t="str">
        <f t="shared" si="0"/>
        <v>U 13.5 ppb</v>
      </c>
      <c r="B6" s="66"/>
      <c r="C6" s="66"/>
      <c r="J6" s="1">
        <v>-23949.47</v>
      </c>
      <c r="K6" s="1">
        <v>193000</v>
      </c>
      <c r="L6" s="1">
        <v>140.23769999999999</v>
      </c>
      <c r="M6" s="1">
        <v>8.6199999999999992E-3</v>
      </c>
      <c r="N6" s="1">
        <v>1.4153290000000001</v>
      </c>
      <c r="O6" s="1">
        <v>1.23</v>
      </c>
      <c r="P6" s="1">
        <v>23005.32</v>
      </c>
      <c r="Q6" s="1">
        <v>18.600000000000001</v>
      </c>
      <c r="R6" s="1">
        <v>13.19739</v>
      </c>
      <c r="S6" s="1">
        <v>1.4800000000000001E-2</v>
      </c>
      <c r="T6" s="1">
        <v>7.8971579999999996E-6</v>
      </c>
      <c r="U6" s="1">
        <v>5.4E-6</v>
      </c>
      <c r="V6" s="1">
        <v>35809.910000000003</v>
      </c>
      <c r="W6" s="1">
        <v>44.6</v>
      </c>
      <c r="X6" t="s">
        <v>323</v>
      </c>
      <c r="Y6" t="s">
        <v>325</v>
      </c>
      <c r="Z6">
        <v>3421</v>
      </c>
      <c r="AB6" s="59" cm="1">
        <f t="array" ref="AB6:AP6">U!A28:O28</f>
        <v>12.89902</v>
      </c>
      <c r="AC6" s="59">
        <v>7.9699999999999993E-2</v>
      </c>
      <c r="AD6" s="59">
        <v>2.5585369999999999E-5</v>
      </c>
      <c r="AE6" s="59">
        <v>8.49E-6</v>
      </c>
      <c r="AF6" s="59">
        <v>860.51239999999996</v>
      </c>
      <c r="AG6" s="59">
        <v>10</v>
      </c>
      <c r="AH6" s="59">
        <v>487.8614</v>
      </c>
      <c r="AI6" s="59">
        <v>3.77</v>
      </c>
      <c r="AJ6" s="59">
        <v>143.2174</v>
      </c>
      <c r="AK6" s="59">
        <v>5.77</v>
      </c>
      <c r="AL6" s="59">
        <v>84.410210000000006</v>
      </c>
      <c r="AM6" s="59">
        <v>5.41</v>
      </c>
      <c r="AN6" s="60" t="str">
        <v>U 13.5 ppb tail</v>
      </c>
      <c r="AO6" s="60" t="str">
        <v>Analysed on 27 January 2023 at 10:35</v>
      </c>
      <c r="AP6" s="60">
        <v>3422</v>
      </c>
      <c r="AQ6" s="1"/>
      <c r="AR6" s="1">
        <f>Constants!B$25</f>
        <v>2.3944420000000002E-6</v>
      </c>
      <c r="AS6" s="1">
        <f t="shared" si="1"/>
        <v>13.19739</v>
      </c>
      <c r="AT6" s="1">
        <f t="shared" si="2"/>
        <v>7.8971579999999996E-6</v>
      </c>
      <c r="AU6" s="1">
        <f t="shared" ref="AU6:AU37" si="18">EXP(-$BD6*LN(238-236)+LN(AF6))</f>
        <v>326.15934465300819</v>
      </c>
      <c r="AV6" s="1">
        <f t="shared" si="3"/>
        <v>9.4107290692873616E-2</v>
      </c>
      <c r="AW6" s="1">
        <f t="shared" ref="AW6:AW37" si="19">EXP(-BD6*LN(238-235)+LN(AF6))+EXP(-BD6*LN(236-235)+LN(AF6/AS6*AT6))</f>
        <v>184.91424132957945</v>
      </c>
      <c r="AX6" s="1">
        <f t="shared" si="4"/>
        <v>35809.910000000003</v>
      </c>
      <c r="AY6">
        <f>$AZ6*$AR6*62415093+EXP(-$BD6*LN(238-234)+LN($AF6))+EXP(-$BD6*LN(236-234)+LN($AF6/$AS6*$AT6))+EXP(-$BD6*LN(235-234)+LN($AF6/$AS6*$AV6))+BB6</f>
        <v>105.85677448988535</v>
      </c>
      <c r="AZ6" s="1">
        <f t="shared" si="5"/>
        <v>5.5797330514671851E-6</v>
      </c>
      <c r="BA6" s="1">
        <f t="shared" ref="BA6:BA37" si="20">EXP(-BD6*LN(238-233)+LN(AF6))+EXP(-BD6*LN(236-233)+LN(AF6/AS6*AT6))+EXP(-BD6*LN(235-233)+LN(AF6/AS6*AV6))</f>
        <v>92.787712356856161</v>
      </c>
      <c r="BB6" s="1">
        <f t="shared" si="6"/>
        <v>-23.904275824033746</v>
      </c>
      <c r="BC6" s="1">
        <f t="shared" ref="BC6:BC36" si="21">EXP(-$BD6*LN(238-233.5)+LN($AF6))+EXP(-$BD6*LN(236-233.5)+LN($AF6/$AS6*$AT6))+EXP(-$BD6*LN(235-233.5)+LN($AF6/$AS6*$AV6))</f>
        <v>108.31448582403375</v>
      </c>
      <c r="BD6">
        <f t="shared" si="7"/>
        <v>1.399619018521272</v>
      </c>
      <c r="BE6" s="1"/>
      <c r="BF6" s="32">
        <f t="shared" si="8"/>
        <v>1.2851120146460622E-7</v>
      </c>
      <c r="BG6" s="1">
        <f t="shared" si="9"/>
        <v>2.956074854415589E-3</v>
      </c>
      <c r="BH6" s="1">
        <f t="shared" si="10"/>
        <v>2.9560748544155894E-4</v>
      </c>
      <c r="BI6" s="1">
        <f t="shared" si="11"/>
        <v>3.1481648644345618E-5</v>
      </c>
      <c r="BJ6" s="1">
        <f t="shared" si="12"/>
        <v>3.148164864434562E-6</v>
      </c>
      <c r="BK6" s="1"/>
      <c r="BL6" s="1"/>
      <c r="BM6" s="1"/>
      <c r="BN6" s="1"/>
      <c r="BO6" s="1">
        <f t="shared" ref="BO6" si="22">L6/(1-AW6/62415093/AV6)</f>
        <v>140.24211505299121</v>
      </c>
      <c r="BP6" s="33">
        <f t="shared" ref="BP6" si="23">SQRT((M6/(1-BI6))^2+(BJ6*L6/(1-BI6)^2)^2)</f>
        <v>8.631570996866126E-3</v>
      </c>
      <c r="BQ6" s="1"/>
      <c r="BR6" s="1"/>
      <c r="BS6" s="1">
        <f t="shared" ref="BS6" si="24">P6/(1-BG6)</f>
        <v>23073.527073183715</v>
      </c>
      <c r="BT6" s="1">
        <f t="shared" ref="BT6" si="25">SQRT((Q6/(1-BG6))^2+(BH6*P6/(1-BG6)^2)^2)</f>
        <v>19.869896593198504</v>
      </c>
      <c r="BU6" s="1"/>
      <c r="BV6" s="1"/>
      <c r="BX6" s="1"/>
      <c r="BY6" s="1"/>
      <c r="BZ6" s="1"/>
      <c r="CA6" s="1"/>
      <c r="CB6" s="1"/>
      <c r="CC6">
        <f>(Constants!$C$18/BO6)^(1/LN(Constants!$B$2/Constants!$B$4))</f>
        <v>0.25527690270890752</v>
      </c>
      <c r="CD6">
        <f>ABS((Constants!$C$18/BO6)^(1/LN(Constants!$B$2/Constants!$B$4))-(Constants!$C$18/(BO6+BP6))^(1/LN(Constants!$B$2/Constants!$B$4)))</f>
        <v>1.23298420016138E-3</v>
      </c>
      <c r="CK6">
        <f>BS6*$CC6^(LN(Constants!$B$2/Constants!$B$5))</f>
        <v>22544.48560978231</v>
      </c>
      <c r="CL6" s="33">
        <f>CK6*SQRT((BT6/BS6)^2+((BS6*($CC6+$CD6)^(LN(Constants!$B$2/Constants!$B$5))-CK6)/CK6)^2)</f>
        <v>19.501821431893728</v>
      </c>
    </row>
    <row r="7" spans="1:109">
      <c r="A7" s="66" t="str">
        <f>X7</f>
        <v>[BHT]  AB12-6A</v>
      </c>
      <c r="B7" t="str">
        <f>IF(NOT(ISBLANK($J7)),IF($T7&lt;Constants!$B$32,"low spike","OK"),"")</f>
        <v>low spike</v>
      </c>
      <c r="C7" t="str">
        <f>IF(NOT(ISBLANK($J7)), IF((ABS($L6-$L8)/$L6)&gt;Constants!$B$33,"variable mass bias","OK"), "")</f>
        <v>OK</v>
      </c>
      <c r="D7" t="str">
        <f>IF(NOT(ISBLANK($J7)), IF((ABS($P6-$P8)/$P6)&gt;Constants!$B$34,"variable IC yield","OK"),"")</f>
        <v>OK</v>
      </c>
      <c r="E7" s="34">
        <f>CE7</f>
        <v>594.33608341511331</v>
      </c>
      <c r="F7" s="34">
        <f>CF7</f>
        <v>3.5310425980693041</v>
      </c>
      <c r="G7" s="34">
        <f>CM7</f>
        <v>17930.042748764648</v>
      </c>
      <c r="H7" s="47">
        <f>CN7</f>
        <v>70.918886748000986</v>
      </c>
      <c r="I7" s="33"/>
      <c r="J7" s="1">
        <v>601.05730000000005</v>
      </c>
      <c r="K7" s="1">
        <v>3.57</v>
      </c>
      <c r="L7" s="1">
        <v>140.78110000000001</v>
      </c>
      <c r="M7" s="1">
        <v>0.14000000000000001</v>
      </c>
      <c r="N7" s="1">
        <v>1.008675</v>
      </c>
      <c r="O7" s="1">
        <v>6.3099999999999996E-3</v>
      </c>
      <c r="P7" s="1">
        <v>21805.23</v>
      </c>
      <c r="Q7" s="1">
        <v>84</v>
      </c>
      <c r="R7" s="1">
        <v>0.57918999999999998</v>
      </c>
      <c r="S7" s="1">
        <v>4.2299999999999998E-4</v>
      </c>
      <c r="T7" s="1">
        <v>9.645465E-4</v>
      </c>
      <c r="U7" s="1">
        <v>5.4199999999999998E-6</v>
      </c>
      <c r="V7" s="1">
        <v>1658.7670000000001</v>
      </c>
      <c r="W7" s="1">
        <v>6.52</v>
      </c>
      <c r="X7" t="s">
        <v>305</v>
      </c>
      <c r="Y7" t="s">
        <v>306</v>
      </c>
      <c r="Z7">
        <v>3424</v>
      </c>
      <c r="AB7" s="1">
        <f>R7</f>
        <v>0.57918999999999998</v>
      </c>
      <c r="AC7" s="1">
        <f>S7</f>
        <v>4.2299999999999998E-4</v>
      </c>
      <c r="AD7" s="1">
        <f>T7</f>
        <v>9.645465E-4</v>
      </c>
      <c r="AE7" s="1">
        <f>U7</f>
        <v>5.4199999999999998E-6</v>
      </c>
      <c r="AF7" s="1">
        <f>AVERAGE(AF6/$AB6,AF8/$AB8)*$AB7</f>
        <v>38.263170903964557</v>
      </c>
      <c r="AG7" s="1">
        <f>AVERAGE(AG6/AF6,AG8/AF8)*AF7</f>
        <v>0.63307532216985374</v>
      </c>
      <c r="AH7" s="1">
        <f>AVERAGE(AH6/$AB6,AH8/$AB8)*$AB7</f>
        <v>21.431294136693673</v>
      </c>
      <c r="AI7" s="1">
        <f>AVERAGE(AI6/AH6,AI8/AH8)*AH7</f>
        <v>0.29219625520910048</v>
      </c>
      <c r="AJ7" s="1">
        <f>AVERAGE(AJ6/$AB6,AJ8/$AB8)*$AB7</f>
        <v>6.2138159202056471</v>
      </c>
      <c r="AK7" s="1">
        <f>AVERAGE(AK6/AJ6,AK8/AJ8)*AJ7</f>
        <v>0.27688660275222432</v>
      </c>
      <c r="AL7" s="1">
        <f>AVERAGE(AL6/$AB6,AL8/$AB8)*$AB7</f>
        <v>3.6895086853946197</v>
      </c>
      <c r="AM7" s="1">
        <f>AVERAGE(AM6/AL6,AM8/AL8)*AL7</f>
        <v>0.20018620282595845</v>
      </c>
      <c r="AR7" s="1">
        <f>Constants!B$25</f>
        <v>2.3944420000000002E-6</v>
      </c>
      <c r="AS7" s="1">
        <f>R7</f>
        <v>0.57918999999999998</v>
      </c>
      <c r="AT7" s="1">
        <f>MAX(0.000001,T7)</f>
        <v>9.645465E-4</v>
      </c>
      <c r="AU7" s="1">
        <f t="shared" si="18"/>
        <v>14.205002112780708</v>
      </c>
      <c r="AV7" s="1">
        <f>AS7/L7</f>
        <v>4.1141175910686875E-3</v>
      </c>
      <c r="AW7" s="1">
        <f t="shared" si="19"/>
        <v>8.0199769517776538</v>
      </c>
      <c r="AX7" s="1">
        <f>V7</f>
        <v>1658.7670000000001</v>
      </c>
      <c r="AY7">
        <f t="shared" ref="AY7:AY70" si="26">$AZ7*$AR7*62415093+EXP(-$BD7*LN(238-234)+LN($AF7))+EXP(-$BD7*LN(236-234)+LN($AF7/$AS7*$AT7))+EXP(-$BD7*LN(235-234)+LN($AF7/$AS7*$AV7))+BB7</f>
        <v>4.7756560639664212</v>
      </c>
      <c r="AZ7" s="1">
        <f>AT7/N7</f>
        <v>9.5625102238084618E-4</v>
      </c>
      <c r="BA7" s="1">
        <f t="shared" si="20"/>
        <v>3.9473665744617525</v>
      </c>
      <c r="BB7" s="1">
        <f>AL7-BC7</f>
        <v>-0.93623582823150153</v>
      </c>
      <c r="BC7" s="1">
        <f t="shared" si="17"/>
        <v>4.6257445136261213</v>
      </c>
      <c r="BD7">
        <f>(LN(AF7)-LN(AH7))/(LN(238-236.5))</f>
        <v>1.4295573899889145</v>
      </c>
      <c r="BF7" s="32">
        <f>AY7/AS7/62415093</f>
        <v>1.3210594591100748E-7</v>
      </c>
      <c r="BG7" s="1">
        <f>AY7/AX7</f>
        <v>2.8790397108011075E-3</v>
      </c>
      <c r="BH7" s="1">
        <f>BG7*0.1</f>
        <v>2.8790397108011074E-4</v>
      </c>
      <c r="BI7" s="1">
        <f>AW7/AV7/62415093</f>
        <v>3.123250351650841E-5</v>
      </c>
      <c r="BJ7" s="1">
        <f>BI7*0.1</f>
        <v>3.1232503516508413E-6</v>
      </c>
      <c r="BK7" s="1">
        <f>AU7/AT7/62415093</f>
        <v>2.3595463410645145E-4</v>
      </c>
      <c r="BL7" s="1">
        <f>BK7*0.1</f>
        <v>2.3595463410645147E-5</v>
      </c>
      <c r="BM7" s="1">
        <f>J7/(1-(AU7/62415093)/AT7)</f>
        <v>601.19915572681464</v>
      </c>
      <c r="BN7" s="33">
        <f>SQRT((K7/(1-BK7))^2+(BL7*J7/(1-BK7)^2)^2)</f>
        <v>3.5708707469288234</v>
      </c>
      <c r="BO7" s="1">
        <f>L7/(1-AW7/62415093/AV7)</f>
        <v>140.78549708353276</v>
      </c>
      <c r="BP7" s="33">
        <f>SQRT((M7/(1-BI7))^2+(BJ7*L7/(1-BI7)^2)^2)</f>
        <v>0.14000506321919767</v>
      </c>
      <c r="BQ7" s="1">
        <f>N7*(1-BK7)</f>
        <v>1.0084369984594428</v>
      </c>
      <c r="BR7">
        <f>SQRT(O7^2+BL7^2)</f>
        <v>6.3100441160021661E-3</v>
      </c>
      <c r="BS7" s="1">
        <f>P7/(1-BG7)</f>
        <v>21868.189385644589</v>
      </c>
      <c r="BT7" s="1">
        <f>SQRT((Q7/(1-BG7))^2+(BH7*P7/(1-BG7)^2)^2)</f>
        <v>84.478832962182736</v>
      </c>
      <c r="BU7">
        <f>(Constants!$C$19/$BQ7)^(1/LN(Constants!$B$3/Constants!$B$6))</f>
        <v>0.11899077333496189</v>
      </c>
      <c r="BV7">
        <f>(Constants!$C$19/($BQ7-BR7))^(1/LN(Constants!$B$3/Constants!$B$6))-BU7</f>
        <v>7.519295751500224E-2</v>
      </c>
      <c r="BW7">
        <f>$BM7*BU7^(LN(Constants!$B$2/Constants!$B$3))</f>
        <v>590.47016606027933</v>
      </c>
      <c r="BX7" s="33">
        <f>BW7*SQRT((BN7/BM7)^2+(((BM7*($BU7+$BV7)^LN(Constants!$B$2/Constants!$B$3))-BW7)/BW7)^2)</f>
        <v>4.2789337531650364</v>
      </c>
      <c r="BY7">
        <f>BO7*BU7^(LN(Constants!$B$2/Constants!$B$4))</f>
        <v>137.02701252124712</v>
      </c>
      <c r="BZ7" s="33">
        <f>BY7*SQRT((BP7/BO7)^2+(((BO7*($BU7+$BV7)^LN(Constants!$B$2/Constants!$B$4))-BY7)/BY7)^2)</f>
        <v>0.86652224277852341</v>
      </c>
      <c r="CA7">
        <f>BS7*BU7^(LN(Constants!$B$2/Constants!$B$5))</f>
        <v>21091.511106057173</v>
      </c>
      <c r="CB7" s="33">
        <f>CA7*SQRT((BT7/BS7)^2+(((BS7*($BU7+$BV7)^LN(Constants!$B$2/Constants!$B$5))-CA7)/CA7)^2)</f>
        <v>194.13880408936026</v>
      </c>
      <c r="CC7">
        <f>(Constants!$C$18/AVERAGE(BO6,BO8))^(1/LN(Constants!$B$2/Constants!$B$4))</f>
        <v>0.25736541566777044</v>
      </c>
      <c r="CD7">
        <f>MAX(ABS((Constants!$C$18/BO6)^(1/LN(Constants!$B$2/Constants!$B$4))-(Constants!$C$18/BO8)^(1/LN(Constants!$B$2/Constants!$B$4))),CD6,CD8)</f>
        <v>4.1943318006089636E-3</v>
      </c>
      <c r="CE7">
        <f>$BM7*CC7^(LN(Constants!$B$2/Constants!$B$3))</f>
        <v>594.33608341511331</v>
      </c>
      <c r="CF7" s="33">
        <f>CE7*SQRT((BN7/BM7)^2+(($BM7*($CC7+$CD7)^(LN(Constants!$B$2/Constants!$B$3))-CE7)/CE7)^2)</f>
        <v>3.5310425980693041</v>
      </c>
      <c r="CG7">
        <f>BO7*CC7^(LN(Constants!$B$2/Constants!$B$4))</f>
        <v>138.37736391167078</v>
      </c>
      <c r="CH7" s="33">
        <f>CG7*SQRT((BP7/BO7)^2+((BO7*($CC7+$CD7)^(LN(Constants!$B$2/Constants!$B$4))-CG7)/CG7)^2)</f>
        <v>0.14051812420642373</v>
      </c>
      <c r="CI7">
        <f>BQ7*$CC7^(LN(Constants!$B$3/Constants!$B$6))</f>
        <v>0.99104685615309429</v>
      </c>
      <c r="CJ7" s="33">
        <f>CI7*SQRT((BR7/BQ7)^2+((BQ7*($CC7+$CD7)^(LN(Constants!$B$3/Constants!$B$6))-CI7)/CI7)^2)</f>
        <v>6.2046287962813865E-3</v>
      </c>
      <c r="CK7">
        <f>BS7*CC7^(LN(Constants!$B$2/Constants!$B$5))</f>
        <v>21369.742288106812</v>
      </c>
      <c r="CL7" s="33">
        <f>CK7*SQRT((BT7/BS7)^2+((BS7*($CC7+$CD7)^(LN(Constants!$B$2/Constants!$B$5))-CK7)/CK7)^2)</f>
        <v>82.761678507610299</v>
      </c>
      <c r="CM7">
        <f>CK7*Constants!$C$17/AVERAGE(CK6,CK8)</f>
        <v>17930.042748764648</v>
      </c>
      <c r="CN7">
        <f>CM7*SQRT(((CK6-CK8)/CK8/4)^2+(CL7/CK7)^2+AVERAGE(CL6/CK6,CL8/CK8)^2)</f>
        <v>70.918886748000986</v>
      </c>
      <c r="CO7">
        <f>1/CM7*CE7*CI7</f>
        <v>3.2850725189011248E-2</v>
      </c>
      <c r="CQ7">
        <f>$K7/$J7</f>
        <v>5.9395335519591887E-3</v>
      </c>
      <c r="CR7">
        <f>$BN7/$BM7</f>
        <v>5.9395804417121138E-3</v>
      </c>
      <c r="CS7">
        <f>$CF7/$CE7</f>
        <v>5.94115467090537E-3</v>
      </c>
      <c r="CT7">
        <f>$Q7/$P7</f>
        <v>3.8522868137598181E-3</v>
      </c>
      <c r="CU7">
        <f>$BT7/$BS7</f>
        <v>3.8630922511416975E-3</v>
      </c>
      <c r="CV7">
        <f>$CL7/$CK7</f>
        <v>3.8728440142991689E-3</v>
      </c>
      <c r="CW7">
        <f>$CN7/$CM7</f>
        <v>3.9553105222176442E-3</v>
      </c>
      <c r="CY7" s="75">
        <f>$CQ7/$CS7</f>
        <v>0.9997271373939951</v>
      </c>
      <c r="CZ7" s="75">
        <f>$CR7/$CS7-$CY7</f>
        <v>7.8923636098737759E-6</v>
      </c>
      <c r="DA7" s="75">
        <f>$CS7/$CS7-$CZ7-$CY7</f>
        <v>2.6497024239502398E-4</v>
      </c>
      <c r="DB7" s="75">
        <f>$CT7/$CW7</f>
        <v>0.97395306692631978</v>
      </c>
      <c r="DC7" s="75">
        <f>$CU7/$CW7-$DB7</f>
        <v>2.7318809284843093E-3</v>
      </c>
      <c r="DD7" s="75">
        <f>$CV7/$CW7-$DC7-$DB7</f>
        <v>2.465486111063564E-3</v>
      </c>
      <c r="DE7" s="75">
        <f>$CW7/$CW7-$DD7-$DC7-$DB7</f>
        <v>2.084956603413235E-2</v>
      </c>
    </row>
    <row r="8" spans="1:109">
      <c r="A8" s="66" t="str">
        <f t="shared" si="0"/>
        <v>U 13.5 ppb</v>
      </c>
      <c r="B8" s="66"/>
      <c r="C8" s="66"/>
      <c r="J8" s="1">
        <v>-304469</v>
      </c>
      <c r="K8" s="1">
        <v>549000</v>
      </c>
      <c r="L8" s="1">
        <v>140.209</v>
      </c>
      <c r="M8" s="1">
        <v>8.8999999999999999E-3</v>
      </c>
      <c r="N8" s="1">
        <v>1.429751</v>
      </c>
      <c r="O8" s="1">
        <v>1.36</v>
      </c>
      <c r="P8" s="1">
        <v>23014.68</v>
      </c>
      <c r="Q8" s="1">
        <v>15.1</v>
      </c>
      <c r="R8" s="1">
        <v>12.693350000000001</v>
      </c>
      <c r="S8" s="1">
        <v>1.3299999999999999E-2</v>
      </c>
      <c r="T8" s="1">
        <v>1.316071E-5</v>
      </c>
      <c r="U8" s="1">
        <v>6.4400000000000002E-6</v>
      </c>
      <c r="V8" s="1">
        <v>34428.230000000003</v>
      </c>
      <c r="W8" s="1">
        <v>43.9</v>
      </c>
      <c r="X8" t="s">
        <v>323</v>
      </c>
      <c r="Y8" t="s">
        <v>326</v>
      </c>
      <c r="Z8">
        <v>3427</v>
      </c>
      <c r="AB8" s="59" cm="1">
        <f t="array" ref="AB8:AP8">U!A29:O29</f>
        <v>12.46053</v>
      </c>
      <c r="AC8" s="59">
        <v>6.6400000000000001E-2</v>
      </c>
      <c r="AD8" s="59">
        <v>3.682616E-5</v>
      </c>
      <c r="AE8" s="59">
        <v>7.0700000000000001E-6</v>
      </c>
      <c r="AF8" s="59">
        <v>815.10599999999999</v>
      </c>
      <c r="AG8" s="59">
        <v>17.5</v>
      </c>
      <c r="AH8" s="59">
        <v>450.85660000000001</v>
      </c>
      <c r="AI8" s="59">
        <v>8.81</v>
      </c>
      <c r="AJ8" s="59">
        <v>129.01570000000001</v>
      </c>
      <c r="AK8" s="59">
        <v>6.3</v>
      </c>
      <c r="AL8" s="59">
        <v>77.209329999999994</v>
      </c>
      <c r="AM8" s="59">
        <v>3.43</v>
      </c>
      <c r="AN8" s="60" t="str">
        <v>U 13.5 ppb tail</v>
      </c>
      <c r="AO8" s="60" t="str">
        <v>Analysed on 27 January 2023 at 10:55</v>
      </c>
      <c r="AP8" s="60">
        <v>3428</v>
      </c>
      <c r="AQ8" s="1"/>
      <c r="AR8" s="1">
        <f>Constants!B$25</f>
        <v>2.3944420000000002E-6</v>
      </c>
      <c r="AS8" s="1">
        <f t="shared" si="1"/>
        <v>12.693350000000001</v>
      </c>
      <c r="AT8" s="1">
        <f t="shared" si="2"/>
        <v>1.316071E-5</v>
      </c>
      <c r="AU8" s="1">
        <f t="shared" si="18"/>
        <v>296.18932235547294</v>
      </c>
      <c r="AV8" s="1">
        <f t="shared" si="3"/>
        <v>9.0531634916446169E-2</v>
      </c>
      <c r="AW8" s="1">
        <f t="shared" si="19"/>
        <v>163.83096148713381</v>
      </c>
      <c r="AX8" s="1">
        <f t="shared" si="4"/>
        <v>34428.230000000003</v>
      </c>
      <c r="AY8">
        <f t="shared" si="26"/>
        <v>96.817801527306017</v>
      </c>
      <c r="AZ8" s="1">
        <f t="shared" si="5"/>
        <v>9.2048965169459573E-6</v>
      </c>
      <c r="BA8" s="1">
        <f t="shared" si="20"/>
        <v>79.807235107896773</v>
      </c>
      <c r="BB8" s="1">
        <f t="shared" si="6"/>
        <v>-16.625248486985356</v>
      </c>
      <c r="BC8" s="1">
        <f t="shared" si="21"/>
        <v>93.83457848698535</v>
      </c>
      <c r="BD8">
        <f t="shared" si="7"/>
        <v>1.4604680536934909</v>
      </c>
      <c r="BE8" s="1"/>
      <c r="BF8" s="32">
        <f t="shared" si="8"/>
        <v>1.2220510248043981E-7</v>
      </c>
      <c r="BG8" s="1">
        <f t="shared" si="9"/>
        <v>2.8121632023286125E-3</v>
      </c>
      <c r="BH8" s="1">
        <f t="shared" si="10"/>
        <v>2.8121632023286126E-4</v>
      </c>
      <c r="BI8" s="1">
        <f t="shared" si="11"/>
        <v>2.8993857139292931E-5</v>
      </c>
      <c r="BJ8" s="1">
        <f t="shared" si="12"/>
        <v>2.8993857139292933E-6</v>
      </c>
      <c r="BK8" s="1"/>
      <c r="BL8" s="1"/>
      <c r="BM8" s="1"/>
      <c r="BN8" s="1"/>
      <c r="BO8" s="1">
        <f t="shared" ref="BO8:BO34" si="27">L8/(1-AW8/62415093/AV8)</f>
        <v>140.21306531758489</v>
      </c>
      <c r="BP8" s="33">
        <f t="shared" ref="BP8:BP34" si="28">SQRT((M8/(1-BI8))^2+(BJ8*L8/(1-BI8)^2)^2)</f>
        <v>8.9095382069561708E-3</v>
      </c>
      <c r="BQ8" s="1"/>
      <c r="BR8" s="1"/>
      <c r="BS8" s="1">
        <f t="shared" ref="BS8:BS34" si="29">P8/(1-BG8)</f>
        <v>23079.583555600126</v>
      </c>
      <c r="BT8" s="1">
        <f t="shared" ref="BT8:BT34" si="30">SQRT((Q8/(1-BG8))^2+(BH8*P8/(1-BG8)^2)^2)</f>
        <v>16.482125897797914</v>
      </c>
      <c r="BU8" s="1"/>
      <c r="BV8" s="1"/>
      <c r="BW8" s="1"/>
      <c r="BX8" s="1"/>
      <c r="BY8" s="1"/>
      <c r="BZ8" s="1"/>
      <c r="CA8" s="1"/>
      <c r="CB8" s="1"/>
      <c r="CC8">
        <f>(Constants!$C$18/BO8)^(1/LN(Constants!$B$2/Constants!$B$4))</f>
        <v>0.25947123450951648</v>
      </c>
      <c r="CD8">
        <f>ABS((Constants!$C$18/BO8)^(1/LN(Constants!$B$2/Constants!$B$4))-(Constants!$C$18/(BO8+BP8))^(1/LN(Constants!$B$2/Constants!$B$4)))</f>
        <v>1.2937669053064704E-3</v>
      </c>
      <c r="CK8">
        <f>BS8*$CC8^(LN(Constants!$B$2/Constants!$B$5))</f>
        <v>22556.647226353201</v>
      </c>
      <c r="CL8" s="33">
        <f>CK8*SQRT((BT8/BS8)^2+((BS8*($CC8+$CD8)^(LN(Constants!$B$2/Constants!$B$5))-CK8)/CK8)^2)</f>
        <v>16.221041390178645</v>
      </c>
    </row>
    <row r="9" spans="1:109">
      <c r="A9" s="66" t="str">
        <f>X9</f>
        <v>[BHT] AB12-6B</v>
      </c>
      <c r="B9" t="str">
        <f>IF(NOT(ISBLANK($J9)),IF($T9&lt;Constants!$B$32,"low spike","OK"),"")</f>
        <v>low spike</v>
      </c>
      <c r="C9" t="str">
        <f>IF(NOT(ISBLANK($J9)), IF((ABS($L8-$L10)/$L8)&gt;Constants!$B$33,"variable mass bias","OK"), "")</f>
        <v>OK</v>
      </c>
      <c r="D9" t="str">
        <f>IF(NOT(ISBLANK($J9)), IF((ABS($P8-$P10)/$P8)&gt;Constants!$B$34,"variable IC yield","OK"),"")</f>
        <v>OK</v>
      </c>
      <c r="E9" s="34">
        <f>CE9</f>
        <v>791.8425946482389</v>
      </c>
      <c r="F9" s="34">
        <f>CF9</f>
        <v>0.47239181037359995</v>
      </c>
      <c r="G9" s="34">
        <f>CM9</f>
        <v>17946.148146389449</v>
      </c>
      <c r="H9" s="47">
        <f>CN9</f>
        <v>24.699689382892636</v>
      </c>
      <c r="I9" s="33"/>
      <c r="J9" s="1">
        <v>800.72069999999997</v>
      </c>
      <c r="K9" s="1">
        <v>0.47</v>
      </c>
      <c r="L9" s="1">
        <v>139.9693</v>
      </c>
      <c r="M9" s="1">
        <v>1.6799999999999999E-2</v>
      </c>
      <c r="N9" s="1">
        <v>0.99620799999999998</v>
      </c>
      <c r="O9" s="1">
        <v>6.4999999999999997E-4</v>
      </c>
      <c r="P9" s="1">
        <v>21824.880000000001</v>
      </c>
      <c r="Q9" s="1">
        <v>21.1</v>
      </c>
      <c r="R9" s="1">
        <v>8.4393550000000008</v>
      </c>
      <c r="S9" s="1">
        <v>9.6200000000000001E-3</v>
      </c>
      <c r="T9" s="1">
        <v>1.053985E-2</v>
      </c>
      <c r="U9" s="1">
        <v>1.4800000000000001E-5</v>
      </c>
      <c r="V9" s="1">
        <v>24138.46</v>
      </c>
      <c r="W9" s="1">
        <v>39.700000000000003</v>
      </c>
      <c r="X9" t="s">
        <v>307</v>
      </c>
      <c r="Y9" t="s">
        <v>308</v>
      </c>
      <c r="Z9">
        <v>3430</v>
      </c>
      <c r="AB9" s="1">
        <f>R9</f>
        <v>8.4393550000000008</v>
      </c>
      <c r="AC9" s="1">
        <f>S9</f>
        <v>9.6200000000000001E-3</v>
      </c>
      <c r="AD9" s="1">
        <f>T9</f>
        <v>1.053985E-2</v>
      </c>
      <c r="AE9" s="1">
        <f>U9</f>
        <v>1.4800000000000001E-5</v>
      </c>
      <c r="AF9" s="1">
        <f>AVERAGE(AF8/$AB8,AF10/$AB10)*$AB9</f>
        <v>544.4110418845836</v>
      </c>
      <c r="AG9" s="1">
        <f>AVERAGE(AG8/AF8,AG10/AF10)*AF9</f>
        <v>10.851908353014631</v>
      </c>
      <c r="AH9" s="1">
        <f>AVERAGE(AH8/$AB8,AH10/$AB10)*$AB9</f>
        <v>308.83157282947235</v>
      </c>
      <c r="AI9" s="1">
        <f>AVERAGE(AI8/AH8,AI10/AH10)*AH9</f>
        <v>5.8922473411080949</v>
      </c>
      <c r="AJ9" s="1">
        <f>AVERAGE(AJ8/$AB8,AJ10/$AB10)*$AB9</f>
        <v>90.929361871113358</v>
      </c>
      <c r="AK9" s="1">
        <f>AVERAGE(AK8/AJ8,AK10/AJ10)*AJ9</f>
        <v>4.2969969124156568</v>
      </c>
      <c r="AL9" s="1">
        <f>AVERAGE(AL8/$AB8,AL10/$AB10)*$AB9</f>
        <v>53.840652090487175</v>
      </c>
      <c r="AM9" s="1">
        <f>AVERAGE(AM8/AL8,AM10/AL10)*AL9</f>
        <v>2.4578745490863363</v>
      </c>
      <c r="AR9" s="1">
        <f>Constants!B$25</f>
        <v>2.3944420000000002E-6</v>
      </c>
      <c r="AS9" s="1">
        <f>R9</f>
        <v>8.4393550000000008</v>
      </c>
      <c r="AT9" s="1">
        <f>MAX(0.000001,T9)</f>
        <v>1.053985E-2</v>
      </c>
      <c r="AU9" s="1">
        <f t="shared" si="18"/>
        <v>206.55528013209027</v>
      </c>
      <c r="AV9" s="1">
        <f>AS9/L9</f>
        <v>6.0294328827821535E-2</v>
      </c>
      <c r="AW9" s="1">
        <f t="shared" si="19"/>
        <v>117.85386075283783</v>
      </c>
      <c r="AX9" s="1">
        <f>V9</f>
        <v>24138.46</v>
      </c>
      <c r="AY9">
        <f t="shared" si="26"/>
        <v>69.073262229561948</v>
      </c>
      <c r="AZ9" s="1">
        <f>AT9/N9</f>
        <v>1.0579969243370863E-2</v>
      </c>
      <c r="BA9" s="1">
        <f t="shared" si="20"/>
        <v>58.987341844829317</v>
      </c>
      <c r="BB9" s="1">
        <f>AL9-BC9</f>
        <v>-15.024623225486145</v>
      </c>
      <c r="BC9" s="1">
        <f t="shared" si="17"/>
        <v>68.865275315973321</v>
      </c>
      <c r="BD9">
        <f>(LN(AF9)-LN(AH9))/(LN(238-236.5))</f>
        <v>1.3981683882544107</v>
      </c>
      <c r="BF9" s="32">
        <f>AY9/AS9/62415093</f>
        <v>1.311327261139573E-7</v>
      </c>
      <c r="BG9" s="1">
        <f>AY9/AX9</f>
        <v>2.8615438693919146E-3</v>
      </c>
      <c r="BH9" s="1">
        <f>BG9*0.1</f>
        <v>2.8615438693919146E-4</v>
      </c>
      <c r="BI9" s="1">
        <f>AW9/AV9/62415093</f>
        <v>3.1316825109856819E-5</v>
      </c>
      <c r="BJ9" s="1">
        <f>BI9*0.1</f>
        <v>3.131682510985682E-6</v>
      </c>
      <c r="BK9" s="1">
        <f>AU9/AT9/62415093</f>
        <v>3.1398742059743866E-4</v>
      </c>
      <c r="BL9" s="1">
        <f>BK9*0.1</f>
        <v>3.1398742059743866E-5</v>
      </c>
      <c r="BM9" s="1">
        <f>J9/(1-(AU9/62415093)/AT9)</f>
        <v>800.97219519353905</v>
      </c>
      <c r="BN9" s="33">
        <f>SQRT((K9/(1-BK9))^2+(BL9*J9/(1-BK9)^2)^2)</f>
        <v>0.47082022121828276</v>
      </c>
      <c r="BO9" s="1">
        <f>L9/(1-AW9/62415093/AV9)</f>
        <v>139.97368353136713</v>
      </c>
      <c r="BP9" s="33">
        <f>SQRT((M9/(1-BI9))^2+(BJ9*L9/(1-BI9)^2)^2)</f>
        <v>1.6806244198517204E-2</v>
      </c>
      <c r="BQ9" s="1">
        <f>N9*(1-BK9)</f>
        <v>0.99589520321970149</v>
      </c>
      <c r="BR9">
        <f>SQRT(O9^2+BL9^2)</f>
        <v>6.507579281137759E-4</v>
      </c>
      <c r="BS9" s="1">
        <f>P9/(1-BG9)</f>
        <v>21887.512075997314</v>
      </c>
      <c r="BT9" s="1">
        <f>SQRT((Q9/(1-BG9))^2+(BH9*P9/(1-BG9)^2)^2)</f>
        <v>22.073110229924897</v>
      </c>
      <c r="BU9">
        <f>(Constants!$C$19/$BQ9)^(1/LN(Constants!$B$3/Constants!$B$6))</f>
        <v>0.31593071491812313</v>
      </c>
      <c r="BV9">
        <f>(Constants!$C$19/($BQ9-BR9))^(1/LN(Constants!$B$3/Constants!$B$6))-BU9</f>
        <v>1.6530952738450677E-2</v>
      </c>
      <c r="BW9">
        <f>$BM9*BU9^(LN(Constants!$B$2/Constants!$B$3))</f>
        <v>793.20308759328611</v>
      </c>
      <c r="BX9" s="33">
        <f>BW9*SQRT((BN9/BM9)^2+(((BM9*($BU9+$BV9)^LN(Constants!$B$2/Constants!$B$3))-BW9)/BW9)^2)</f>
        <v>0.57840538633215288</v>
      </c>
      <c r="BY9">
        <f>BO9*BU9^(LN(Constants!$B$2/Constants!$B$4))</f>
        <v>137.93846550556938</v>
      </c>
      <c r="BZ9" s="33">
        <f>BY9*SQRT((BP9/BO9)^2+(((BO9*($BU9+$BV9)^LN(Constants!$B$2/Constants!$B$4))-BY9)/BY9)^2)</f>
        <v>9.0976602347240254E-2</v>
      </c>
      <c r="CA9">
        <f>BS9*BU9^(LN(Constants!$B$2/Constants!$B$5))</f>
        <v>21463.250389483237</v>
      </c>
      <c r="CB9" s="33">
        <f>CA9*SQRT((BT9/BS9)^2+(((BS9*($BU9+$BV9)^LN(Constants!$B$2/Constants!$B$5))-CA9)/CA9)^2)</f>
        <v>28.541712480004147</v>
      </c>
      <c r="CC9">
        <f>(Constants!$C$18/AVERAGE(BO8,BO10))^(1/LN(Constants!$B$2/Constants!$B$4))</f>
        <v>0.25790422550740522</v>
      </c>
      <c r="CD9">
        <f>MAX(ABS((Constants!$C$18/BO8)^(1/LN(Constants!$B$2/Constants!$B$4))-(Constants!$C$18/BO10)^(1/LN(Constants!$B$2/Constants!$B$4))),CD8,CD10)</f>
        <v>3.1244349001476879E-3</v>
      </c>
      <c r="CE9">
        <f>$BM9*CC9^(LN(Constants!$B$2/Constants!$B$3))</f>
        <v>791.8425946482389</v>
      </c>
      <c r="CF9" s="33">
        <f>CE9*SQRT((BN9/BM9)^2+(($BM9*($CC9+$CD9)^(LN(Constants!$B$2/Constants!$B$3))-CE9)/CE9)^2)</f>
        <v>0.47239181037359995</v>
      </c>
      <c r="CG9">
        <f>BO9*CC9^(LN(Constants!$B$2/Constants!$B$4))</f>
        <v>137.58309397493974</v>
      </c>
      <c r="CH9" s="33">
        <f>CG9*SQRT((BP9/BO9)^2+((BO9*($CC9+$CD9)^(LN(Constants!$B$2/Constants!$B$4))-CG9)/CG9)^2)</f>
        <v>2.6767194727452509E-2</v>
      </c>
      <c r="CI9">
        <f>BQ9*$CC9^(LN(Constants!$B$3/Constants!$B$6))</f>
        <v>0.97874757347926389</v>
      </c>
      <c r="CJ9" s="33">
        <f>CI9*SQRT((BR9/BQ9)^2+((BQ9*($CC9+$CD9)^(LN(Constants!$B$3/Constants!$B$6))-CI9)/CI9)^2)</f>
        <v>6.5715188359676587E-4</v>
      </c>
      <c r="CK9">
        <f>BS9*CC9^(LN(Constants!$B$2/Constants!$B$5))</f>
        <v>21389.384462259593</v>
      </c>
      <c r="CL9" s="33">
        <f>CK9*SQRT((BT9/BS9)^2+((BS9*($CC9+$CD9)^(LN(Constants!$B$2/Constants!$B$5))-CK9)/CK9)^2)</f>
        <v>22.010160480761598</v>
      </c>
      <c r="CM9">
        <f>CK9*Constants!$C$17/AVERAGE(CK8,CK10)</f>
        <v>17946.148146389449</v>
      </c>
      <c r="CN9">
        <f>CM9*SQRT(((CK8-CK10)/CK10/4)^2+(CL9/CK9)^2+AVERAGE(CL8/CK8,CL10/CK10)^2)</f>
        <v>24.699689382892636</v>
      </c>
      <c r="CO9">
        <f>1/CM9*CE9*CI9</f>
        <v>4.3185535512555752E-2</v>
      </c>
      <c r="CQ9">
        <f>$K9/$J9</f>
        <v>5.8697121230911098E-4</v>
      </c>
      <c r="CR9">
        <f>$BN9/$BM9</f>
        <v>5.8781094280622114E-4</v>
      </c>
      <c r="CS9">
        <f>$CF9/$CE9</f>
        <v>5.9657287138418092E-4</v>
      </c>
      <c r="CT9">
        <f>$Q9/$P9</f>
        <v>9.6678652986866367E-4</v>
      </c>
      <c r="CU9">
        <f>$BT9/$BS9</f>
        <v>1.0084796368487726E-3</v>
      </c>
      <c r="CV9">
        <f>$CL9/$CK9</f>
        <v>1.0290226219271214E-3</v>
      </c>
      <c r="CW9">
        <f>$CN9/$CM9</f>
        <v>1.3763226059103897E-3</v>
      </c>
      <c r="CY9" s="75">
        <f>$CQ9/$CS9</f>
        <v>0.983905303885522</v>
      </c>
      <c r="CZ9" s="75">
        <f>$CR9/$CS9-$CY9</f>
        <v>1.4075908198135645E-3</v>
      </c>
      <c r="DA9" s="75">
        <f>$CS9/$CS9-$CZ9-$CY9</f>
        <v>1.4687105294664438E-2</v>
      </c>
      <c r="DB9" s="75">
        <f>$CT9/$CW9</f>
        <v>0.70244180086627861</v>
      </c>
      <c r="DC9" s="75">
        <f>$CU9/$CW9-$DB9</f>
        <v>3.0293120814164354E-2</v>
      </c>
      <c r="DD9" s="75">
        <f>$CV9/$CW9-$DC9-$DB9</f>
        <v>1.4925995540675197E-2</v>
      </c>
      <c r="DE9" s="75">
        <f>$CW9/$CW9-$DD9-$DC9-$DB9</f>
        <v>0.25233908277888184</v>
      </c>
    </row>
    <row r="10" spans="1:109">
      <c r="A10" s="66" t="str">
        <f t="shared" si="0"/>
        <v>U 13.5 ppb</v>
      </c>
      <c r="B10" s="66"/>
      <c r="C10" s="66"/>
      <c r="J10" s="1">
        <v>363792.2</v>
      </c>
      <c r="K10" s="1">
        <v>221000</v>
      </c>
      <c r="L10" s="1">
        <v>140.2303</v>
      </c>
      <c r="M10" s="1">
        <v>1.2E-2</v>
      </c>
      <c r="N10" s="1">
        <v>-1.5488599999999999</v>
      </c>
      <c r="O10" s="1">
        <v>1.68</v>
      </c>
      <c r="P10" s="1">
        <v>23007</v>
      </c>
      <c r="Q10" s="1">
        <v>24.1</v>
      </c>
      <c r="R10" s="1">
        <v>12.95059</v>
      </c>
      <c r="S10" s="1">
        <v>9.8200000000000006E-3</v>
      </c>
      <c r="T10" s="1">
        <v>-5.3615479999999999E-6</v>
      </c>
      <c r="U10" s="1">
        <v>6.7100000000000001E-6</v>
      </c>
      <c r="V10" s="1">
        <v>35138.620000000003</v>
      </c>
      <c r="W10" s="1">
        <v>52.8</v>
      </c>
      <c r="X10" t="s">
        <v>323</v>
      </c>
      <c r="Y10" t="s">
        <v>327</v>
      </c>
      <c r="Z10">
        <v>3433</v>
      </c>
      <c r="AB10" s="59" cm="1">
        <f t="array" ref="AB10:AP10">U!A30:O30</f>
        <v>12.22129</v>
      </c>
      <c r="AC10" s="59">
        <v>7.0199999999999999E-2</v>
      </c>
      <c r="AD10" s="59">
        <v>4.2228529999999999E-5</v>
      </c>
      <c r="AE10" s="59">
        <v>3.7799999999999998E-6</v>
      </c>
      <c r="AF10" s="59">
        <v>777.30070000000001</v>
      </c>
      <c r="AG10" s="59">
        <v>14.3</v>
      </c>
      <c r="AH10" s="59">
        <v>452.2568</v>
      </c>
      <c r="AI10" s="59">
        <v>8.42</v>
      </c>
      <c r="AJ10" s="59">
        <v>136.81659999999999</v>
      </c>
      <c r="AK10" s="59">
        <v>6.25</v>
      </c>
      <c r="AL10" s="59">
        <v>80.209689999999995</v>
      </c>
      <c r="AM10" s="59">
        <v>3.76</v>
      </c>
      <c r="AN10" s="60" t="str">
        <v>U 13.5 ppb tail</v>
      </c>
      <c r="AO10" s="60" t="str">
        <v>Analysed on 27 January 2023 at 11:16</v>
      </c>
      <c r="AP10" s="60">
        <v>3434</v>
      </c>
      <c r="AQ10" s="1"/>
      <c r="AR10" s="1">
        <f>Constants!B$25</f>
        <v>2.3944420000000002E-6</v>
      </c>
      <c r="AS10" s="1">
        <f t="shared" si="1"/>
        <v>12.95059</v>
      </c>
      <c r="AT10" s="1">
        <f t="shared" si="2"/>
        <v>9.9999999999999995E-7</v>
      </c>
      <c r="AU10" s="1">
        <f t="shared" si="18"/>
        <v>307.96775337591998</v>
      </c>
      <c r="AV10" s="1">
        <f t="shared" si="3"/>
        <v>9.2352294760832718E-2</v>
      </c>
      <c r="AW10" s="1">
        <f t="shared" si="19"/>
        <v>179.18491170656125</v>
      </c>
      <c r="AX10" s="1">
        <f t="shared" si="4"/>
        <v>35138.620000000003</v>
      </c>
      <c r="AY10">
        <f t="shared" si="26"/>
        <v>100.28972749414643</v>
      </c>
      <c r="AZ10" s="1">
        <f t="shared" si="5"/>
        <v>-6.4563614529395817E-7</v>
      </c>
      <c r="BA10" s="1">
        <f t="shared" si="20"/>
        <v>92.765125386850031</v>
      </c>
      <c r="BB10" s="1">
        <f t="shared" si="6"/>
        <v>-27.270535052548752</v>
      </c>
      <c r="BC10" s="1">
        <f t="shared" si="21"/>
        <v>107.48022505254875</v>
      </c>
      <c r="BD10">
        <f t="shared" si="7"/>
        <v>1.3356935180490817</v>
      </c>
      <c r="BE10" s="1"/>
      <c r="BF10" s="32">
        <f t="shared" si="8"/>
        <v>1.2407299761250312E-7</v>
      </c>
      <c r="BG10" s="1">
        <f t="shared" si="9"/>
        <v>2.8541168518896425E-3</v>
      </c>
      <c r="BH10" s="1">
        <f t="shared" si="10"/>
        <v>2.8541168518896428E-4</v>
      </c>
      <c r="BI10" s="1">
        <f t="shared" si="11"/>
        <v>3.1085948548558077E-5</v>
      </c>
      <c r="BJ10" s="1">
        <f t="shared" si="12"/>
        <v>3.1085948548558077E-6</v>
      </c>
      <c r="BK10" s="1"/>
      <c r="BL10" s="1"/>
      <c r="BM10" s="1"/>
      <c r="BN10" s="1"/>
      <c r="BO10" s="1">
        <f t="shared" si="27"/>
        <v>140.23465932740456</v>
      </c>
      <c r="BP10" s="33">
        <f t="shared" si="28"/>
        <v>1.2008288901437757E-2</v>
      </c>
      <c r="BQ10" s="1"/>
      <c r="BR10" s="1"/>
      <c r="BS10" s="1">
        <f t="shared" si="29"/>
        <v>23072.852617476707</v>
      </c>
      <c r="BT10" s="1">
        <f t="shared" si="30"/>
        <v>25.055017954959002</v>
      </c>
      <c r="BU10" s="1"/>
      <c r="BV10" s="1"/>
      <c r="BW10" s="1"/>
      <c r="BX10" s="1"/>
      <c r="BY10" s="1"/>
      <c r="BZ10" s="1"/>
      <c r="CA10" s="1"/>
      <c r="CB10" s="1"/>
      <c r="CC10">
        <f>(Constants!$C$18/BO10)^(1/LN(Constants!$B$2/Constants!$B$4))</f>
        <v>0.25634679960936879</v>
      </c>
      <c r="CD10">
        <f>ABS((Constants!$C$18/BO10)^(1/LN(Constants!$B$2/Constants!$B$4))-(Constants!$C$18/(BO10+BP10))^(1/LN(Constants!$B$2/Constants!$B$4)))</f>
        <v>1.7209651240549517E-3</v>
      </c>
      <c r="CK10">
        <f>BS10*$CC10^(LN(Constants!$B$2/Constants!$B$5))</f>
        <v>22545.42840929711</v>
      </c>
      <c r="CL10" s="33">
        <f>CK10*SQRT((BT10/BS10)^2+((BS10*($CC10+$CD10)^(LN(Constants!$B$2/Constants!$B$5))-CK10)/CK10)^2)</f>
        <v>24.616054327729483</v>
      </c>
    </row>
    <row r="11" spans="1:109">
      <c r="A11" s="66" t="str">
        <f>X11</f>
        <v>[BHT] AB12-6C</v>
      </c>
      <c r="B11" t="str">
        <f>IF(NOT(ISBLANK($J11)),IF($T11&lt;Constants!$B$32,"low spike","OK"),"")</f>
        <v>low spike</v>
      </c>
      <c r="C11" t="str">
        <f>IF(NOT(ISBLANK($J11)), IF((ABS($L10-$L12)/$L10)&gt;Constants!$B$33,"variable mass bias","OK"), "")</f>
        <v>variable mass bias</v>
      </c>
      <c r="D11" t="str">
        <f>IF(NOT(ISBLANK($J11)), IF((ABS($P10-$P12)/$P10)&gt;Constants!$B$34,"variable IC yield","OK"),"")</f>
        <v>OK</v>
      </c>
      <c r="E11" s="34">
        <f>CE11</f>
        <v>894.10786290430906</v>
      </c>
      <c r="F11" s="34">
        <f>CF11</f>
        <v>1.0100569442584586</v>
      </c>
      <c r="G11" s="34">
        <f>CM11</f>
        <v>17974.827622480036</v>
      </c>
      <c r="H11" s="47">
        <f>CN11</f>
        <v>27.627373240474238</v>
      </c>
      <c r="I11" s="33"/>
      <c r="J11" s="1">
        <v>904.31410000000005</v>
      </c>
      <c r="K11" s="1">
        <v>0.97399999999999998</v>
      </c>
      <c r="L11" s="1">
        <v>140.05760000000001</v>
      </c>
      <c r="M11" s="1">
        <v>2.0500000000000001E-2</v>
      </c>
      <c r="N11" s="1">
        <v>0.99678750000000005</v>
      </c>
      <c r="O11" s="1">
        <v>1.33E-3</v>
      </c>
      <c r="P11" s="1">
        <v>21889.360000000001</v>
      </c>
      <c r="Q11" s="1">
        <v>18.7</v>
      </c>
      <c r="R11" s="1">
        <v>7.1112149999999996</v>
      </c>
      <c r="S11" s="1">
        <v>1.2500000000000001E-2</v>
      </c>
      <c r="T11" s="1">
        <v>7.8624550000000008E-3</v>
      </c>
      <c r="U11" s="1">
        <v>1.7499999999999998E-5</v>
      </c>
      <c r="V11" s="1">
        <v>20274.060000000001</v>
      </c>
      <c r="W11" s="1">
        <v>41.8</v>
      </c>
      <c r="X11" t="s">
        <v>309</v>
      </c>
      <c r="Y11" t="s">
        <v>310</v>
      </c>
      <c r="Z11">
        <v>3436</v>
      </c>
      <c r="AB11" s="1">
        <f>R11</f>
        <v>7.1112149999999996</v>
      </c>
      <c r="AC11" s="1">
        <f>S11</f>
        <v>1.2500000000000001E-2</v>
      </c>
      <c r="AD11" s="1">
        <f>T11</f>
        <v>7.8624550000000008E-3</v>
      </c>
      <c r="AE11" s="1">
        <f>U11</f>
        <v>1.7499999999999998E-5</v>
      </c>
      <c r="AF11" s="1">
        <f>AVERAGE(AF10/$AB10,AF12/$AB12)*$AB11</f>
        <v>446.60880916303148</v>
      </c>
      <c r="AG11" s="1">
        <f>AVERAGE(AG10/AF10,AG12/AF12)*AF11</f>
        <v>9.3871245462436619</v>
      </c>
      <c r="AH11" s="1">
        <f>AVERAGE(AH10/$AB10,AH12/$AB12)*$AB11</f>
        <v>249.95561186353797</v>
      </c>
      <c r="AI11" s="1">
        <f>AVERAGE(AI10/AH10,AI12/AH12)*AH11</f>
        <v>4.0527015897379544</v>
      </c>
      <c r="AJ11" s="1">
        <f>AVERAGE(AJ10/$AB10,AJ12/$AB12)*$AB11</f>
        <v>75.921942877368281</v>
      </c>
      <c r="AK11" s="1">
        <f>AVERAGE(AK10/AJ10,AK12/AJ12)*AJ11</f>
        <v>2.683026621348708</v>
      </c>
      <c r="AL11" s="1">
        <f>AVERAGE(AL10/$AB10,AL12/$AB12)*$AB11</f>
        <v>44.75545806606516</v>
      </c>
      <c r="AM11" s="1">
        <f>AVERAGE(AM10/AL10,AM12/AL12)*AL11</f>
        <v>1.4536584450063381</v>
      </c>
      <c r="AR11" s="1">
        <f>Constants!B$25</f>
        <v>2.3944420000000002E-6</v>
      </c>
      <c r="AS11" s="1">
        <f>R11</f>
        <v>7.1112149999999996</v>
      </c>
      <c r="AT11" s="1">
        <f>MAX(0.000001,T11)</f>
        <v>7.8624550000000008E-3</v>
      </c>
      <c r="AU11" s="1">
        <f t="shared" si="18"/>
        <v>165.58475831239613</v>
      </c>
      <c r="AV11" s="1">
        <f>AS11/L11</f>
        <v>5.0773503187260094E-2</v>
      </c>
      <c r="AW11" s="1">
        <f t="shared" si="19"/>
        <v>93.16737458704236</v>
      </c>
      <c r="AX11" s="1">
        <f>V11</f>
        <v>20274.060000000001</v>
      </c>
      <c r="AY11">
        <f t="shared" si="26"/>
        <v>56.91361037917892</v>
      </c>
      <c r="AZ11" s="1">
        <f>AT11/N11</f>
        <v>7.8877945399596205E-3</v>
      </c>
      <c r="BA11" s="1">
        <f t="shared" si="20"/>
        <v>45.890633796617507</v>
      </c>
      <c r="BB11" s="1">
        <f>AL11-BC11</f>
        <v>-9.0292767792998632</v>
      </c>
      <c r="BC11" s="1">
        <f t="shared" si="17"/>
        <v>53.784734845365023</v>
      </c>
      <c r="BD11">
        <f>(LN(AF11)-LN(AH11))/(LN(238-236.5))</f>
        <v>1.431441825705561</v>
      </c>
      <c r="BF11" s="32">
        <f>AY11/AS11/62415093</f>
        <v>1.2822795177908847E-7</v>
      </c>
      <c r="BG11" s="1">
        <f>AY11/AX11</f>
        <v>2.807213275445516E-3</v>
      </c>
      <c r="BH11" s="1">
        <f>BG11*0.1</f>
        <v>2.8072132754455159E-4</v>
      </c>
      <c r="BI11" s="1">
        <f>AW11/AV11/62415093</f>
        <v>2.939930787718255E-5</v>
      </c>
      <c r="BJ11" s="1">
        <f>BI11*0.1</f>
        <v>2.9399307877182551E-6</v>
      </c>
      <c r="BK11" s="1">
        <f>AU11/AT11/62415093</f>
        <v>3.3742135392582666E-4</v>
      </c>
      <c r="BL11" s="1">
        <f>BK11*0.1</f>
        <v>3.3742135392582667E-5</v>
      </c>
      <c r="BM11" s="1">
        <f>J11/(1-(AU11/62415093)/AT11)</f>
        <v>904.61933788177555</v>
      </c>
      <c r="BN11" s="33">
        <f>SQRT((K11/(1-BK11))^2+(BL11*J11/(1-BK11)^2)^2)</f>
        <v>0.97480708961876572</v>
      </c>
      <c r="BO11" s="1">
        <f>L11/(1-AW11/62415093/AV11)</f>
        <v>140.06171771756098</v>
      </c>
      <c r="BP11" s="33">
        <f>SQRT((M11/(1-BI11))^2+(BJ11*L11/(1-BI11)^2)^2)</f>
        <v>2.0504737919739943E-2</v>
      </c>
      <c r="BQ11" s="1">
        <f>N11*(1-BK11)</f>
        <v>0.9964511626121737</v>
      </c>
      <c r="BR11">
        <f>SQRT(O11^2+BL11^2)</f>
        <v>1.3304279505861455E-3</v>
      </c>
      <c r="BS11" s="1">
        <f>P11/(1-BG11)</f>
        <v>21950.981085512303</v>
      </c>
      <c r="BT11" s="1">
        <f>SQRT((Q11/(1-BG11))^2+(BH11*P11/(1-BG11)^2)^2)</f>
        <v>19.744550603596682</v>
      </c>
      <c r="BU11">
        <f>(Constants!$C$19/$BQ11)^(1/LN(Constants!$B$3/Constants!$B$6))</f>
        <v>0.30246854931777967</v>
      </c>
      <c r="BV11">
        <f>(Constants!$C$19/($BQ11-BR11))^(1/LN(Constants!$B$3/Constants!$B$6))-BU11</f>
        <v>3.3233454372573357E-2</v>
      </c>
      <c r="BW11">
        <f>$BM11*BU11^(LN(Constants!$B$2/Constants!$B$3))</f>
        <v>895.51496168127233</v>
      </c>
      <c r="BX11" s="33">
        <f>BW11*SQRT((BN11/BM11)^2+(((BM11*($BU11+$BV11)^LN(Constants!$B$2/Constants!$B$3))-BW11)/BW11)^2)</f>
        <v>1.2471555040138314</v>
      </c>
      <c r="BY11">
        <f>BO11*BU11^(LN(Constants!$B$2/Constants!$B$4))</f>
        <v>137.94883892092355</v>
      </c>
      <c r="BZ11" s="33">
        <f>BY11*SQRT((BP11/BO11)^2+(((BO11*($BU11+$BV11)^LN(Constants!$B$2/Constants!$B$4))-BY11)/BY11)^2)</f>
        <v>0.1840346155665824</v>
      </c>
      <c r="CA11">
        <f>BS11*BU11^(LN(Constants!$B$2/Constants!$B$5))</f>
        <v>21509.571522826387</v>
      </c>
      <c r="CB11" s="33">
        <f>CA11*SQRT((BT11/BS11)^2+(((BS11*($BU11+$BV11)^LN(Constants!$B$2/Constants!$B$5))-CA11)/CA11)^2)</f>
        <v>42.753983464651604</v>
      </c>
      <c r="CC11">
        <f>(Constants!$C$18/AVERAGE(BO10,BO12))^(1/LN(Constants!$B$2/Constants!$B$4))</f>
        <v>0.25115834085109623</v>
      </c>
      <c r="CD11">
        <f>MAX(ABS((Constants!$C$18/BO10)^(1/LN(Constants!$B$2/Constants!$B$4))-(Constants!$C$18/BO12)^(1/LN(Constants!$B$2/Constants!$B$4))),CD10,CD12)</f>
        <v>1.0270595617374284E-2</v>
      </c>
      <c r="CE11">
        <f>$BM11*CC11^(LN(Constants!$B$2/Constants!$B$3))</f>
        <v>894.10786290430906</v>
      </c>
      <c r="CF11" s="33">
        <f>CE11*SQRT((BN11/BM11)^2+(($BM11*($CC11+$CD11)^(LN(Constants!$B$2/Constants!$B$3))-CE11)/CE11)^2)</f>
        <v>1.0100569442584586</v>
      </c>
      <c r="CG11">
        <f>BO11*CC11^(LN(Constants!$B$2/Constants!$B$4))</f>
        <v>137.62324907046826</v>
      </c>
      <c r="CH11" s="33">
        <f>CG11*SQRT((BP11/BO11)^2+((BO11*($CC11+$CD11)^(LN(Constants!$B$2/Constants!$B$4))-CG11)/CG11)^2)</f>
        <v>7.2969192203645061E-2</v>
      </c>
      <c r="CI11">
        <f>BQ11*$CC11^(LN(Constants!$B$3/Constants!$B$6))</f>
        <v>0.97896135720912314</v>
      </c>
      <c r="CJ11" s="33">
        <f>CI11*SQRT((BR11/BQ11)^2+((BQ11*($CC11+$CD11)^(LN(Constants!$B$3/Constants!$B$6))-CI11)/CI11)^2)</f>
        <v>1.4005155848124239E-3</v>
      </c>
      <c r="CK11">
        <f>BS11*CC11^(LN(Constants!$B$2/Constants!$B$5))</f>
        <v>21441.752458131901</v>
      </c>
      <c r="CL11" s="33">
        <f>CK11*SQRT((BT11/BS11)^2+((BS11*($CC11+$CD11)^(LN(Constants!$B$2/Constants!$B$5))-CK11)/CK11)^2)</f>
        <v>24.191722405042224</v>
      </c>
      <c r="CM11">
        <f>CK11*Constants!$C$17/AVERAGE(CK10,CK12)</f>
        <v>17974.827622480036</v>
      </c>
      <c r="CN11">
        <f>CM11*SQRT(((CK10-CK12)/CK12/4)^2+(CL11/CK11)^2+AVERAGE(CL10/CK10,CL12/CK12)^2)</f>
        <v>27.627373240474238</v>
      </c>
      <c r="CO11">
        <f>1/CM11*CE11*CI11</f>
        <v>4.8695712990619706E-2</v>
      </c>
      <c r="CQ11">
        <f>$K11/$J11</f>
        <v>1.0770593978353317E-3</v>
      </c>
      <c r="CR11">
        <f>$BN11/$BM11</f>
        <v>1.0775881620012008E-3</v>
      </c>
      <c r="CS11">
        <f>$CF11/$CE11</f>
        <v>1.1296813126970106E-3</v>
      </c>
      <c r="CT11">
        <f>$Q11/$P11</f>
        <v>8.5429633392662002E-4</v>
      </c>
      <c r="CU11">
        <f>$BT11/$BS11</f>
        <v>8.9948374182820148E-4</v>
      </c>
      <c r="CV11">
        <f>$CL11/$CK11</f>
        <v>1.1282530405236249E-3</v>
      </c>
      <c r="CW11">
        <f>$CN11/$CM11</f>
        <v>1.537003515178212E-3</v>
      </c>
      <c r="CY11" s="75">
        <f>$CQ11/$CS11</f>
        <v>0.95341879672591123</v>
      </c>
      <c r="CZ11" s="75">
        <f>$CR11/$CS11-$CY11</f>
        <v>4.6806489575956789E-4</v>
      </c>
      <c r="DA11" s="75">
        <f>$CS11/$CS11-$CZ11-$CY11</f>
        <v>4.6113138378329199E-2</v>
      </c>
      <c r="DB11" s="75">
        <f>$CT11/$CW11</f>
        <v>0.555819375486312</v>
      </c>
      <c r="DC11" s="75">
        <f>$CU11/$CW11-$DB11</f>
        <v>2.939967765548146E-2</v>
      </c>
      <c r="DD11" s="75">
        <f>$CV11/$CW11-$DC11-$DB11</f>
        <v>0.14884110311803556</v>
      </c>
      <c r="DE11" s="75">
        <f>$CW11/$CW11-$DD11-$DC11-$DB11</f>
        <v>0.26593984374017099</v>
      </c>
    </row>
    <row r="12" spans="1:109">
      <c r="A12" s="66" t="str">
        <f t="shared" si="0"/>
        <v>U 13.5 ppb</v>
      </c>
      <c r="B12" s="66"/>
      <c r="C12" s="66"/>
      <c r="J12" s="1">
        <v>199275.2</v>
      </c>
      <c r="K12" s="1">
        <v>133000</v>
      </c>
      <c r="L12" s="1">
        <v>140.30410000000001</v>
      </c>
      <c r="M12" s="1">
        <v>1.0699999999999999E-2</v>
      </c>
      <c r="N12" s="1">
        <v>1.7123120000000001</v>
      </c>
      <c r="O12" s="1">
        <v>3.04</v>
      </c>
      <c r="P12" s="1">
        <v>23078.61</v>
      </c>
      <c r="Q12" s="1">
        <v>14.4</v>
      </c>
      <c r="R12" s="1">
        <v>13.05231</v>
      </c>
      <c r="S12" s="1">
        <v>1.4800000000000001E-2</v>
      </c>
      <c r="T12" s="1">
        <v>-5.1831369999999999E-6</v>
      </c>
      <c r="U12" s="1">
        <v>6.81E-6</v>
      </c>
      <c r="V12" s="1">
        <v>35303.53</v>
      </c>
      <c r="W12" s="1">
        <v>41.4</v>
      </c>
      <c r="X12" t="s">
        <v>323</v>
      </c>
      <c r="Y12" t="s">
        <v>328</v>
      </c>
      <c r="Z12">
        <v>3439</v>
      </c>
      <c r="AB12" s="59" cm="1">
        <f t="array" ref="AB12:AP12">U!A31:O31</f>
        <v>12.484540000000001</v>
      </c>
      <c r="AC12" s="59">
        <v>3.5999999999999997E-2</v>
      </c>
      <c r="AD12" s="59">
        <v>9.5630119999999992E-6</v>
      </c>
      <c r="AE12" s="59">
        <v>5.3800000000000002E-6</v>
      </c>
      <c r="AF12" s="59">
        <v>774.10029999999995</v>
      </c>
      <c r="AG12" s="59">
        <v>18.3</v>
      </c>
      <c r="AH12" s="59">
        <v>415.65199999999999</v>
      </c>
      <c r="AI12" s="59">
        <v>5.74</v>
      </c>
      <c r="AJ12" s="59">
        <v>126.8154</v>
      </c>
      <c r="AK12" s="59">
        <v>3.17</v>
      </c>
      <c r="AL12" s="59">
        <v>75.20908</v>
      </c>
      <c r="AM12" s="59">
        <v>1.36</v>
      </c>
      <c r="AN12" s="60" t="str">
        <v>U 13.5 ppb tail</v>
      </c>
      <c r="AO12" s="60" t="str">
        <v>Analysed on 27 January 2023 at 11:34</v>
      </c>
      <c r="AP12" s="60">
        <v>3440</v>
      </c>
      <c r="AQ12" s="1"/>
      <c r="AR12" s="1">
        <f>Constants!B$25</f>
        <v>2.3944420000000002E-6</v>
      </c>
      <c r="AS12" s="1">
        <f t="shared" si="1"/>
        <v>13.05231</v>
      </c>
      <c r="AT12" s="1">
        <f t="shared" si="2"/>
        <v>9.9999999999999995E-7</v>
      </c>
      <c r="AU12" s="1">
        <f t="shared" si="18"/>
        <v>267.37083498382037</v>
      </c>
      <c r="AV12" s="1">
        <f t="shared" si="3"/>
        <v>9.3028714057536446E-2</v>
      </c>
      <c r="AW12" s="1">
        <f t="shared" si="19"/>
        <v>143.56442984542639</v>
      </c>
      <c r="AX12" s="1">
        <f t="shared" si="4"/>
        <v>35303.53</v>
      </c>
      <c r="AY12">
        <f t="shared" si="26"/>
        <v>93.026003557226588</v>
      </c>
      <c r="AZ12" s="1">
        <f t="shared" si="5"/>
        <v>5.8400571858399632E-7</v>
      </c>
      <c r="BA12" s="1">
        <f t="shared" si="20"/>
        <v>67.490287588899648</v>
      </c>
      <c r="BB12" s="1">
        <f t="shared" si="6"/>
        <v>-4.8401167678615877</v>
      </c>
      <c r="BC12" s="1">
        <f t="shared" si="21"/>
        <v>80.049196767861588</v>
      </c>
      <c r="BD12">
        <f t="shared" si="7"/>
        <v>1.5336784044198546</v>
      </c>
      <c r="BE12" s="1"/>
      <c r="BF12" s="32">
        <f t="shared" si="8"/>
        <v>1.1418981304307533E-7</v>
      </c>
      <c r="BG12" s="1">
        <f t="shared" si="9"/>
        <v>2.6350340477914415E-3</v>
      </c>
      <c r="BH12" s="1">
        <f t="shared" si="10"/>
        <v>2.6350340477914418E-4</v>
      </c>
      <c r="BI12" s="1">
        <f t="shared" si="11"/>
        <v>2.4725222635875276E-5</v>
      </c>
      <c r="BJ12" s="1">
        <f t="shared" si="12"/>
        <v>2.4725222635875279E-6</v>
      </c>
      <c r="BK12" s="1"/>
      <c r="BL12" s="1"/>
      <c r="BM12" s="1"/>
      <c r="BN12" s="1"/>
      <c r="BO12" s="1">
        <f t="shared" si="27"/>
        <v>140.30756913588439</v>
      </c>
      <c r="BP12" s="33">
        <f t="shared" si="28"/>
        <v>1.0705887015135144E-2</v>
      </c>
      <c r="BQ12" s="1"/>
      <c r="BR12" s="1"/>
      <c r="BS12" s="1">
        <f t="shared" si="29"/>
        <v>23139.58359061298</v>
      </c>
      <c r="BT12" s="1">
        <f t="shared" si="30"/>
        <v>15.679018784488603</v>
      </c>
      <c r="BU12" s="1"/>
      <c r="BV12" s="1"/>
      <c r="BW12" s="1"/>
      <c r="BX12" s="1"/>
      <c r="BY12" s="1"/>
      <c r="BZ12" s="1"/>
      <c r="CA12" s="1"/>
      <c r="CB12" s="1"/>
      <c r="CC12">
        <f>(Constants!$C$18/BO12)^(1/LN(Constants!$B$2/Constants!$B$4))</f>
        <v>0.24607620399199451</v>
      </c>
      <c r="CD12">
        <f>ABS((Constants!$C$18/BO12)^(1/LN(Constants!$B$2/Constants!$B$4))-(Constants!$C$18/(BO12+BP12))^(1/LN(Constants!$B$2/Constants!$B$4)))</f>
        <v>1.4726201928276506E-3</v>
      </c>
      <c r="CK12">
        <f>BS12*$CC12^(LN(Constants!$B$2/Constants!$B$5))</f>
        <v>22594.933259867779</v>
      </c>
      <c r="CL12" s="33">
        <f>CK12*SQRT((BT12/BS12)^2+((BS12*($CC12+$CD12)^(LN(Constants!$B$2/Constants!$B$5))-CK12)/CK12)^2)</f>
        <v>15.480338509046437</v>
      </c>
      <c r="CR12" s="1"/>
      <c r="CS12" s="1"/>
      <c r="CU12" s="1"/>
      <c r="CV12" s="1"/>
      <c r="CW12" s="1"/>
    </row>
    <row r="13" spans="1:109">
      <c r="A13" s="66" t="str">
        <f>X13</f>
        <v>[BHT] AB12-6D</v>
      </c>
      <c r="B13" t="str">
        <f>IF(NOT(ISBLANK($J13)),IF($T13&lt;Constants!$B$32,"low spike","OK"),"")</f>
        <v>low spike</v>
      </c>
      <c r="C13" t="str">
        <f>IF(NOT(ISBLANK($J13)), IF((ABS($L12-$L14)/$L12)&gt;Constants!$B$33,"variable mass bias","OK"), "")</f>
        <v>OK</v>
      </c>
      <c r="D13" t="str">
        <f>IF(NOT(ISBLANK($J13)), IF((ABS($P12-$P14)/$P12)&gt;Constants!$B$34,"variable IC yield","OK"),"")</f>
        <v>OK</v>
      </c>
      <c r="E13" s="34">
        <f>CE13</f>
        <v>770.83862663977402</v>
      </c>
      <c r="F13" s="34">
        <f>CF13</f>
        <v>0.34274611691448253</v>
      </c>
      <c r="G13" s="34">
        <f>CM13</f>
        <v>17919.828950137056</v>
      </c>
      <c r="H13" s="47">
        <f>CN13</f>
        <v>25.489452672861926</v>
      </c>
      <c r="I13" s="33"/>
      <c r="J13" s="1">
        <v>779.79570000000001</v>
      </c>
      <c r="K13" s="1">
        <v>0.33800000000000002</v>
      </c>
      <c r="L13" s="1">
        <v>140.0232</v>
      </c>
      <c r="M13" s="1">
        <v>1.2999999999999999E-2</v>
      </c>
      <c r="N13" s="1">
        <v>0.99644860000000002</v>
      </c>
      <c r="O13" s="1">
        <v>6.0999999999999997E-4</v>
      </c>
      <c r="P13" s="1">
        <v>21821.06</v>
      </c>
      <c r="Q13" s="1">
        <v>18.899999999999999</v>
      </c>
      <c r="R13" s="1">
        <v>11.613479999999999</v>
      </c>
      <c r="S13" s="1">
        <v>2.6800000000000001E-2</v>
      </c>
      <c r="T13" s="1">
        <v>1.489293E-2</v>
      </c>
      <c r="U13" s="1">
        <v>3.3099999999999998E-5</v>
      </c>
      <c r="V13" s="1">
        <v>33222.74</v>
      </c>
      <c r="W13" s="1">
        <v>84.1</v>
      </c>
      <c r="X13" t="s">
        <v>311</v>
      </c>
      <c r="Y13" t="s">
        <v>312</v>
      </c>
      <c r="Z13">
        <v>3442</v>
      </c>
      <c r="AB13" s="1">
        <f>R13</f>
        <v>11.613479999999999</v>
      </c>
      <c r="AC13" s="1">
        <f>S13</f>
        <v>2.6800000000000001E-2</v>
      </c>
      <c r="AD13" s="1">
        <f>T13</f>
        <v>1.489293E-2</v>
      </c>
      <c r="AE13" s="1">
        <f>U13</f>
        <v>3.3099999999999998E-5</v>
      </c>
      <c r="AF13" s="1">
        <f>AVERAGE(AF12/$AB12,AF14/$AB14)*$AB13</f>
        <v>723.75568200288239</v>
      </c>
      <c r="AG13" s="1">
        <f>AVERAGE(AG12/AF12,AG14/AF14)*AF13</f>
        <v>12.62886468981339</v>
      </c>
      <c r="AH13" s="1">
        <f>AVERAGE(AH12/$AB12,AH14/$AB14)*$AB13</f>
        <v>380.74796203462097</v>
      </c>
      <c r="AI13" s="1">
        <f>AVERAGE(AI12/AH12,AI14/AH14)*AH13</f>
        <v>9.3327496828443195</v>
      </c>
      <c r="AJ13" s="1">
        <f>AVERAGE(AJ12/$AB12,AJ14/$AB14)*$AB13</f>
        <v>123.28354382189538</v>
      </c>
      <c r="AK13" s="1">
        <f>AVERAGE(AK12/AJ12,AK14/AJ14)*AJ13</f>
        <v>4.3858474487771888</v>
      </c>
      <c r="AL13" s="1">
        <f>AVERAGE(AL12/$AB12,AL14/$AB14)*$AB13</f>
        <v>65.783675133439957</v>
      </c>
      <c r="AM13" s="1">
        <f>AVERAGE(AM12/AL12,AM14/AL14)*AL13</f>
        <v>2.785707049026998</v>
      </c>
      <c r="AR13" s="1">
        <f>Constants!B$25</f>
        <v>2.3944420000000002E-6</v>
      </c>
      <c r="AS13" s="1">
        <f>R13</f>
        <v>11.613479999999999</v>
      </c>
      <c r="AT13" s="1">
        <f>MAX(0.000001,T13)</f>
        <v>1.489293E-2</v>
      </c>
      <c r="AU13" s="1">
        <f t="shared" si="18"/>
        <v>241.38834197168043</v>
      </c>
      <c r="AV13" s="1">
        <f>AS13/L13</f>
        <v>8.2939684280890588E-2</v>
      </c>
      <c r="AW13" s="1">
        <f t="shared" si="19"/>
        <v>127.91590089509594</v>
      </c>
      <c r="AX13" s="1">
        <f>V13</f>
        <v>33222.74</v>
      </c>
      <c r="AY13">
        <f t="shared" si="26"/>
        <v>84.262686002921541</v>
      </c>
      <c r="AZ13" s="1">
        <f>AT13/N13</f>
        <v>1.4946009257276292E-2</v>
      </c>
      <c r="BA13" s="1">
        <f t="shared" si="20"/>
        <v>58.4222215300409</v>
      </c>
      <c r="BB13" s="1">
        <f>AL13-BC13</f>
        <v>-3.9576531719721402</v>
      </c>
      <c r="BC13" s="1">
        <f t="shared" si="17"/>
        <v>69.741328305412097</v>
      </c>
      <c r="BD13">
        <f>(LN(AF13)-LN(AH13))/(LN(238-236.5))</f>
        <v>1.5841467675879894</v>
      </c>
      <c r="BF13" s="32">
        <f>AY13/AS13/62415093</f>
        <v>1.1624741399955147E-7</v>
      </c>
      <c r="BG13" s="1">
        <f>AY13/AX13</f>
        <v>2.5362955013018655E-3</v>
      </c>
      <c r="BH13" s="1">
        <f>BG13*0.1</f>
        <v>2.5362955013018658E-4</v>
      </c>
      <c r="BI13" s="1">
        <f>AW13/AV13/62415093</f>
        <v>2.4709987975283334E-5</v>
      </c>
      <c r="BJ13" s="1">
        <f>BI13*0.1</f>
        <v>2.4709987975283337E-6</v>
      </c>
      <c r="BK13" s="1">
        <f>AU13/AT13/62415093</f>
        <v>2.5968479490052744E-4</v>
      </c>
      <c r="BL13" s="1">
        <f>BK13*0.1</f>
        <v>2.5968479490052744E-5</v>
      </c>
      <c r="BM13" s="1">
        <f>J13/(1-(AU13/62415093)/AT13)</f>
        <v>779.99825368653137</v>
      </c>
      <c r="BN13" s="33">
        <f>SQRT((K13/(1-BK13))^2+(BL13*J13/(1-BK13)^2)^2)</f>
        <v>0.33869433285663963</v>
      </c>
      <c r="BO13" s="1">
        <f>L13/(1-AW13/62415093/AV13)</f>
        <v>140.02666005708625</v>
      </c>
      <c r="BP13" s="33">
        <f>SQRT((M13/(1-BI13))^2+(BJ13*L13/(1-BI13)^2)^2)</f>
        <v>1.3004925149830263E-2</v>
      </c>
      <c r="BQ13" s="1">
        <f>N13*(1-BK13)</f>
        <v>0.99618983744968004</v>
      </c>
      <c r="BR13">
        <f>SQRT(O13^2+BL13^2)</f>
        <v>6.1055250546290058E-4</v>
      </c>
      <c r="BS13" s="1">
        <f>P13/(1-BG13)</f>
        <v>21876.545383640554</v>
      </c>
      <c r="BT13" s="1">
        <f>SQRT((Q13/(1-BG13))^2+(BH13*P13/(1-BG13)^2)^2)</f>
        <v>19.747707145625622</v>
      </c>
      <c r="BU13">
        <f>(Constants!$C$19/$BQ13)^(1/LN(Constants!$B$3/Constants!$B$6))</f>
        <v>0.30872244017137895</v>
      </c>
      <c r="BV13">
        <f>(Constants!$C$19/($BQ13-BR13))^(1/LN(Constants!$B$3/Constants!$B$6))-BU13</f>
        <v>1.512680911906189E-2</v>
      </c>
      <c r="BW13">
        <f>$BM13*BU13^(LN(Constants!$B$2/Constants!$B$3))</f>
        <v>772.28178939908071</v>
      </c>
      <c r="BX13" s="33">
        <f>BW13*SQRT((BN13/BM13)^2+(((BM13*($BU13+$BV13)^LN(Constants!$B$2/Constants!$B$3))-BW13)/BW13)^2)</f>
        <v>0.45842469913545086</v>
      </c>
      <c r="BY13">
        <f>BO13*BU13^(LN(Constants!$B$2/Constants!$B$4))</f>
        <v>137.95019284374484</v>
      </c>
      <c r="BZ13" s="33">
        <f>BY13*SQRT((BP13/BO13)^2+(((BO13*($BU13+$BV13)^LN(Constants!$B$2/Constants!$B$4))-BY13)/BY13)^2)</f>
        <v>8.4880985632789438E-2</v>
      </c>
      <c r="CA13">
        <f>BS13*BU13^(LN(Constants!$B$2/Constants!$B$5))</f>
        <v>21444.086674523824</v>
      </c>
      <c r="CB13" s="33">
        <f>CA13*SQRT((BT13/BS13)^2+(((BS13*($BU13+$BV13)^LN(Constants!$B$2/Constants!$B$5))-CA13)/CA13)^2)</f>
        <v>26.050339228965772</v>
      </c>
      <c r="CC13">
        <f>(Constants!$C$18/AVERAGE(BO12,BO14))^(1/LN(Constants!$B$2/Constants!$B$4))</f>
        <v>0.24747959698620278</v>
      </c>
      <c r="CD13">
        <f>MAX(ABS((Constants!$C$18/BO12)^(1/LN(Constants!$B$2/Constants!$B$4))-(Constants!$C$18/BO14)^(1/LN(Constants!$B$2/Constants!$B$4))),CD12,CD14)</f>
        <v>2.814891982004436E-3</v>
      </c>
      <c r="CE13">
        <f>$BM13*CC13^(LN(Constants!$B$2/Constants!$B$3))</f>
        <v>770.83862663977402</v>
      </c>
      <c r="CF13" s="33">
        <f>CE13*SQRT((BN13/BM13)^2+(($BM13*($CC13+$CD13)^(LN(Constants!$B$2/Constants!$B$3))-CE13)/CE13)^2)</f>
        <v>0.34274611691448253</v>
      </c>
      <c r="CG13">
        <f>BO13*CC13^(LN(Constants!$B$2/Constants!$B$4))</f>
        <v>137.56299725500912</v>
      </c>
      <c r="CH13" s="33">
        <f>CG13*SQRT((BP13/BO13)^2+((BO13*($CC13+$CD13)^(LN(Constants!$B$2/Constants!$B$4))-CG13)/CG13)^2)</f>
        <v>2.3546264290191778E-2</v>
      </c>
      <c r="CI13">
        <f>BQ13*$CC13^(LN(Constants!$B$3/Constants!$B$6))</f>
        <v>0.97851955297797233</v>
      </c>
      <c r="CJ13" s="33">
        <f>CI13*SQRT((BR13/BQ13)^2+((BQ13*($CC13+$CD13)^(LN(Constants!$B$3/Constants!$B$6))-CI13)/CI13)^2)</f>
        <v>6.1626988259043782E-4</v>
      </c>
      <c r="CK13">
        <f>BS13*CC13^(LN(Constants!$B$2/Constants!$B$5))</f>
        <v>21363.687757624422</v>
      </c>
      <c r="CL13" s="33">
        <f>CK13*SQRT((BT13/BS13)^2+((BS13*($CC13+$CD13)^(LN(Constants!$B$2/Constants!$B$5))-CK13)/CK13)^2)</f>
        <v>19.716835723353643</v>
      </c>
      <c r="CM13">
        <f>CK13*Constants!$C$17/AVERAGE(CK12,CK14)</f>
        <v>17919.828950137056</v>
      </c>
      <c r="CN13">
        <f>CM13*SQRT(((CK12-CK14)/CK14/4)^2+(CL13/CK13)^2+AVERAGE(CL12/CK12,CL14/CK14)^2)</f>
        <v>25.489452672861926</v>
      </c>
      <c r="CO13">
        <f>1/CM13*CE13*CI13</f>
        <v>4.2091956929752768E-2</v>
      </c>
      <c r="CQ13">
        <f>$K13/$J13</f>
        <v>4.3344686306939117E-4</v>
      </c>
      <c r="CR13">
        <f>$BN13/$BM13</f>
        <v>4.3422447583165406E-4</v>
      </c>
      <c r="CS13">
        <f>$CF13/$CE13</f>
        <v>4.4464055778908651E-4</v>
      </c>
      <c r="CT13">
        <f>$Q13/$P13</f>
        <v>8.6613574226000007E-4</v>
      </c>
      <c r="CU13">
        <f>$BT13/$BS13</f>
        <v>9.02688555222851E-4</v>
      </c>
      <c r="CV13">
        <f>$CL13/$CK13</f>
        <v>9.2291349447929283E-4</v>
      </c>
      <c r="CW13">
        <f>$CN13/$CM13</f>
        <v>1.4224160701415051E-3</v>
      </c>
      <c r="CY13" s="75">
        <f>$CQ13/$CS13</f>
        <v>0.97482529534562834</v>
      </c>
      <c r="CZ13" s="75">
        <f>$CR13/$CS13-$CY13</f>
        <v>1.7488570231412037E-3</v>
      </c>
      <c r="DA13" s="75">
        <f>$CS13/$CS13-$CZ13-$CY13</f>
        <v>2.3425847631230456E-2</v>
      </c>
      <c r="DB13" s="75">
        <f>$CT13/$CW13</f>
        <v>0.6089186985730799</v>
      </c>
      <c r="DC13" s="75">
        <f>$CU13/$CW13-$DB13</f>
        <v>2.5697694036326935E-2</v>
      </c>
      <c r="DD13" s="75">
        <f>$CV13/$CW13-$DC13-$DB13</f>
        <v>1.4218722412514539E-2</v>
      </c>
      <c r="DE13" s="75">
        <f>$CW13/$CW13-$DD13-$DC13-$DB13</f>
        <v>0.35116488497807863</v>
      </c>
    </row>
    <row r="14" spans="1:109">
      <c r="A14" s="66" t="str">
        <f t="shared" si="0"/>
        <v>U 13.5 ppb</v>
      </c>
      <c r="B14" s="66"/>
      <c r="C14" s="66"/>
      <c r="J14" s="1">
        <v>-149096.9</v>
      </c>
      <c r="K14" s="1">
        <v>141000</v>
      </c>
      <c r="L14" s="1">
        <v>140.2841</v>
      </c>
      <c r="M14" s="1">
        <v>9.3200000000000002E-3</v>
      </c>
      <c r="N14" s="1">
        <v>1.4749190000000001</v>
      </c>
      <c r="O14" s="1">
        <v>1.1399999999999999</v>
      </c>
      <c r="P14" s="1">
        <v>23002.48</v>
      </c>
      <c r="Q14" s="1">
        <v>14.4</v>
      </c>
      <c r="R14" s="1">
        <v>13.30753</v>
      </c>
      <c r="S14" s="1">
        <v>2.1999999999999999E-2</v>
      </c>
      <c r="T14" s="1">
        <v>-3.4901350000000002E-6</v>
      </c>
      <c r="U14" s="1">
        <v>6.4899999999999997E-6</v>
      </c>
      <c r="V14" s="1">
        <v>36097.160000000003</v>
      </c>
      <c r="W14" s="1">
        <v>63.3</v>
      </c>
      <c r="X14" t="s">
        <v>323</v>
      </c>
      <c r="Y14" t="s">
        <v>329</v>
      </c>
      <c r="Z14">
        <v>3445</v>
      </c>
      <c r="AB14" s="59" cm="1">
        <f t="array" ref="AB14:AP14">U!A32:O32</f>
        <v>12.93356</v>
      </c>
      <c r="AC14" s="59">
        <v>3.2399999999999998E-2</v>
      </c>
      <c r="AD14" s="59">
        <v>-5.997211E-6</v>
      </c>
      <c r="AE14" s="59">
        <v>9.0899999999999994E-6</v>
      </c>
      <c r="AF14" s="59">
        <v>810.10530000000006</v>
      </c>
      <c r="AG14" s="59">
        <v>9.1199999999999992</v>
      </c>
      <c r="AH14" s="59">
        <v>417.4522</v>
      </c>
      <c r="AI14" s="59">
        <v>14.7</v>
      </c>
      <c r="AJ14" s="59">
        <v>143.2174</v>
      </c>
      <c r="AK14" s="59">
        <v>6.61</v>
      </c>
      <c r="AL14" s="59">
        <v>68.608279999999993</v>
      </c>
      <c r="AM14" s="59">
        <v>4.57</v>
      </c>
      <c r="AN14" s="60" t="str">
        <v>U 13.5 ppb tail</v>
      </c>
      <c r="AO14" s="60" t="str">
        <v>Analysed on 27 January 2023 at 11:55</v>
      </c>
      <c r="AP14" s="60">
        <v>3446</v>
      </c>
      <c r="AQ14" s="1"/>
      <c r="AR14" s="1">
        <f>Constants!B$25</f>
        <v>2.3944420000000002E-6</v>
      </c>
      <c r="AS14" s="1">
        <f t="shared" si="1"/>
        <v>13.30753</v>
      </c>
      <c r="AT14" s="1">
        <f t="shared" si="2"/>
        <v>9.9999999999999995E-7</v>
      </c>
      <c r="AU14" s="1">
        <f t="shared" si="18"/>
        <v>260.80374276438681</v>
      </c>
      <c r="AV14" s="1">
        <f t="shared" si="3"/>
        <v>9.4861285063667228E-2</v>
      </c>
      <c r="AW14" s="1">
        <f t="shared" si="19"/>
        <v>134.3938195453855</v>
      </c>
      <c r="AX14" s="1">
        <f t="shared" si="4"/>
        <v>36097.160000000003</v>
      </c>
      <c r="AY14">
        <f t="shared" si="26"/>
        <v>86.116104708410106</v>
      </c>
      <c r="AZ14" s="1">
        <f t="shared" si="5"/>
        <v>6.7800333442039858E-7</v>
      </c>
      <c r="BA14" s="1">
        <f t="shared" si="20"/>
        <v>60.153174763337567</v>
      </c>
      <c r="BB14" s="1">
        <f t="shared" si="6"/>
        <v>-3.6214195536023794</v>
      </c>
      <c r="BC14" s="1">
        <f t="shared" si="21"/>
        <v>72.229699553602373</v>
      </c>
      <c r="BD14">
        <f t="shared" si="7"/>
        <v>1.6351448724954241</v>
      </c>
      <c r="BE14" s="1"/>
      <c r="BF14" s="32">
        <f t="shared" si="8"/>
        <v>1.0368055213040982E-7</v>
      </c>
      <c r="BG14" s="1">
        <f t="shared" si="9"/>
        <v>2.3856753469915664E-3</v>
      </c>
      <c r="BH14" s="1">
        <f t="shared" si="10"/>
        <v>2.3856753469915666E-4</v>
      </c>
      <c r="BI14" s="1">
        <f t="shared" si="11"/>
        <v>2.2698683609899457E-5</v>
      </c>
      <c r="BJ14" s="1">
        <f t="shared" si="12"/>
        <v>2.2698683609899457E-6</v>
      </c>
      <c r="BK14" s="1"/>
      <c r="BL14" s="1"/>
      <c r="BM14" s="1"/>
      <c r="BN14" s="1"/>
      <c r="BO14" s="1">
        <f t="shared" si="27"/>
        <v>140.28728433668164</v>
      </c>
      <c r="BP14" s="33">
        <f t="shared" si="28"/>
        <v>9.3256500075334006E-3</v>
      </c>
      <c r="BQ14" s="1"/>
      <c r="BR14" s="1"/>
      <c r="BS14" s="1">
        <f t="shared" si="29"/>
        <v>23057.487679921549</v>
      </c>
      <c r="BT14" s="1">
        <f t="shared" si="30"/>
        <v>15.451740341304051</v>
      </c>
      <c r="BU14" s="1"/>
      <c r="BV14" s="1"/>
      <c r="BW14" s="1"/>
      <c r="BX14" s="1"/>
      <c r="BY14" s="1"/>
      <c r="BZ14" s="1"/>
      <c r="CA14" s="1"/>
      <c r="CB14" s="1"/>
      <c r="CC14">
        <f>(Constants!$C$18/BO14)^(1/LN(Constants!$B$2/Constants!$B$4))</f>
        <v>0.24889109597399894</v>
      </c>
      <c r="CD14">
        <f>ABS((Constants!$C$18/BO14)^(1/LN(Constants!$B$2/Constants!$B$4))-(Constants!$C$18/(BO14+BP14))^(1/LN(Constants!$B$2/Constants!$B$4)))</f>
        <v>1.2981341861580953E-3</v>
      </c>
      <c r="CK14">
        <f>BS14*$CC14^(LN(Constants!$B$2/Constants!$B$5))</f>
        <v>22519.120501384055</v>
      </c>
      <c r="CL14" s="33">
        <f>CK14*SQRT((BT14/BS14)^2+((BS14*($CC14+$CD14)^(LN(Constants!$B$2/Constants!$B$5))-CK14)/CK14)^2)</f>
        <v>15.221624357711958</v>
      </c>
    </row>
    <row r="15" spans="1:109">
      <c r="A15" s="66" t="str">
        <f>X15</f>
        <v>[BHT]  AB12-6E</v>
      </c>
      <c r="B15" t="str">
        <f>IF(NOT(ISBLANK($J15)),IF($T15&lt;Constants!$B$32,"low spike","OK"),"")</f>
        <v>low spike</v>
      </c>
      <c r="C15" t="str">
        <f>IF(NOT(ISBLANK($J15)), IF((ABS($L14-$L16)/$L14)&gt;Constants!$B$33,"variable mass bias","OK"), "")</f>
        <v>OK</v>
      </c>
      <c r="D15" t="str">
        <f>IF(NOT(ISBLANK($J15)), IF((ABS($P14-$P16)/$P14)&gt;Constants!$B$34,"variable IC yield","OK"),"")</f>
        <v>OK</v>
      </c>
      <c r="E15" s="34">
        <f>CE15</f>
        <v>14245.72354661292</v>
      </c>
      <c r="F15" s="34">
        <f>CF15</f>
        <v>34.55486307871476</v>
      </c>
      <c r="G15" s="34">
        <f>CM15</f>
        <v>18174.206543014508</v>
      </c>
      <c r="H15" s="47">
        <f>CN15</f>
        <v>21.014752231209144</v>
      </c>
      <c r="I15" s="33"/>
      <c r="J15" s="1">
        <v>14346.79</v>
      </c>
      <c r="K15" s="1">
        <v>34.1</v>
      </c>
      <c r="L15" s="1">
        <v>140.2928</v>
      </c>
      <c r="M15" s="1">
        <v>6.2599999999999999E-3</v>
      </c>
      <c r="N15" s="1">
        <v>0.99993869999999996</v>
      </c>
      <c r="O15" s="1">
        <v>3.0400000000000002E-3</v>
      </c>
      <c r="P15" s="1">
        <v>22127.599999999999</v>
      </c>
      <c r="Q15" s="1">
        <v>9.6</v>
      </c>
      <c r="R15" s="1">
        <v>34.844389999999997</v>
      </c>
      <c r="S15" s="1">
        <v>3.3399999999999999E-2</v>
      </c>
      <c r="T15" s="1">
        <v>2.4292110000000001E-3</v>
      </c>
      <c r="U15" s="1">
        <v>5.8200000000000002E-6</v>
      </c>
      <c r="V15" s="1">
        <v>98296.36</v>
      </c>
      <c r="W15" s="1">
        <v>95.4</v>
      </c>
      <c r="X15" t="s">
        <v>313</v>
      </c>
      <c r="Y15" t="s">
        <v>314</v>
      </c>
      <c r="Z15">
        <v>3453</v>
      </c>
      <c r="AB15" s="1">
        <f>R15</f>
        <v>34.844389999999997</v>
      </c>
      <c r="AC15" s="1">
        <f>S15</f>
        <v>3.3399999999999999E-2</v>
      </c>
      <c r="AD15" s="1">
        <f>T15</f>
        <v>2.4292110000000001E-3</v>
      </c>
      <c r="AE15" s="1">
        <f>U15</f>
        <v>5.8200000000000002E-6</v>
      </c>
      <c r="AF15" s="1">
        <f>AVERAGE(AF14/$AB14,AF16/$AB16)*$AB15</f>
        <v>2160.9721104396285</v>
      </c>
      <c r="AG15" s="1">
        <f>AVERAGE(AG14/AF14,AG16/AF16)*AF15</f>
        <v>31.698231475915971</v>
      </c>
      <c r="AH15" s="1">
        <f>AVERAGE(AH14/$AB14,AH16/$AB16)*$AB15</f>
        <v>1133.5385967731709</v>
      </c>
      <c r="AI15" s="1">
        <f>AVERAGE(AI14/AH14,AI16/AH16)*AH15</f>
        <v>27.824268963269731</v>
      </c>
      <c r="AJ15" s="1">
        <f>AVERAGE(AJ14/$AB14,AJ16/$AB16)*$AB15</f>
        <v>372.62367684540777</v>
      </c>
      <c r="AK15" s="1">
        <f>AVERAGE(AK14/AJ14,AK16/AJ16)*AJ15</f>
        <v>16.406046799888966</v>
      </c>
      <c r="AL15" s="1">
        <f>AVERAGE(AL14/$AB14,AL16/$AB16)*$AB15</f>
        <v>200.51462666513268</v>
      </c>
      <c r="AM15" s="1">
        <f>AVERAGE(AM14/AL14,AM16/AL16)*AL15</f>
        <v>10.12566226899785</v>
      </c>
      <c r="AR15" s="1">
        <f>Constants!B$25</f>
        <v>2.3944420000000002E-6</v>
      </c>
      <c r="AS15" s="1">
        <f>R15</f>
        <v>34.844389999999997</v>
      </c>
      <c r="AT15" s="1">
        <f>MAX(0.000001,T15)</f>
        <v>2.4292110000000001E-3</v>
      </c>
      <c r="AU15" s="1">
        <f t="shared" si="18"/>
        <v>717.17002867435053</v>
      </c>
      <c r="AV15" s="1">
        <f>AS15/L15</f>
        <v>0.2483690538644891</v>
      </c>
      <c r="AW15" s="1">
        <f t="shared" si="19"/>
        <v>376.34241726921647</v>
      </c>
      <c r="AX15" s="1">
        <f>V15</f>
        <v>98296.36</v>
      </c>
      <c r="AY15">
        <f t="shared" si="26"/>
        <v>248.8945675058026</v>
      </c>
      <c r="AZ15" s="1">
        <f>AT15/N15</f>
        <v>2.4293599197630815E-3</v>
      </c>
      <c r="BA15" s="1">
        <f t="shared" si="20"/>
        <v>172.00993667101849</v>
      </c>
      <c r="BB15" s="1">
        <f>AL15-BC15</f>
        <v>-4.9317406251621492</v>
      </c>
      <c r="BC15" s="1">
        <f t="shared" si="17"/>
        <v>205.44636729029483</v>
      </c>
      <c r="BD15">
        <f>(LN(AF15)-LN(AH15))/(LN(238-236.5))</f>
        <v>1.5912933500956574</v>
      </c>
      <c r="BF15" s="32">
        <f>AY15/AS15/62415093</f>
        <v>1.1444397390154375E-7</v>
      </c>
      <c r="BG15" s="1">
        <f>AY15/AX15</f>
        <v>2.5320832582793767E-3</v>
      </c>
      <c r="BH15" s="1">
        <f>BG15*0.1</f>
        <v>2.532083258279377E-4</v>
      </c>
      <c r="BI15" s="1">
        <f>AW15/AV15/62415093</f>
        <v>2.4277058520839787E-5</v>
      </c>
      <c r="BJ15" s="1">
        <f>BI15*0.1</f>
        <v>2.4277058520839788E-6</v>
      </c>
      <c r="BK15" s="1">
        <f>AU15/AT15/62415093</f>
        <v>4.7300667625266865E-3</v>
      </c>
      <c r="BL15" s="1">
        <f>BK15*0.1</f>
        <v>4.7300667625266865E-4</v>
      </c>
      <c r="BM15" s="1">
        <f>J15/(1-(AU15/62415093)/AT15)</f>
        <v>14414.973788399202</v>
      </c>
      <c r="BN15" s="33">
        <f>SQRT((K15/(1-BK15))^2+(BL15*J15/(1-BK15)^2)^2)</f>
        <v>34.940264969393759</v>
      </c>
      <c r="BO15" s="1">
        <f>L15/(1-AW15/62415093/AV15)</f>
        <v>140.2962059792028</v>
      </c>
      <c r="BP15" s="33">
        <f>SQRT((M15/(1-BI15))^2+(BJ15*L15/(1-BI15)^2)^2)</f>
        <v>6.2694110859575448E-3</v>
      </c>
      <c r="BQ15" s="1">
        <f>N15*(1-BK15)</f>
        <v>0.99520892319056575</v>
      </c>
      <c r="BR15">
        <f>SQRT(O15^2+BL15^2)</f>
        <v>3.0765785079824629E-3</v>
      </c>
      <c r="BS15" s="1">
        <f>P15/(1-BG15)</f>
        <v>22183.771155548464</v>
      </c>
      <c r="BT15" s="1">
        <f>SQRT((Q15/(1-BG15))^2+(BH15*P15/(1-BG15)^2)^2)</f>
        <v>11.150823863581211</v>
      </c>
      <c r="BU15">
        <f>(Constants!$C$19/$BQ15)^(1/LN(Constants!$B$3/Constants!$B$6))</f>
        <v>0.33338883778900741</v>
      </c>
      <c r="BV15">
        <f>(Constants!$C$19/($BQ15-BR15))^(1/LN(Constants!$B$3/Constants!$B$6))-BU15</f>
        <v>9.1101901590265932E-2</v>
      </c>
      <c r="BW15">
        <f>$BM15*BU15^(LN(Constants!$B$2/Constants!$B$3))</f>
        <v>14281.650885319386</v>
      </c>
      <c r="BX15" s="33">
        <f>BW15*SQRT((BN15/BM15)^2+(((BM15*($BU15+$BV15)^LN(Constants!$B$2/Constants!$B$3))-BW15)/BW15)^2)</f>
        <v>45.297768440455009</v>
      </c>
      <c r="BY15">
        <f>BO15*BU15^(LN(Constants!$B$2/Constants!$B$4))</f>
        <v>138.35085864653516</v>
      </c>
      <c r="BZ15" s="33">
        <f>BY15*SQRT((BP15/BO15)^2+(((BO15*($BU15+$BV15)^LN(Constants!$B$2/Constants!$B$4))-BY15)/BY15)^2)</f>
        <v>0.42555729563108097</v>
      </c>
      <c r="CA15">
        <f>BS15*BU15^(LN(Constants!$B$2/Constants!$B$5))</f>
        <v>21773.652865796645</v>
      </c>
      <c r="CB15" s="33">
        <f>CA15*SQRT((BT15/BS15)^2+(((BS15*($BU15+$BV15)^LN(Constants!$B$2/Constants!$B$5))-CA15)/CA15)^2)</f>
        <v>90.208213325713416</v>
      </c>
      <c r="CC15">
        <f>(Constants!$C$18/AVERAGE(BO14,BO16))^(1/LN(Constants!$B$2/Constants!$B$4))</f>
        <v>0.24753460624038573</v>
      </c>
      <c r="CD15">
        <f>MAX(ABS((Constants!$C$18/BO14)^(1/LN(Constants!$B$2/Constants!$B$4))-(Constants!$C$18/BO16)^(1/LN(Constants!$B$2/Constants!$B$4))),CD14,CD16)</f>
        <v>2.7054929581086518E-3</v>
      </c>
      <c r="CE15">
        <f>$BM15*CC15^(LN(Constants!$B$2/Constants!$B$3))</f>
        <v>14245.72354661292</v>
      </c>
      <c r="CF15" s="33">
        <f>CE15*SQRT((BN15/BM15)^2+(($BM15*($CC15+$CD15)^(LN(Constants!$B$2/Constants!$B$3))-CE15)/CE15)^2)</f>
        <v>34.55486307871476</v>
      </c>
      <c r="CG15">
        <f>BO15*CC15^(LN(Constants!$B$2/Constants!$B$4))</f>
        <v>137.82819011286787</v>
      </c>
      <c r="CH15" s="33">
        <f>CG15*SQRT((BP15/BO15)^2+((BO15*($CC15+$CD15)^(LN(Constants!$B$2/Constants!$B$4))-CG15)/CG15)^2)</f>
        <v>2.0017667951352874E-2</v>
      </c>
      <c r="CI15">
        <f>BQ15*$CC15^(LN(Constants!$B$3/Constants!$B$6))</f>
        <v>0.97755882259079496</v>
      </c>
      <c r="CJ15" s="33">
        <f>CI15*SQRT((BR15/BQ15)^2+((BQ15*($CC15+$CD15)^(LN(Constants!$B$3/Constants!$B$6))-CI15)/CI15)^2)</f>
        <v>3.0250829372985965E-3</v>
      </c>
      <c r="CK15">
        <f>BS15*CC15^(LN(Constants!$B$2/Constants!$B$5))</f>
        <v>21663.792948918759</v>
      </c>
      <c r="CL15" s="33">
        <f>CK15*SQRT((BT15/BS15)^2+((BS15*($CC15+$CD15)^(LN(Constants!$B$2/Constants!$B$5))-CK15)/CK15)^2)</f>
        <v>11.601198572298241</v>
      </c>
      <c r="CM15">
        <f>CK15*Constants!$C$17/AVERAGE(CK14,CK16)</f>
        <v>18174.206543014508</v>
      </c>
      <c r="CN15">
        <f>CM15*SQRT(((CK14-CK16)/CK16/4)^2+(CL15/CK15)^2+AVERAGE(CL14/CK14,CL16/CK16)^2)</f>
        <v>21.014752231209144</v>
      </c>
      <c r="CO15">
        <f>1/CM15*CE15*CI15</f>
        <v>0.76625258462981105</v>
      </c>
      <c r="CQ15">
        <f>$K15/$J15</f>
        <v>2.3768383032023192E-3</v>
      </c>
      <c r="CR15">
        <f>$BN15/$BM15</f>
        <v>2.4238868195176864E-3</v>
      </c>
      <c r="CS15">
        <f>$CF15/$CE15</f>
        <v>2.4256306087682409E-3</v>
      </c>
      <c r="CT15">
        <f>$Q15/$P15</f>
        <v>4.3384732189663587E-4</v>
      </c>
      <c r="CU15">
        <f>$BT15/$BS15</f>
        <v>5.0265681995156344E-4</v>
      </c>
      <c r="CV15">
        <f>$CL15/$CK15</f>
        <v>5.3551096059922679E-4</v>
      </c>
      <c r="CW15">
        <f>$CN15/$CM15</f>
        <v>1.1562954443965223E-3</v>
      </c>
      <c r="CY15" s="75">
        <f>$CQ15/$CS15</f>
        <v>0.97988469250447874</v>
      </c>
      <c r="CZ15" s="75">
        <f>$CR15/$CS15-$CY15</f>
        <v>1.9396406091387042E-2</v>
      </c>
      <c r="DA15" s="75">
        <f>$CS15/$CS15-$CZ15-$CY15</f>
        <v>7.189014041342201E-4</v>
      </c>
      <c r="DB15" s="75">
        <f>$CT15/$CW15</f>
        <v>0.37520455866109848</v>
      </c>
      <c r="DC15" s="75">
        <f>$CU15/$CW15-$DB15</f>
        <v>5.9508578355456254E-2</v>
      </c>
      <c r="DD15" s="75">
        <f>$CV15/$CW15-$DC15-$DB15</f>
        <v>2.841327517709813E-2</v>
      </c>
      <c r="DE15" s="75">
        <f>$CW15/$CW15-$DD15-$DC15-$DB15</f>
        <v>0.5368735878063472</v>
      </c>
    </row>
    <row r="16" spans="1:109">
      <c r="A16" s="66" t="str">
        <f t="shared" si="0"/>
        <v>U 13.5 ppb</v>
      </c>
      <c r="B16" s="66"/>
      <c r="C16" s="66"/>
      <c r="J16" s="1">
        <v>-139771.6</v>
      </c>
      <c r="K16" s="1">
        <v>192000</v>
      </c>
      <c r="L16" s="1">
        <v>140.30340000000001</v>
      </c>
      <c r="M16" s="1">
        <v>9.0500000000000008E-3</v>
      </c>
      <c r="N16" s="1">
        <v>-0.15188109999999999</v>
      </c>
      <c r="O16" s="1">
        <v>0.59899999999999998</v>
      </c>
      <c r="P16" s="1">
        <v>23070.62</v>
      </c>
      <c r="Q16" s="1">
        <v>14.4</v>
      </c>
      <c r="R16" s="1">
        <v>13.309799999999999</v>
      </c>
      <c r="S16" s="1">
        <v>1.2200000000000001E-2</v>
      </c>
      <c r="T16" s="1">
        <v>7.7994209999999993E-6</v>
      </c>
      <c r="U16" s="1">
        <v>5.0100000000000003E-6</v>
      </c>
      <c r="V16" s="1">
        <v>36012.589999999997</v>
      </c>
      <c r="W16" s="1">
        <v>39.200000000000003</v>
      </c>
      <c r="X16" t="s">
        <v>323</v>
      </c>
      <c r="Y16" t="s">
        <v>330</v>
      </c>
      <c r="Z16">
        <v>3456</v>
      </c>
      <c r="AB16" s="59" cm="1">
        <f t="array" ref="AB16:AP16">U!A33:O33</f>
        <v>12.70204</v>
      </c>
      <c r="AC16" s="59">
        <v>0.01</v>
      </c>
      <c r="AD16" s="59">
        <v>1.700117E-5</v>
      </c>
      <c r="AE16" s="59">
        <v>5.48E-6</v>
      </c>
      <c r="AF16" s="59">
        <v>779.90110000000004</v>
      </c>
      <c r="AG16" s="59">
        <v>14.1</v>
      </c>
      <c r="AH16" s="59">
        <v>416.45209999999997</v>
      </c>
      <c r="AI16" s="59">
        <v>5.78</v>
      </c>
      <c r="AJ16" s="59">
        <v>131.01589999999999</v>
      </c>
      <c r="AK16" s="59">
        <v>5.49</v>
      </c>
      <c r="AL16" s="59">
        <v>78.809520000000006</v>
      </c>
      <c r="AM16" s="59">
        <v>2.71</v>
      </c>
      <c r="AN16" s="60" t="str">
        <v>U 13.5 ppb tail</v>
      </c>
      <c r="AO16" s="60" t="str">
        <v>Analysed on 27 January 2023 at 13:06</v>
      </c>
      <c r="AP16" s="60">
        <v>3457</v>
      </c>
      <c r="AQ16" s="1"/>
      <c r="AR16" s="1">
        <f>Constants!B$25</f>
        <v>2.3944420000000002E-6</v>
      </c>
      <c r="AS16" s="1">
        <f t="shared" si="1"/>
        <v>13.309799999999999</v>
      </c>
      <c r="AT16" s="1">
        <f t="shared" si="2"/>
        <v>7.7994209999999993E-6</v>
      </c>
      <c r="AU16" s="1">
        <f t="shared" si="18"/>
        <v>266.83410575982236</v>
      </c>
      <c r="AV16" s="1">
        <f t="shared" si="3"/>
        <v>9.4864415260072082E-2</v>
      </c>
      <c r="AW16" s="1">
        <f t="shared" si="19"/>
        <v>142.48470751192596</v>
      </c>
      <c r="AX16" s="1">
        <f t="shared" si="4"/>
        <v>36012.589999999997</v>
      </c>
      <c r="AY16">
        <f t="shared" si="26"/>
        <v>96.602699167103452</v>
      </c>
      <c r="AZ16" s="1">
        <f t="shared" si="5"/>
        <v>-5.135214980665797E-5</v>
      </c>
      <c r="BA16" s="1">
        <f t="shared" si="20"/>
        <v>66.540174213282612</v>
      </c>
      <c r="BB16" s="1">
        <f t="shared" si="6"/>
        <v>-0.24264936544601312</v>
      </c>
      <c r="BC16" s="1">
        <f t="shared" si="21"/>
        <v>79.052169365446019</v>
      </c>
      <c r="BD16">
        <f t="shared" si="7"/>
        <v>1.5473481077304578</v>
      </c>
      <c r="BE16" s="1"/>
      <c r="BF16" s="32">
        <f t="shared" si="8"/>
        <v>1.1628618145579025E-7</v>
      </c>
      <c r="BG16" s="1">
        <f t="shared" si="9"/>
        <v>2.6824701907611605E-3</v>
      </c>
      <c r="BH16" s="1">
        <f t="shared" si="10"/>
        <v>2.6824701907611606E-4</v>
      </c>
      <c r="BI16" s="1">
        <f t="shared" si="11"/>
        <v>2.4064414480698277E-5</v>
      </c>
      <c r="BJ16" s="1">
        <f t="shared" si="12"/>
        <v>2.4064414480698277E-6</v>
      </c>
      <c r="BK16" s="1"/>
      <c r="BL16" s="1"/>
      <c r="BM16" s="1"/>
      <c r="BN16" s="1"/>
      <c r="BO16" s="1">
        <f t="shared" si="27"/>
        <v>140.30677640042177</v>
      </c>
      <c r="BP16" s="33">
        <f t="shared" si="28"/>
        <v>9.0565141361734613E-3</v>
      </c>
      <c r="BQ16" s="1"/>
      <c r="BR16" s="1"/>
      <c r="BS16" s="1">
        <f t="shared" si="29"/>
        <v>23132.672704963697</v>
      </c>
      <c r="BT16" s="1">
        <f t="shared" si="30"/>
        <v>15.722269606415045</v>
      </c>
      <c r="BU16" s="1"/>
      <c r="BV16" s="1"/>
      <c r="BW16" s="1"/>
      <c r="BX16" s="1"/>
      <c r="BY16" s="1"/>
      <c r="BZ16" s="1"/>
      <c r="CA16" s="1"/>
      <c r="CB16" s="1"/>
      <c r="CC16">
        <f>(Constants!$C$18/BO16)^(1/LN(Constants!$B$2/Constants!$B$4))</f>
        <v>0.24618560301589029</v>
      </c>
      <c r="CD16">
        <f>ABS((Constants!$C$18/BO16)^(1/LN(Constants!$B$2/Constants!$B$4))-(Constants!$C$18/(BO16+BP16))^(1/LN(Constants!$B$2/Constants!$B$4)))</f>
        <v>1.2468890497458196E-3</v>
      </c>
      <c r="CK16">
        <f>BS16*$CC16^(LN(Constants!$B$2/Constants!$B$5))</f>
        <v>22588.355597532729</v>
      </c>
      <c r="CL16" s="33">
        <f>CK16*SQRT((BT16/BS16)^2+((BS16*($CC16+$CD16)^(LN(Constants!$B$2/Constants!$B$5))-CK16)/CK16)^2)</f>
        <v>15.474247565300567</v>
      </c>
    </row>
    <row r="17" spans="1:109">
      <c r="A17" s="66" t="str">
        <f>X17</f>
        <v>[BHT] AB12-6F</v>
      </c>
      <c r="B17" t="str">
        <f>IF(NOT(ISBLANK($J17)),IF($T17&lt;Constants!$B$32,"low spike","OK"),"")</f>
        <v>low spike</v>
      </c>
      <c r="C17" t="str">
        <f>IF(NOT(ISBLANK($J17)), IF((ABS($L16-$L18)/$L16)&gt;Constants!$B$33,"variable mass bias","OK"), "")</f>
        <v>OK</v>
      </c>
      <c r="D17" t="str">
        <f>IF(NOT(ISBLANK($J17)), IF((ABS($P16-$P18)/$P16)&gt;Constants!$B$34,"variable IC yield","OK"),"")</f>
        <v>OK</v>
      </c>
      <c r="E17" s="34">
        <f>CE17</f>
        <v>10679.221660074725</v>
      </c>
      <c r="F17" s="34">
        <f>CF17</f>
        <v>28.929737651470241</v>
      </c>
      <c r="G17" s="34">
        <f>CM17</f>
        <v>18122.753735197046</v>
      </c>
      <c r="H17" s="47">
        <f>CN17</f>
        <v>18.43539398080301</v>
      </c>
      <c r="I17" s="33"/>
      <c r="J17" s="1">
        <v>10769.04</v>
      </c>
      <c r="K17" s="1">
        <v>28.9</v>
      </c>
      <c r="L17" s="1">
        <v>140.2319</v>
      </c>
      <c r="M17" s="1">
        <v>8.6899999999999998E-3</v>
      </c>
      <c r="N17" s="1">
        <v>1.001736</v>
      </c>
      <c r="O17" s="1">
        <v>3.3400000000000001E-3</v>
      </c>
      <c r="P17" s="1">
        <v>22103.360000000001</v>
      </c>
      <c r="Q17" s="1">
        <v>13.5</v>
      </c>
      <c r="R17" s="1">
        <v>19.37135</v>
      </c>
      <c r="S17" s="1">
        <v>1.7000000000000001E-2</v>
      </c>
      <c r="T17" s="1">
        <v>1.796289E-3</v>
      </c>
      <c r="U17" s="1">
        <v>4.33E-6</v>
      </c>
      <c r="V17" s="1">
        <v>54706.92</v>
      </c>
      <c r="W17" s="1">
        <v>52.2</v>
      </c>
      <c r="X17" t="s">
        <v>315</v>
      </c>
      <c r="Y17" t="s">
        <v>316</v>
      </c>
      <c r="Z17">
        <v>3461</v>
      </c>
      <c r="AB17" s="1">
        <f>R17</f>
        <v>19.37135</v>
      </c>
      <c r="AC17" s="1">
        <f>S17</f>
        <v>1.7000000000000001E-2</v>
      </c>
      <c r="AD17" s="1">
        <f>T17</f>
        <v>1.796289E-3</v>
      </c>
      <c r="AE17" s="1">
        <f>U17</f>
        <v>4.33E-6</v>
      </c>
      <c r="AF17" s="1">
        <f>AVERAGE(AF16/$AB16,AF18/$AB18)*$AB17</f>
        <v>1194.6545346437674</v>
      </c>
      <c r="AG17" s="1">
        <f>AVERAGE(AG16/AF16,AG18/AF18)*AF17</f>
        <v>17.233087604690368</v>
      </c>
      <c r="AH17" s="1">
        <f>AVERAGE(AH16/$AB16,AH18/$AB18)*$AB17</f>
        <v>625.88552199676553</v>
      </c>
      <c r="AI17" s="1">
        <f>AVERAGE(AI16/AH16,AI18/AH18)*AH17</f>
        <v>9.4133648589780972</v>
      </c>
      <c r="AJ17" s="1">
        <f>AVERAGE(AJ16/$AB16,AJ18/$AB18)*$AB17</f>
        <v>192.59736501443589</v>
      </c>
      <c r="AK17" s="1">
        <f>AVERAGE(AK16/AJ16,AK18/AJ18)*AJ17</f>
        <v>8.4588066051907447</v>
      </c>
      <c r="AL17" s="1">
        <f>AVERAGE(AL16/$AB16,AL18/$AB18)*$AB17</f>
        <v>120.58631765349617</v>
      </c>
      <c r="AM17" s="1">
        <f>AVERAGE(AM16/AL16,AM18/AL18)*AL17</f>
        <v>2.8081110589794487</v>
      </c>
      <c r="AR17" s="1">
        <f>Constants!B$25</f>
        <v>2.3944420000000002E-6</v>
      </c>
      <c r="AS17" s="1">
        <f>R17</f>
        <v>19.37135</v>
      </c>
      <c r="AT17" s="1">
        <f>MAX(0.000001,T17)</f>
        <v>1.796289E-3</v>
      </c>
      <c r="AU17" s="1">
        <f t="shared" si="18"/>
        <v>395.64113009379713</v>
      </c>
      <c r="AV17" s="1">
        <f>AS17/L17</f>
        <v>0.13813797003392239</v>
      </c>
      <c r="AW17" s="1">
        <f t="shared" si="19"/>
        <v>207.38915816515885</v>
      </c>
      <c r="AX17" s="1">
        <f>V17</f>
        <v>54706.92</v>
      </c>
      <c r="AY17">
        <f t="shared" si="26"/>
        <v>147.35394096841472</v>
      </c>
      <c r="AZ17" s="1">
        <f>AT17/N17</f>
        <v>1.7931760463834783E-3</v>
      </c>
      <c r="BA17" s="1">
        <f t="shared" si="20"/>
        <v>94.642963091835412</v>
      </c>
      <c r="BB17" s="1">
        <f>AL17-BC17</f>
        <v>7.5032094861483927</v>
      </c>
      <c r="BC17" s="1">
        <f t="shared" si="17"/>
        <v>113.08310816734777</v>
      </c>
      <c r="BD17">
        <f>(LN(AF17)-LN(AH17))/(LN(238-236.5))</f>
        <v>1.5943291669928443</v>
      </c>
      <c r="BF17" s="32">
        <f>AY17/AS17/62415093</f>
        <v>1.2187433122436858E-7</v>
      </c>
      <c r="BG17" s="1">
        <f>AY17/AX17</f>
        <v>2.6935155729552081E-3</v>
      </c>
      <c r="BH17" s="1">
        <f>BG17*0.1</f>
        <v>2.693515572955208E-4</v>
      </c>
      <c r="BI17" s="1">
        <f>AW17/AV17/62415093</f>
        <v>2.4053781249913108E-5</v>
      </c>
      <c r="BJ17" s="1">
        <f>BI17*0.1</f>
        <v>2.4053781249913112E-6</v>
      </c>
      <c r="BK17" s="1">
        <f>AU17/AT17/62415093</f>
        <v>3.5288695258942002E-3</v>
      </c>
      <c r="BL17" s="1">
        <f>BK17*0.1</f>
        <v>3.5288695258942006E-4</v>
      </c>
      <c r="BM17" s="1">
        <f>J17/(1-(AU17/62415093)/AT17)</f>
        <v>10807.177117992625</v>
      </c>
      <c r="BN17" s="33">
        <f>SQRT((K17/(1-BK17))^2+(BL17*J17/(1-BK17)^2)^2)</f>
        <v>29.253779897414155</v>
      </c>
      <c r="BO17" s="1">
        <f>L17/(1-AW17/62415093/AV17)</f>
        <v>140.23527318858478</v>
      </c>
      <c r="BP17" s="33">
        <f>SQRT((M17/(1-BI17))^2+(BJ17*L17/(1-BI17)^2)^2)</f>
        <v>8.6967535616997473E-3</v>
      </c>
      <c r="BQ17" s="1">
        <f>N17*(1-BK17)</f>
        <v>0.99820100435660886</v>
      </c>
      <c r="BR17">
        <f>SQRT(O17^2+BL17^2)</f>
        <v>3.358590359259052E-3</v>
      </c>
      <c r="BS17" s="1">
        <f>P17/(1-BG17)</f>
        <v>22163.056537929198</v>
      </c>
      <c r="BT17" s="1">
        <f>SQRT((Q17/(1-BG17))^2+(BH17*P17/(1-BG17)^2)^2)</f>
        <v>14.800854320467041</v>
      </c>
      <c r="BU17">
        <f>(Constants!$C$19/$BQ17)^(1/LN(Constants!$B$3/Constants!$B$6))</f>
        <v>0.26377039392136309</v>
      </c>
      <c r="BV17">
        <f>(Constants!$C$19/($BQ17-BR17))^(1/LN(Constants!$B$3/Constants!$B$6))-BU17</f>
        <v>7.9339059066796336E-2</v>
      </c>
      <c r="BW17">
        <f>$BM17*BU17^(LN(Constants!$B$2/Constants!$B$3))</f>
        <v>10686.0281570529</v>
      </c>
      <c r="BX17" s="33">
        <f>BW17*SQRT((BN17/BM17)^2+(((BM17*($BU17+$BV17)^LN(Constants!$B$2/Constants!$B$3))-BW17)/BW17)^2)</f>
        <v>37.45710572810453</v>
      </c>
      <c r="BY17">
        <f>BO17*BU17^(LN(Constants!$B$2/Constants!$B$4))</f>
        <v>137.87962923208062</v>
      </c>
      <c r="BZ17" s="33">
        <f>BY17*SQRT((BP17/BO17)^2+(((BO17*($BU17+$BV17)^LN(Constants!$B$2/Constants!$B$4))-BY17)/BY17)^2)</f>
        <v>0.46175200643229303</v>
      </c>
      <c r="CA17">
        <f>BS17*BU17^(LN(Constants!$B$2/Constants!$B$5))</f>
        <v>21666.934661711493</v>
      </c>
      <c r="CB17" s="33">
        <f>CA17*SQRT((BT17/BS17)^2+(((BS17*($BU17+$BV17)^LN(Constants!$B$2/Constants!$B$5))-CA17)/CA17)^2)</f>
        <v>98.083011341889119</v>
      </c>
      <c r="CC17">
        <f>(Constants!$C$18/AVERAGE(BO16,BO18))^(1/LN(Constants!$B$2/Constants!$B$4))</f>
        <v>0.24463267517465181</v>
      </c>
      <c r="CD17">
        <f>MAX(ABS((Constants!$C$18/BO16)^(1/LN(Constants!$B$2/Constants!$B$4))-(Constants!$C$18/BO18)^(1/LN(Constants!$B$2/Constants!$B$4))),CD16,CD18)</f>
        <v>3.0959361579417088E-3</v>
      </c>
      <c r="CE17">
        <f>$BM17*CC17^(LN(Constants!$B$2/Constants!$B$3))</f>
        <v>10679.221660074725</v>
      </c>
      <c r="CF17" s="33">
        <f>CE17*SQRT((BN17/BM17)^2+(($BM17*($CC17+$CD17)^(LN(Constants!$B$2/Constants!$B$3))-CE17)/CE17)^2)</f>
        <v>28.929737651470241</v>
      </c>
      <c r="CG17">
        <f>BO17*CC17^(LN(Constants!$B$2/Constants!$B$4))</f>
        <v>137.74767887361051</v>
      </c>
      <c r="CH17" s="33">
        <f>CG17*SQRT((BP17/BO17)^2+((BO17*($CC17+$CD17)^(LN(Constants!$B$2/Constants!$B$4))-CG17)/CG17)^2)</f>
        <v>2.362114584028949E-2</v>
      </c>
      <c r="CI17">
        <f>BQ17*$CC17^(LN(Constants!$B$3/Constants!$B$6))</f>
        <v>0.98034965991715473</v>
      </c>
      <c r="CJ17" s="33">
        <f>CI17*SQRT((BR17/BQ17)^2+((BQ17*($CC17+$CD17)^(LN(Constants!$B$3/Constants!$B$6))-CI17)/CI17)^2)</f>
        <v>3.3023100532171262E-3</v>
      </c>
      <c r="CK17">
        <f>BS17*CC17^(LN(Constants!$B$2/Constants!$B$5))</f>
        <v>21639.228409739375</v>
      </c>
      <c r="CL17" s="33">
        <f>CK17*SQRT((BT17/BS17)^2+((BS17*($CC17+$CD17)^(LN(Constants!$B$2/Constants!$B$5))-CK17)/CK17)^2)</f>
        <v>15.172650092286073</v>
      </c>
      <c r="CM17">
        <f>CK17*Constants!$C$17/AVERAGE(CK16,CK18)</f>
        <v>18122.753735197046</v>
      </c>
      <c r="CN17">
        <f>CM17*SQRT(((CK16-CK18)/CK18/4)^2+(CL17/CK17)^2+AVERAGE(CL16/CK16,CL18/CK18)^2)</f>
        <v>18.43539398080301</v>
      </c>
      <c r="CO17">
        <f>1/CM17*CE17*CI17</f>
        <v>0.57769208121507032</v>
      </c>
      <c r="CQ17">
        <f>$K17/$J17</f>
        <v>2.6836189669645575E-3</v>
      </c>
      <c r="CR17">
        <f>$BN17/$BM17</f>
        <v>2.7068844692764585E-3</v>
      </c>
      <c r="CS17">
        <f>$CF17/$CE17</f>
        <v>2.7089743590234471E-3</v>
      </c>
      <c r="CT17">
        <f>$Q17/$P17</f>
        <v>6.1076686983336473E-4</v>
      </c>
      <c r="CU17">
        <f>$BT17/$BS17</f>
        <v>6.6781647626703916E-4</v>
      </c>
      <c r="CV17">
        <f>$CL17/$CK17</f>
        <v>7.0116409906081369E-4</v>
      </c>
      <c r="CW17">
        <f>$CN17/$CM17</f>
        <v>1.0172512549789148E-3</v>
      </c>
      <c r="CY17" s="75">
        <f>$CQ17/$CS17</f>
        <v>0.9906402244176169</v>
      </c>
      <c r="CZ17" s="75">
        <f>$CR17/$CS17-$CY17</f>
        <v>8.5883065797226488E-3</v>
      </c>
      <c r="DA17" s="75">
        <f>$CS17/$CS17-$CZ17-$CY17</f>
        <v>7.7146900266045204E-4</v>
      </c>
      <c r="DB17" s="75">
        <f>$CT17/$CW17</f>
        <v>0.60040906004684602</v>
      </c>
      <c r="DC17" s="75">
        <f>$CU17/$CW17-$DB17</f>
        <v>5.6082119490584392E-2</v>
      </c>
      <c r="DD17" s="75">
        <f>$CV17/$CW17-$DC17-$DB17</f>
        <v>3.2782090590260049E-2</v>
      </c>
      <c r="DE17" s="75">
        <f>$CW17/$CW17-$DD17-$DC17-$DB17</f>
        <v>0.31072672987230954</v>
      </c>
    </row>
    <row r="18" spans="1:109">
      <c r="A18" s="66" t="str">
        <f t="shared" si="0"/>
        <v>U 13.5 ppb</v>
      </c>
      <c r="B18" s="66"/>
      <c r="C18" s="66"/>
      <c r="J18" s="1">
        <v>-114716.9</v>
      </c>
      <c r="K18" s="1">
        <v>239000</v>
      </c>
      <c r="L18" s="1">
        <v>140.3263</v>
      </c>
      <c r="M18" s="1">
        <v>1.2200000000000001E-2</v>
      </c>
      <c r="N18" s="1">
        <v>-0.99104579999999998</v>
      </c>
      <c r="O18" s="1">
        <v>1.23</v>
      </c>
      <c r="P18" s="1">
        <v>23083.91</v>
      </c>
      <c r="Q18" s="1">
        <v>16.7</v>
      </c>
      <c r="R18" s="1">
        <v>13.588760000000001</v>
      </c>
      <c r="S18" s="1">
        <v>2.2599999999999999E-2</v>
      </c>
      <c r="T18" s="1">
        <v>-9.7201270000000009E-7</v>
      </c>
      <c r="U18" s="1">
        <v>6.5400000000000001E-6</v>
      </c>
      <c r="V18" s="1">
        <v>36746.01</v>
      </c>
      <c r="W18" s="1">
        <v>59.1</v>
      </c>
      <c r="X18" t="s">
        <v>323</v>
      </c>
      <c r="Y18" t="s">
        <v>331</v>
      </c>
      <c r="Z18">
        <v>3464</v>
      </c>
      <c r="AB18" s="59" cm="1">
        <f t="array" ref="AB18:AP18">U!A34:O34</f>
        <v>12.87485</v>
      </c>
      <c r="AC18" s="59">
        <v>3.8300000000000001E-2</v>
      </c>
      <c r="AD18" s="59">
        <v>4.1762099999999998E-5</v>
      </c>
      <c r="AE18" s="59">
        <v>1.31E-5</v>
      </c>
      <c r="AF18" s="59">
        <v>797.50350000000003</v>
      </c>
      <c r="AG18" s="59">
        <v>8.59</v>
      </c>
      <c r="AH18" s="59">
        <v>409.85120000000001</v>
      </c>
      <c r="AI18" s="59">
        <v>6.64</v>
      </c>
      <c r="AJ18" s="59">
        <v>123.215</v>
      </c>
      <c r="AK18" s="59">
        <v>5.66</v>
      </c>
      <c r="AL18" s="59">
        <v>80.409719999999993</v>
      </c>
      <c r="AM18" s="59">
        <v>0.98</v>
      </c>
      <c r="AN18" s="60" t="str">
        <v>U 13.5 ppb tail</v>
      </c>
      <c r="AO18" s="60" t="str">
        <v>Analysed on 27 January 2023 at 13:38</v>
      </c>
      <c r="AP18" s="60">
        <v>3465</v>
      </c>
      <c r="AQ18" s="1"/>
      <c r="AR18" s="1">
        <f>Constants!B$25</f>
        <v>2.3944420000000002E-6</v>
      </c>
      <c r="AS18" s="1">
        <f t="shared" si="1"/>
        <v>13.588760000000001</v>
      </c>
      <c r="AT18" s="1">
        <f t="shared" si="2"/>
        <v>9.9999999999999995E-7</v>
      </c>
      <c r="AU18" s="1">
        <f t="shared" si="18"/>
        <v>255.56534655113288</v>
      </c>
      <c r="AV18" s="1">
        <f t="shared" si="3"/>
        <v>9.6836872346808836E-2</v>
      </c>
      <c r="AW18" s="1">
        <f t="shared" si="19"/>
        <v>131.33962517613523</v>
      </c>
      <c r="AX18" s="1">
        <f t="shared" si="4"/>
        <v>36746.01</v>
      </c>
      <c r="AY18">
        <f t="shared" si="26"/>
        <v>97.571977313278353</v>
      </c>
      <c r="AZ18" s="1">
        <f t="shared" si="5"/>
        <v>-1.0090351021113252E-6</v>
      </c>
      <c r="BA18" s="1">
        <f t="shared" si="20"/>
        <v>58.5972074291928</v>
      </c>
      <c r="BB18" s="1">
        <f t="shared" si="6"/>
        <v>9.9912719295255528</v>
      </c>
      <c r="BC18" s="1">
        <f t="shared" si="21"/>
        <v>70.41844807047444</v>
      </c>
      <c r="BD18">
        <f t="shared" si="7"/>
        <v>1.6417986234990998</v>
      </c>
      <c r="BE18" s="1"/>
      <c r="BF18" s="32">
        <f t="shared" si="8"/>
        <v>1.1504179670224461E-7</v>
      </c>
      <c r="BG18" s="1">
        <f t="shared" si="9"/>
        <v>2.655308081429204E-3</v>
      </c>
      <c r="BH18" s="1">
        <f t="shared" si="10"/>
        <v>2.6553080814292041E-4</v>
      </c>
      <c r="BI18" s="1">
        <f t="shared" si="11"/>
        <v>2.1730283710316156E-5</v>
      </c>
      <c r="BJ18" s="1">
        <f t="shared" si="12"/>
        <v>2.1730283710316158E-6</v>
      </c>
      <c r="BK18" s="1"/>
      <c r="BL18" s="1"/>
      <c r="BM18" s="1"/>
      <c r="BN18" s="1"/>
      <c r="BO18" s="1">
        <f t="shared" si="27"/>
        <v>140.32934939657528</v>
      </c>
      <c r="BP18" s="33">
        <f t="shared" si="28"/>
        <v>1.2204075594566526E-2</v>
      </c>
      <c r="BQ18" s="1"/>
      <c r="BR18" s="1"/>
      <c r="BS18" s="1">
        <f t="shared" si="29"/>
        <v>23145.368082918227</v>
      </c>
      <c r="BT18" s="1">
        <f t="shared" si="30"/>
        <v>17.842346991629732</v>
      </c>
      <c r="BU18" s="1"/>
      <c r="BV18" s="1"/>
      <c r="BW18" s="1"/>
      <c r="BX18" s="1"/>
      <c r="BY18" s="1"/>
      <c r="BZ18" s="1"/>
      <c r="CA18" s="1"/>
      <c r="CB18" s="1"/>
      <c r="CC18">
        <f>(Constants!$C$18/BO18)^(1/LN(Constants!$B$2/Constants!$B$4))</f>
        <v>0.24308966685794858</v>
      </c>
      <c r="CD18">
        <f>ABS((Constants!$C$18/BO18)^(1/LN(Constants!$B$2/Constants!$B$4))-(Constants!$C$18/(BO18+BP18))^(1/LN(Constants!$B$2/Constants!$B$4)))</f>
        <v>1.6573650343475466E-3</v>
      </c>
      <c r="CK18">
        <f>BS18*$CC18^(LN(Constants!$B$2/Constants!$B$5))</f>
        <v>22595.893868906878</v>
      </c>
      <c r="CL18" s="33">
        <f>CK18*SQRT((BT18/BS18)^2+((BS18*($CC18+$CD18)^(LN(Constants!$B$2/Constants!$B$5))-CK18)/CK18)^2)</f>
        <v>17.612980924975346</v>
      </c>
    </row>
    <row r="19" spans="1:109">
      <c r="A19" s="66" t="str">
        <f>X19</f>
        <v>[BHT]  AB12-6G</v>
      </c>
      <c r="B19" t="str">
        <f>IF(NOT(ISBLANK($J19)),IF($T19&lt;Constants!$B$32,"low spike","OK"),"")</f>
        <v>low spike</v>
      </c>
      <c r="C19" t="str">
        <f>IF(NOT(ISBLANK($J19)), IF((ABS($L18-$L20)/$L18)&gt;Constants!$B$33,"variable mass bias","OK"), "")</f>
        <v>OK</v>
      </c>
      <c r="D19" t="str">
        <f>IF(NOT(ISBLANK($J19)), IF((ABS($P18-$P20)/$P18)&gt;Constants!$B$34,"variable IC yield","OK"),"")</f>
        <v>OK</v>
      </c>
      <c r="E19" s="34">
        <f>CE19</f>
        <v>20324.065558151819</v>
      </c>
      <c r="F19" s="34">
        <f>CF19</f>
        <v>103.54425641484032</v>
      </c>
      <c r="G19" s="34">
        <f>CM19</f>
        <v>18147.4547061134</v>
      </c>
      <c r="H19" s="47">
        <f>CN19</f>
        <v>19.264267293330168</v>
      </c>
      <c r="I19" s="33"/>
      <c r="J19" s="1">
        <v>20424.02</v>
      </c>
      <c r="K19" s="1">
        <v>103</v>
      </c>
      <c r="L19" s="1">
        <v>140.28980000000001</v>
      </c>
      <c r="M19" s="1">
        <v>8.0000000000000002E-3</v>
      </c>
      <c r="N19" s="1">
        <v>1.0077910000000001</v>
      </c>
      <c r="O19" s="1">
        <v>5.4000000000000003E-3</v>
      </c>
      <c r="P19" s="1">
        <v>22137.26</v>
      </c>
      <c r="Q19" s="1">
        <v>13</v>
      </c>
      <c r="R19" s="1">
        <v>24.04082</v>
      </c>
      <c r="S19" s="1">
        <v>4.8599999999999997E-2</v>
      </c>
      <c r="T19" s="1">
        <v>1.1778750000000001E-3</v>
      </c>
      <c r="U19" s="1">
        <v>5.8599999999999998E-6</v>
      </c>
      <c r="V19" s="1">
        <v>67789.600000000006</v>
      </c>
      <c r="W19" s="1">
        <v>131</v>
      </c>
      <c r="X19" t="s">
        <v>317</v>
      </c>
      <c r="Y19" t="s">
        <v>318</v>
      </c>
      <c r="Z19">
        <v>3471</v>
      </c>
      <c r="AB19" s="1">
        <f>R19</f>
        <v>24.04082</v>
      </c>
      <c r="AC19" s="1">
        <f>S19</f>
        <v>4.8599999999999997E-2</v>
      </c>
      <c r="AD19" s="1">
        <f>T19</f>
        <v>1.1778750000000001E-3</v>
      </c>
      <c r="AE19" s="1">
        <f>U19</f>
        <v>5.8599999999999998E-6</v>
      </c>
      <c r="AF19" s="1">
        <f>AVERAGE(AF18/$AB18,AF20/$AB20)*$AB19</f>
        <v>1481.3791980752112</v>
      </c>
      <c r="AG19" s="1">
        <f>AVERAGE(AG18/AF18,AG20/AF20)*AF19</f>
        <v>30.512092887186679</v>
      </c>
      <c r="AH19" s="1">
        <f>AVERAGE(AH18/$AB18,AH20/$AB20)*$AB19</f>
        <v>794.09824818905611</v>
      </c>
      <c r="AI19" s="1">
        <f>AVERAGE(AI18/AH18,AI20/AH20)*AH19</f>
        <v>18.338940268809086</v>
      </c>
      <c r="AJ19" s="1">
        <f>AVERAGE(AJ18/$AB18,AJ20/$AB20)*$AB19</f>
        <v>227.88381293542636</v>
      </c>
      <c r="AK19" s="1">
        <f>AVERAGE(AK18/AJ18,AK20/AJ20)*AJ19</f>
        <v>9.3518006711630406</v>
      </c>
      <c r="AL19" s="1">
        <f>AVERAGE(AL18/$AB18,AL20/$AB20)*$AB19</f>
        <v>150.99473103222115</v>
      </c>
      <c r="AM19" s="1">
        <f>AVERAGE(AM18/AL18,AM20/AL20)*AL19</f>
        <v>6.127507853691589</v>
      </c>
      <c r="AR19" s="1">
        <f>Constants!B$25</f>
        <v>2.3944420000000002E-6</v>
      </c>
      <c r="AS19" s="1">
        <f>R19</f>
        <v>24.04082</v>
      </c>
      <c r="AT19" s="1">
        <f>MAX(0.000001,T19)</f>
        <v>1.1778750000000001E-3</v>
      </c>
      <c r="AU19" s="1">
        <f t="shared" si="18"/>
        <v>510.20446333884479</v>
      </c>
      <c r="AV19" s="1">
        <f>AS19/L19</f>
        <v>0.17136541644510148</v>
      </c>
      <c r="AW19" s="1">
        <f t="shared" si="19"/>
        <v>273.56938006665911</v>
      </c>
      <c r="AX19" s="1">
        <f>V19</f>
        <v>67789.600000000006</v>
      </c>
      <c r="AY19">
        <f t="shared" si="26"/>
        <v>185.18723582224146</v>
      </c>
      <c r="AZ19" s="1">
        <f>AT19/N19</f>
        <v>1.1687691197877338E-3</v>
      </c>
      <c r="BA19" s="1">
        <f t="shared" si="20"/>
        <v>128.32958012203108</v>
      </c>
      <c r="BB19" s="1">
        <f>AL19-BC19</f>
        <v>-1.2922884672601924</v>
      </c>
      <c r="BC19" s="1">
        <f t="shared" si="17"/>
        <v>152.28701949948135</v>
      </c>
      <c r="BD19">
        <f>(LN(AF19)-LN(AH19))/(LN(238-236.5))</f>
        <v>1.5377935587423213</v>
      </c>
      <c r="BF19" s="32">
        <f>AY19/AS19/62415093</f>
        <v>1.2341619438437753E-7</v>
      </c>
      <c r="BG19" s="1">
        <f>AY19/AX19</f>
        <v>2.7317941958979173E-3</v>
      </c>
      <c r="BH19" s="1">
        <f>BG19*0.1</f>
        <v>2.7317941958979175E-4</v>
      </c>
      <c r="BI19" s="1">
        <f>AW19/AV19/62415093</f>
        <v>2.5577299187594044E-5</v>
      </c>
      <c r="BJ19" s="1">
        <f>BI19*0.1</f>
        <v>2.5577299187594044E-6</v>
      </c>
      <c r="BK19" s="1">
        <f>AU19/AT19/62415093</f>
        <v>6.9399353937013306E-3</v>
      </c>
      <c r="BL19" s="1">
        <f>BK19*0.1</f>
        <v>6.9399353937013315E-4</v>
      </c>
      <c r="BM19" s="1">
        <f>J19/(1-(AU19/62415093)/AT19)</f>
        <v>20566.751929650054</v>
      </c>
      <c r="BN19" s="33">
        <f>SQRT((K19/(1-BK19))^2+(BL19*J19/(1-BK19)^2)^2)</f>
        <v>104.71093611880286</v>
      </c>
      <c r="BO19" s="1">
        <f>L19/(1-AW19/62415093/AV19)</f>
        <v>140.29338832596727</v>
      </c>
      <c r="BP19" s="33">
        <f>SQRT((M19/(1-BI19))^2+(BJ19*L19/(1-BI19)^2)^2)</f>
        <v>8.008248337766536E-3</v>
      </c>
      <c r="BQ19" s="1">
        <f>N19*(1-BK19)</f>
        <v>1.0007969955696465</v>
      </c>
      <c r="BR19">
        <f>SQRT(O19^2+BL19^2)</f>
        <v>5.4444124598240617E-3</v>
      </c>
      <c r="BS19" s="1">
        <f>P19/(1-BG19)</f>
        <v>22197.900094639655</v>
      </c>
      <c r="BT19" s="1">
        <f>SQRT((Q19/(1-BG19))^2+(BH19*P19/(1-BG19)^2)^2)</f>
        <v>14.384056768770497</v>
      </c>
      <c r="BU19">
        <f>(Constants!$C$19/$BQ19)^(1/LN(Constants!$B$3/Constants!$B$6))</f>
        <v>0.21538431626859475</v>
      </c>
      <c r="BV19">
        <f>(Constants!$C$19/($BQ19-BR19))^(1/LN(Constants!$B$3/Constants!$B$6))-BU19</f>
        <v>0.11427086697556579</v>
      </c>
      <c r="BW19">
        <f>$BM19*BU19^(LN(Constants!$B$2/Constants!$B$3))</f>
        <v>20301.365276111846</v>
      </c>
      <c r="BX19" s="33">
        <f>BW19*SQRT((BN19/BM19)^2+(((BM19*($BU19+$BV19)^LN(Constants!$B$2/Constants!$B$3))-BW19)/BW19)^2)</f>
        <v>126.66959806660728</v>
      </c>
      <c r="BY19">
        <f>BO19*BU19^(LN(Constants!$B$2/Constants!$B$4))</f>
        <v>137.58188996095816</v>
      </c>
      <c r="BZ19" s="33">
        <f>BY19*SQRT((BP19/BO19)^2+(((BO19*($BU19+$BV19)^LN(Constants!$B$2/Constants!$B$4))-BY19)/BY19)^2)</f>
        <v>0.74642666127967738</v>
      </c>
      <c r="CA19">
        <f>BS19*BU19^(LN(Constants!$B$2/Constants!$B$5))</f>
        <v>21626.416818980015</v>
      </c>
      <c r="CB19" s="33">
        <f>CA19*SQRT((BT19/BS19)^2+(((BS19*($BU19+$BV19)^LN(Constants!$B$2/Constants!$B$5))-CA19)/CA19)^2)</f>
        <v>157.5601678042585</v>
      </c>
      <c r="CC19">
        <f>(Constants!$C$18/AVERAGE(BO18,BO20))^(1/LN(Constants!$B$2/Constants!$B$4))</f>
        <v>0.24580381116723046</v>
      </c>
      <c r="CD19">
        <f>MAX(ABS((Constants!$C$18/BO18)^(1/LN(Constants!$B$2/Constants!$B$4))-(Constants!$C$18/BO20)^(1/LN(Constants!$B$2/Constants!$B$4))),CD18,CD20)</f>
        <v>5.4589821425612139E-3</v>
      </c>
      <c r="CE19">
        <f>$BM19*CC19^(LN(Constants!$B$2/Constants!$B$3))</f>
        <v>20324.065558151819</v>
      </c>
      <c r="CF19" s="33">
        <f>CE19*SQRT((BN19/BM19)^2+(($BM19*($CC19+$CD19)^(LN(Constants!$B$2/Constants!$B$3))-CE19)/CE19)^2)</f>
        <v>103.54425641484032</v>
      </c>
      <c r="CG19">
        <f>BO19*CC19^(LN(Constants!$B$2/Constants!$B$4))</f>
        <v>137.81312943168135</v>
      </c>
      <c r="CH19" s="33">
        <f>CG19*SQRT((BP19/BO19)^2+((BO19*($CC19+$CD19)^(LN(Constants!$B$2/Constants!$B$4))-CG19)/CG19)^2)</f>
        <v>3.928124818643524E-2</v>
      </c>
      <c r="CI19">
        <f>BQ19*$CC19^(LN(Constants!$B$3/Constants!$B$6))</f>
        <v>0.9829593903172692</v>
      </c>
      <c r="CJ19" s="33">
        <f>CI19*SQRT((BR19/BQ19)^2+((BQ19*($CC19+$CD19)^(LN(Constants!$B$3/Constants!$B$6))-CI19)/CI19)^2)</f>
        <v>5.3545318093666978E-3</v>
      </c>
      <c r="CK19">
        <f>BS19*CC19^(LN(Constants!$B$2/Constants!$B$5))</f>
        <v>21675.006914043704</v>
      </c>
      <c r="CL19" s="33">
        <f>CK19*SQRT((BT19/BS19)^2+((BS19*($CC19+$CD19)^(LN(Constants!$B$2/Constants!$B$5))-CK19)/CK19)^2)</f>
        <v>16.208318895554925</v>
      </c>
      <c r="CM19">
        <f>CK19*Constants!$C$17/AVERAGE(CK18,CK20)</f>
        <v>18147.4547061134</v>
      </c>
      <c r="CN19">
        <f>CM19*SQRT(((CK18-CK20)/CK20/4)^2+(CL19/CK19)^2+AVERAGE(CL18/CK18,CL20/CK20)^2)</f>
        <v>19.264267293330168</v>
      </c>
      <c r="CO19">
        <f>1/CM19*CE19*CI19</f>
        <v>1.100855817707546</v>
      </c>
      <c r="CQ19">
        <f>$K19/$J19</f>
        <v>5.0430816264378899E-3</v>
      </c>
      <c r="CR19">
        <f>$BN19/$BM19</f>
        <v>5.0912723835525222E-3</v>
      </c>
      <c r="CS19">
        <f>$CF19/$CE19</f>
        <v>5.0946625869994575E-3</v>
      </c>
      <c r="CT19">
        <f>$Q19/$P19</f>
        <v>5.8724521462909143E-4</v>
      </c>
      <c r="CU19">
        <f>$BT19/$BS19</f>
        <v>6.4799177883695207E-4</v>
      </c>
      <c r="CV19">
        <f>$CL19/$CK19</f>
        <v>7.4778840716554541E-4</v>
      </c>
      <c r="CW19">
        <f>$CN19/$CM19</f>
        <v>1.0615410042511661E-3</v>
      </c>
      <c r="CY19" s="75">
        <f>$CQ19/$CS19</f>
        <v>0.98987549034293421</v>
      </c>
      <c r="CZ19" s="75">
        <f>$CR19/$CS19-$CY19</f>
        <v>9.45906746358538E-3</v>
      </c>
      <c r="DA19" s="75">
        <f>$CS19/$CS19-$CZ19-$CY19</f>
        <v>6.6544219348041445E-4</v>
      </c>
      <c r="DB19" s="75">
        <f>$CT19/$CW19</f>
        <v>0.55320068869440131</v>
      </c>
      <c r="DC19" s="75">
        <f>$CU19/$CW19-$DB19</f>
        <v>5.7224887182490414E-2</v>
      </c>
      <c r="DD19" s="75">
        <f>$CV19/$CW19-$DC19-$DB19</f>
        <v>9.4011091355808762E-2</v>
      </c>
      <c r="DE19" s="75">
        <f>$CW19/$CW19-$DD19-$DC19-$DB19</f>
        <v>0.29556333276729951</v>
      </c>
    </row>
    <row r="20" spans="1:109">
      <c r="A20" s="66" t="str">
        <f t="shared" si="0"/>
        <v>U 13.5 ppb</v>
      </c>
      <c r="B20" s="66"/>
      <c r="C20" s="66"/>
      <c r="J20" s="1">
        <v>-416784.3</v>
      </c>
      <c r="K20" s="1">
        <v>336000</v>
      </c>
      <c r="L20" s="1">
        <v>140.286</v>
      </c>
      <c r="M20" s="1">
        <v>9.7599999999999996E-3</v>
      </c>
      <c r="N20" s="1">
        <v>1.3357490000000001</v>
      </c>
      <c r="O20" s="1">
        <v>0.85099999999999998</v>
      </c>
      <c r="P20" s="1">
        <v>23079.64</v>
      </c>
      <c r="Q20" s="1">
        <v>15.3</v>
      </c>
      <c r="R20" s="1">
        <v>13.604660000000001</v>
      </c>
      <c r="S20" s="1">
        <v>1.12E-2</v>
      </c>
      <c r="T20" s="1">
        <v>1.741242E-6</v>
      </c>
      <c r="U20" s="1">
        <v>5.0599999999999998E-6</v>
      </c>
      <c r="V20" s="1">
        <v>36796.129999999997</v>
      </c>
      <c r="W20" s="1">
        <v>39.6</v>
      </c>
      <c r="X20" t="s">
        <v>323</v>
      </c>
      <c r="Y20" t="s">
        <v>332</v>
      </c>
      <c r="Z20">
        <v>3474</v>
      </c>
      <c r="AB20" s="59" cm="1">
        <f t="array" ref="AB20:AP20">U!A35:O35</f>
        <v>12.762700000000001</v>
      </c>
      <c r="AC20" s="59">
        <v>0.107</v>
      </c>
      <c r="AD20" s="59">
        <v>3.0664950000000002E-5</v>
      </c>
      <c r="AE20" s="59">
        <v>8.4999999999999999E-6</v>
      </c>
      <c r="AF20" s="59">
        <v>782.30139999999994</v>
      </c>
      <c r="AG20" s="59">
        <v>23.8</v>
      </c>
      <c r="AH20" s="59">
        <v>436.85469999999998</v>
      </c>
      <c r="AI20" s="59">
        <v>13.1</v>
      </c>
      <c r="AJ20" s="59">
        <v>119.8145</v>
      </c>
      <c r="AK20" s="59">
        <v>4.33</v>
      </c>
      <c r="AL20" s="59">
        <v>80.609740000000002</v>
      </c>
      <c r="AM20" s="59">
        <v>5.56</v>
      </c>
      <c r="AN20" s="60" t="str">
        <v>U 13.5 ppb tail</v>
      </c>
      <c r="AO20" s="60" t="str">
        <v>Analysed on 27 January 2023 at 14:20</v>
      </c>
      <c r="AP20" s="60">
        <v>3475</v>
      </c>
      <c r="AQ20" s="1"/>
      <c r="AR20" s="1">
        <f>Constants!B$25</f>
        <v>2.3944420000000002E-6</v>
      </c>
      <c r="AS20" s="1">
        <f t="shared" si="1"/>
        <v>13.604660000000001</v>
      </c>
      <c r="AT20" s="1">
        <f t="shared" si="2"/>
        <v>1.741242E-6</v>
      </c>
      <c r="AU20" s="1">
        <f t="shared" si="18"/>
        <v>288.93778326209411</v>
      </c>
      <c r="AV20" s="1">
        <f t="shared" si="3"/>
        <v>9.6978030594642384E-2</v>
      </c>
      <c r="AW20" s="1">
        <f t="shared" si="19"/>
        <v>161.34945809134368</v>
      </c>
      <c r="AX20" s="1">
        <f t="shared" si="4"/>
        <v>36796.129999999997</v>
      </c>
      <c r="AY20">
        <f t="shared" si="26"/>
        <v>99.688515169144864</v>
      </c>
      <c r="AZ20" s="1">
        <f t="shared" si="5"/>
        <v>1.3035697574918642E-6</v>
      </c>
      <c r="BA20" s="1">
        <f t="shared" si="20"/>
        <v>79.501947386966222</v>
      </c>
      <c r="BB20" s="1">
        <f t="shared" si="6"/>
        <v>-12.605427151736237</v>
      </c>
      <c r="BC20" s="1">
        <f t="shared" si="21"/>
        <v>93.215167151736239</v>
      </c>
      <c r="BD20">
        <f t="shared" si="7"/>
        <v>1.4369656749868946</v>
      </c>
      <c r="BE20" s="1"/>
      <c r="BF20" s="32">
        <f t="shared" si="8"/>
        <v>1.1739992319592528E-7</v>
      </c>
      <c r="BG20" s="1">
        <f t="shared" si="9"/>
        <v>2.7092119516140658E-3</v>
      </c>
      <c r="BH20" s="1">
        <f t="shared" si="10"/>
        <v>2.709211951614066E-4</v>
      </c>
      <c r="BI20" s="1">
        <f t="shared" si="11"/>
        <v>2.6656586108836551E-5</v>
      </c>
      <c r="BJ20" s="1">
        <f t="shared" si="12"/>
        <v>2.6656586108836554E-6</v>
      </c>
      <c r="BK20" s="1"/>
      <c r="BL20" s="1"/>
      <c r="BM20" s="1"/>
      <c r="BN20" s="1"/>
      <c r="BO20" s="1">
        <f t="shared" si="27"/>
        <v>140.28973964552503</v>
      </c>
      <c r="BP20" s="33">
        <f t="shared" si="28"/>
        <v>9.7674221589194969E-3</v>
      </c>
      <c r="BQ20" s="1"/>
      <c r="BR20" s="1"/>
      <c r="BS20" s="1">
        <f t="shared" si="29"/>
        <v>23142.33749733607</v>
      </c>
      <c r="BT20" s="1">
        <f t="shared" si="30"/>
        <v>16.579722538969449</v>
      </c>
      <c r="BU20" s="1"/>
      <c r="BV20" s="1"/>
      <c r="BW20" s="1"/>
      <c r="BX20" s="1"/>
      <c r="BY20" s="1"/>
      <c r="BZ20" s="1"/>
      <c r="CA20" s="1"/>
      <c r="CB20" s="1"/>
      <c r="CC20">
        <f>(Constants!$C$18/BO20)^(1/LN(Constants!$B$2/Constants!$B$4))</f>
        <v>0.2485486490005098</v>
      </c>
      <c r="CD20">
        <f>ABS((Constants!$C$18/BO20)^(1/LN(Constants!$B$2/Constants!$B$4))-(Constants!$C$18/(BO20+BP20))^(1/LN(Constants!$B$2/Constants!$B$4)))</f>
        <v>1.3575645053380825E-3</v>
      </c>
      <c r="CK20">
        <f>BS20*$CC20^(LN(Constants!$B$2/Constants!$B$5))</f>
        <v>22601.460521632907</v>
      </c>
      <c r="CL20" s="33">
        <f>CK20*SQRT((BT20/BS20)^2+((BS20*($CC20+$CD20)^(LN(Constants!$B$2/Constants!$B$5))-CK20)/CK20)^2)</f>
        <v>16.32674620812136</v>
      </c>
      <c r="CR20" s="1"/>
      <c r="CS20" s="1"/>
      <c r="CU20" s="1"/>
      <c r="CV20" s="1"/>
      <c r="CW20" s="1"/>
    </row>
    <row r="21" spans="1:109">
      <c r="A21" s="66" t="str">
        <f>X21</f>
        <v>[BHT] AB12-6H</v>
      </c>
      <c r="B21" t="str">
        <f>IF(NOT(ISBLANK($J21)),IF($T21&lt;Constants!$B$32,"low spike","OK"),"")</f>
        <v>low spike</v>
      </c>
      <c r="C21" t="str">
        <f>IF(NOT(ISBLANK($J21)), IF((ABS($L20-$L22)/$L20)&gt;Constants!$B$33,"variable mass bias","OK"), "")</f>
        <v>OK</v>
      </c>
      <c r="D21" t="str">
        <f>IF(NOT(ISBLANK($J21)), IF((ABS($P20-$P22)/$P20)&gt;Constants!$B$34,"variable IC yield","OK"),"")</f>
        <v>OK</v>
      </c>
      <c r="E21" s="34">
        <f>CE21</f>
        <v>21011.169676471774</v>
      </c>
      <c r="F21" s="34">
        <f>CF21</f>
        <v>112.74397864443024</v>
      </c>
      <c r="G21" s="34">
        <f>CM21</f>
        <v>18166.455856675566</v>
      </c>
      <c r="H21" s="47">
        <f>CN21</f>
        <v>17.251292139633659</v>
      </c>
      <c r="I21" s="33"/>
      <c r="J21" s="1">
        <v>21095.75</v>
      </c>
      <c r="K21" s="1">
        <v>112</v>
      </c>
      <c r="L21" s="1">
        <v>140.29329999999999</v>
      </c>
      <c r="M21" s="1">
        <v>5.4000000000000003E-3</v>
      </c>
      <c r="N21" s="1">
        <v>0.98889490000000002</v>
      </c>
      <c r="O21" s="1">
        <v>5.3800000000000002E-3</v>
      </c>
      <c r="P21" s="1">
        <v>22168.58</v>
      </c>
      <c r="Q21" s="1">
        <v>10</v>
      </c>
      <c r="R21" s="1">
        <v>33.364809999999999</v>
      </c>
      <c r="S21" s="1">
        <v>3.6299999999999999E-2</v>
      </c>
      <c r="T21" s="1">
        <v>1.5828229999999999E-3</v>
      </c>
      <c r="U21" s="1">
        <v>8.1999999999999994E-6</v>
      </c>
      <c r="V21" s="1">
        <v>93948.76</v>
      </c>
      <c r="W21" s="1">
        <v>112</v>
      </c>
      <c r="X21" t="s">
        <v>319</v>
      </c>
      <c r="Y21" t="s">
        <v>320</v>
      </c>
      <c r="Z21">
        <v>3479</v>
      </c>
      <c r="AB21" s="1">
        <f>R21</f>
        <v>33.364809999999999</v>
      </c>
      <c r="AC21" s="1">
        <f>S21</f>
        <v>3.6299999999999999E-2</v>
      </c>
      <c r="AD21" s="1">
        <f>T21</f>
        <v>1.5828229999999999E-3</v>
      </c>
      <c r="AE21" s="1">
        <f>U21</f>
        <v>8.1999999999999994E-6</v>
      </c>
      <c r="AF21" s="1">
        <f>AVERAGE(AF20/$AB20,AF22/$AB22)*$AB21</f>
        <v>2020.4315943758952</v>
      </c>
      <c r="AG21" s="1">
        <f>AVERAGE(AG20/AF20,AG22/AF22)*AF21</f>
        <v>43.463107515464699</v>
      </c>
      <c r="AH21" s="1">
        <f>AVERAGE(AH20/$AB20,AH22/$AB22)*$AB21</f>
        <v>1140.4208713599</v>
      </c>
      <c r="AI21" s="1">
        <f>AVERAGE(AI20/AH20,AI22/AH22)*AH21</f>
        <v>23.00906084153652</v>
      </c>
      <c r="AJ21" s="1">
        <f>AVERAGE(AJ20/$AB20,AJ22/$AB22)*$AB21</f>
        <v>320.88273554008163</v>
      </c>
      <c r="AK21" s="1">
        <f>AVERAGE(AK20/AJ20,AK22/AJ22)*AJ21</f>
        <v>16.430321882808354</v>
      </c>
      <c r="AL21" s="1">
        <f>AVERAGE(AL20/$AB20,AL22/$AB22)*$AB21</f>
        <v>214.57833374551268</v>
      </c>
      <c r="AM21" s="1">
        <f>AVERAGE(AM20/AL20,AM22/AL22)*AL21</f>
        <v>10.538356782537079</v>
      </c>
      <c r="AR21" s="1">
        <f>Constants!B$25</f>
        <v>2.3944420000000002E-6</v>
      </c>
      <c r="AS21" s="1">
        <f>R21</f>
        <v>33.364809999999999</v>
      </c>
      <c r="AT21" s="1">
        <f>MAX(0.000001,T21)</f>
        <v>1.5828229999999999E-3</v>
      </c>
      <c r="AU21" s="1">
        <f t="shared" si="18"/>
        <v>760.04176181208265</v>
      </c>
      <c r="AV21" s="1">
        <f>AS21/L21</f>
        <v>0.23782183468490656</v>
      </c>
      <c r="AW21" s="1">
        <f t="shared" si="19"/>
        <v>429.09700439912064</v>
      </c>
      <c r="AX21" s="1">
        <f>V21</f>
        <v>93948.76</v>
      </c>
      <c r="AY21">
        <f t="shared" si="26"/>
        <v>264.86365066538053</v>
      </c>
      <c r="AZ21" s="1">
        <f>AT21/N21</f>
        <v>1.6005977986133814E-3</v>
      </c>
      <c r="BA21" s="1">
        <f t="shared" si="20"/>
        <v>214.14531435854445</v>
      </c>
      <c r="BB21" s="1">
        <f>AL21-BC21</f>
        <v>-35.72402878181245</v>
      </c>
      <c r="BC21" s="1">
        <f t="shared" si="17"/>
        <v>250.30236252732513</v>
      </c>
      <c r="BD21">
        <f>(LN(AF21)-LN(AH21))/(LN(238-236.5))</f>
        <v>1.4105129098872773</v>
      </c>
      <c r="BF21" s="32">
        <f>AY21/AS21/62415093</f>
        <v>1.2718739802734254E-7</v>
      </c>
      <c r="BG21" s="1">
        <f>AY21/AX21</f>
        <v>2.8192351944334396E-3</v>
      </c>
      <c r="BH21" s="1">
        <f>BG21*0.1</f>
        <v>2.8192351944334397E-4</v>
      </c>
      <c r="BI21" s="1">
        <f>AW21/AV21/62415093</f>
        <v>2.8907739705055048E-5</v>
      </c>
      <c r="BJ21" s="1">
        <f>BI21*0.1</f>
        <v>2.8907739705055048E-6</v>
      </c>
      <c r="BK21" s="1">
        <f>AU21/AT21/62415093</f>
        <v>7.6933498416229115E-3</v>
      </c>
      <c r="BL21" s="1">
        <f>BK21*0.1</f>
        <v>7.6933498416229115E-4</v>
      </c>
      <c r="BM21" s="1">
        <f>J21/(1-(AU21/62415093)/AT21)</f>
        <v>21259.305272853926</v>
      </c>
      <c r="BN21" s="33">
        <f>SQRT((K21/(1-BK21))^2+(BL21*J21/(1-BK21)^2)^2)</f>
        <v>114.06545680079502</v>
      </c>
      <c r="BO21" s="1">
        <f>L21/(1-AW21/62415093/AV21)</f>
        <v>140.29735567943928</v>
      </c>
      <c r="BP21" s="33">
        <f>SQRT((M21/(1-BI21))^2+(BJ21*L21/(1-BI21)^2)^2)</f>
        <v>5.4153652545179806E-3</v>
      </c>
      <c r="BQ21" s="1">
        <f>N21*(1-BK21)</f>
        <v>0.98128698557770322</v>
      </c>
      <c r="BR21">
        <f>SQRT(O21^2+BL21^2)</f>
        <v>5.4347287253234634E-3</v>
      </c>
      <c r="BS21" s="1">
        <f>P21/(1-BG21)</f>
        <v>22231.255136898373</v>
      </c>
      <c r="BT21" s="1">
        <f>SQRT((Q21/(1-BG21))^2+(BH21*P21/(1-BG21)^2)^2)</f>
        <v>11.835134023254158</v>
      </c>
      <c r="BU21">
        <f>(Constants!$C$19/$BQ21)^(1/LN(Constants!$B$3/Constants!$B$6))</f>
        <v>1.0007559250217766</v>
      </c>
      <c r="BV21">
        <f>(Constants!$C$19/($BQ21-BR21))^(1/LN(Constants!$B$3/Constants!$B$6))-BU21</f>
        <v>0.54280258609758603</v>
      </c>
      <c r="BW21">
        <f>$BM21*BU21^(LN(Constants!$B$2/Constants!$B$3))</f>
        <v>21259.441164737469</v>
      </c>
      <c r="BX21" s="33">
        <f>BW21*SQRT((BN21/BM21)^2+(((BM21*($BU21+$BV21)^LN(Constants!$B$2/Constants!$B$3))-BW21)/BW21)^2)</f>
        <v>138.22614398675668</v>
      </c>
      <c r="BY21">
        <f>BO21*BU21^(LN(Constants!$B$2/Constants!$B$4))</f>
        <v>140.29870329898654</v>
      </c>
      <c r="BZ21" s="33">
        <f>BY21*SQRT((BP21/BO21)^2+(((BO21*($BU21+$BV21)^LN(Constants!$B$2/Constants!$B$4))-BY21)/BY21)^2)</f>
        <v>0.77497134909037979</v>
      </c>
      <c r="CA21">
        <f>BS21*BU21^(LN(Constants!$B$2/Constants!$B$5))</f>
        <v>22231.54051606722</v>
      </c>
      <c r="CB21" s="33">
        <f>CA21*SQRT((BT21/BS21)^2+(((BS21*($BU21+$BV21)^LN(Constants!$B$2/Constants!$B$5))-CA21)/CA21)^2)</f>
        <v>164.6864741679081</v>
      </c>
      <c r="CC21">
        <f>(Constants!$C$18/AVERAGE(BO20,BO22))^(1/LN(Constants!$B$2/Constants!$B$4))</f>
        <v>0.24959866092161356</v>
      </c>
      <c r="CD21">
        <f>MAX(ABS((Constants!$C$18/BO20)^(1/LN(Constants!$B$2/Constants!$B$4))-(Constants!$C$18/BO22)^(1/LN(Constants!$B$2/Constants!$B$4))),CD20,CD22)</f>
        <v>2.1045163223179231E-3</v>
      </c>
      <c r="CE21">
        <f>$BM21*CC21^(LN(Constants!$B$2/Constants!$B$3))</f>
        <v>21011.169676471774</v>
      </c>
      <c r="CF21" s="33">
        <f>CE21*SQRT((BN21/BM21)^2+(($BM21*($CC21+$CD21)^(LN(Constants!$B$2/Constants!$B$3))-CE21)/CE21)^2)</f>
        <v>112.74397864443024</v>
      </c>
      <c r="CG21">
        <f>BO21*CC21^(LN(Constants!$B$2/Constants!$B$4))</f>
        <v>137.84386903569234</v>
      </c>
      <c r="CH21" s="33">
        <f>CG21*SQRT((BP21/BO21)^2+((BO21*($CC21+$CD21)^(LN(Constants!$B$2/Constants!$B$4))-CG21)/CG21)^2)</f>
        <v>1.5645378909444757E-2</v>
      </c>
      <c r="CI21">
        <f>BQ21*$CC21^(LN(Constants!$B$3/Constants!$B$6))</f>
        <v>0.96398637852057778</v>
      </c>
      <c r="CJ21" s="33">
        <f>CI21*SQRT((BR21/BQ21)^2+((BQ21*($CC21+$CD21)^(LN(Constants!$B$3/Constants!$B$6))-CI21)/CI21)^2)</f>
        <v>5.3399193659670321E-3</v>
      </c>
      <c r="CK21">
        <f>BS21*CC21^(LN(Constants!$B$2/Constants!$B$5))</f>
        <v>21713.22670350712</v>
      </c>
      <c r="CL21" s="33">
        <f>CK21*SQRT((BT21/BS21)^2+((BS21*($CC21+$CD21)^(LN(Constants!$B$2/Constants!$B$5))-CK21)/CK21)^2)</f>
        <v>11.967116007463238</v>
      </c>
      <c r="CM21">
        <f>CK21*Constants!$C$17/AVERAGE(CK20,CK22)</f>
        <v>18166.455856675566</v>
      </c>
      <c r="CN21">
        <f>CM21*SQRT(((CK20-CK22)/CK22/4)^2+(CL21/CK21)^2+AVERAGE(CL20/CK20,CL22/CK22)^2)</f>
        <v>17.251292139633659</v>
      </c>
      <c r="CO21">
        <f>1/CM21*CE21*CI21</f>
        <v>1.1149385177109579</v>
      </c>
      <c r="CQ21">
        <f>$K21/$J21</f>
        <v>5.3091262458078046E-3</v>
      </c>
      <c r="CR21">
        <f>$BN21/$BM21</f>
        <v>5.3654367034488924E-3</v>
      </c>
      <c r="CS21">
        <f>$CF21/$CE21</f>
        <v>5.3659068191087194E-3</v>
      </c>
      <c r="CT21">
        <f>$Q21/$P21</f>
        <v>4.5108888345577386E-4</v>
      </c>
      <c r="CU21">
        <f>$BT21/$BS21</f>
        <v>5.3236463485189232E-4</v>
      </c>
      <c r="CV21">
        <f>$CL21/$CK21</f>
        <v>5.5114406397876873E-4</v>
      </c>
      <c r="CW21">
        <f>$CN21/$CM21</f>
        <v>9.4962343099490071E-4</v>
      </c>
      <c r="CY21" s="75">
        <f>$CQ21/$CS21</f>
        <v>0.98941827072011179</v>
      </c>
      <c r="CZ21" s="75">
        <f>$CR21/$CS21-$CY21</f>
        <v>1.0494117683996773E-2</v>
      </c>
      <c r="DA21" s="75">
        <f>$CS21/$CS21-$CZ21-$CY21</f>
        <v>8.7611595891434746E-5</v>
      </c>
      <c r="DB21" s="75">
        <f>$CT21/$CW21</f>
        <v>0.47501869555090637</v>
      </c>
      <c r="DC21" s="75">
        <f>$CU21/$CW21-$DB21</f>
        <v>8.5587348356566451E-2</v>
      </c>
      <c r="DD21" s="75">
        <f>$CV21/$CW21-$DC21-$DB21</f>
        <v>1.9775658975897059E-2</v>
      </c>
      <c r="DE21" s="75">
        <f>$CW21/$CW21-$DD21-$DC21-$DB21</f>
        <v>0.41961829711663012</v>
      </c>
    </row>
    <row r="22" spans="1:109">
      <c r="A22" s="66" t="str">
        <f t="shared" si="0"/>
        <v>U 13.5 ppb</v>
      </c>
      <c r="B22" s="66"/>
      <c r="C22" s="66"/>
      <c r="J22" s="1">
        <v>471549.1</v>
      </c>
      <c r="K22" s="1">
        <v>183000</v>
      </c>
      <c r="L22" s="1">
        <v>140.27070000000001</v>
      </c>
      <c r="M22" s="1">
        <v>1.06E-2</v>
      </c>
      <c r="N22" s="1">
        <v>-6.3184480000000001</v>
      </c>
      <c r="O22" s="1">
        <v>2.57</v>
      </c>
      <c r="P22" s="1">
        <v>23099.37</v>
      </c>
      <c r="Q22" s="1">
        <v>14.7</v>
      </c>
      <c r="R22" s="1">
        <v>15.165990000000001</v>
      </c>
      <c r="S22" s="1">
        <v>1.34E-2</v>
      </c>
      <c r="T22" s="1">
        <v>9.2602139999999998E-6</v>
      </c>
      <c r="U22" s="1">
        <v>5.7699999999999998E-6</v>
      </c>
      <c r="V22" s="1">
        <v>40957.72</v>
      </c>
      <c r="W22" s="1">
        <v>47.7</v>
      </c>
      <c r="X22" t="s">
        <v>323</v>
      </c>
      <c r="Y22" t="s">
        <v>333</v>
      </c>
      <c r="Z22">
        <v>3482</v>
      </c>
      <c r="AB22" s="59" cm="1">
        <f t="array" ref="AB22:AP22">U!A36:O36</f>
        <v>14.727180000000001</v>
      </c>
      <c r="AC22" s="59">
        <v>6.9800000000000001E-2</v>
      </c>
      <c r="AD22" s="59">
        <v>3.821985E-5</v>
      </c>
      <c r="AE22" s="59">
        <v>7.1400000000000002E-6</v>
      </c>
      <c r="AF22" s="59">
        <v>880.9153</v>
      </c>
      <c r="AG22" s="59">
        <v>11.1</v>
      </c>
      <c r="AH22" s="59">
        <v>502.66340000000002</v>
      </c>
      <c r="AI22" s="59">
        <v>5.21</v>
      </c>
      <c r="AJ22" s="59">
        <v>145.01759999999999</v>
      </c>
      <c r="AK22" s="59">
        <v>9.61</v>
      </c>
      <c r="AL22" s="59">
        <v>96.411670000000001</v>
      </c>
      <c r="AM22" s="59">
        <v>2.82</v>
      </c>
      <c r="AN22" s="60" t="str">
        <v>U 13.5 ppb tail</v>
      </c>
      <c r="AO22" s="60" t="str">
        <v>Analysed on 27 January 2023 at 14:54</v>
      </c>
      <c r="AP22" s="60">
        <v>3483</v>
      </c>
      <c r="AQ22" s="1"/>
      <c r="AR22" s="1">
        <f>Constants!B$25</f>
        <v>2.3944420000000002E-6</v>
      </c>
      <c r="AS22" s="1">
        <f t="shared" si="1"/>
        <v>15.165990000000001</v>
      </c>
      <c r="AT22" s="1">
        <f t="shared" si="2"/>
        <v>9.2602139999999998E-6</v>
      </c>
      <c r="AU22" s="1">
        <f t="shared" si="18"/>
        <v>337.59806663416754</v>
      </c>
      <c r="AV22" s="1">
        <f t="shared" si="3"/>
        <v>0.10811944333349731</v>
      </c>
      <c r="AW22" s="1">
        <f t="shared" si="19"/>
        <v>192.63902651413099</v>
      </c>
      <c r="AX22" s="1">
        <f t="shared" si="4"/>
        <v>40957.72</v>
      </c>
      <c r="AY22">
        <f t="shared" si="26"/>
        <v>118.5652816102572</v>
      </c>
      <c r="AZ22" s="1">
        <f t="shared" si="5"/>
        <v>-1.4655836369944011E-6</v>
      </c>
      <c r="BA22" s="1">
        <f t="shared" si="20"/>
        <v>97.417396873577985</v>
      </c>
      <c r="BB22" s="1">
        <f t="shared" si="6"/>
        <v>-17.094398076829819</v>
      </c>
      <c r="BC22" s="1">
        <f t="shared" si="21"/>
        <v>113.50606807682982</v>
      </c>
      <c r="BD22">
        <f t="shared" si="7"/>
        <v>1.3836966686924159</v>
      </c>
      <c r="BE22" s="1"/>
      <c r="BF22" s="32">
        <f t="shared" si="8"/>
        <v>1.2525559949282454E-7</v>
      </c>
      <c r="BG22" s="1">
        <f t="shared" si="9"/>
        <v>2.8948213330785306E-3</v>
      </c>
      <c r="BH22" s="1">
        <f t="shared" si="10"/>
        <v>2.8948213330785307E-4</v>
      </c>
      <c r="BI22" s="1">
        <f t="shared" si="11"/>
        <v>2.8546367462561777E-5</v>
      </c>
      <c r="BJ22" s="1">
        <f t="shared" si="12"/>
        <v>2.8546367462561778E-6</v>
      </c>
      <c r="BK22" s="1"/>
      <c r="BL22" s="1"/>
      <c r="BM22" s="1"/>
      <c r="BN22" s="1"/>
      <c r="BO22" s="1">
        <f t="shared" si="27"/>
        <v>140.27470433325558</v>
      </c>
      <c r="BP22" s="33">
        <f t="shared" si="28"/>
        <v>1.0607863650030696E-2</v>
      </c>
      <c r="BQ22" s="1"/>
      <c r="BR22" s="1"/>
      <c r="BS22" s="1">
        <f t="shared" si="29"/>
        <v>23166.432683543648</v>
      </c>
      <c r="BT22" s="1">
        <f t="shared" si="30"/>
        <v>16.20438494002109</v>
      </c>
      <c r="BU22" s="1"/>
      <c r="BV22" s="1"/>
      <c r="BW22" s="1"/>
      <c r="BX22" s="1"/>
      <c r="BY22" s="1"/>
      <c r="BZ22" s="1"/>
      <c r="CA22" s="1"/>
      <c r="CB22" s="1"/>
      <c r="CC22">
        <f>(Constants!$C$18/BO22)^(1/LN(Constants!$B$2/Constants!$B$4))</f>
        <v>0.25065316532282772</v>
      </c>
      <c r="CD22">
        <f>ABS((Constants!$C$18/BO22)^(1/LN(Constants!$B$2/Constants!$B$4))-(Constants!$C$18/(BO22+BP22))^(1/LN(Constants!$B$2/Constants!$B$4)))</f>
        <v>1.4866649577239821E-3</v>
      </c>
      <c r="CK22">
        <f>BS22*$CC22^(LN(Constants!$B$2/Constants!$B$5))</f>
        <v>22628.233487256624</v>
      </c>
      <c r="CL22" s="33">
        <f>CK22*SQRT((BT22/BS22)^2+((BS22*($CC22+$CD22)^(LN(Constants!$B$2/Constants!$B$5))-CK22)/CK22)^2)</f>
        <v>15.990354782220951</v>
      </c>
    </row>
    <row r="23" spans="1:109">
      <c r="A23" s="66" t="str">
        <f>X23</f>
        <v>[BHT] AB10-bot</v>
      </c>
      <c r="B23" t="str">
        <f>IF(NOT(ISBLANK($J23)),IF($T23&lt;Constants!$B$32,"low spike","OK"),"")</f>
        <v>low spike</v>
      </c>
      <c r="C23" t="str">
        <f>IF(NOT(ISBLANK($J23)), IF((ABS($L22-$L24)/$L22)&gt;Constants!$B$33,"variable mass bias","OK"), "")</f>
        <v>OK</v>
      </c>
      <c r="D23" t="str">
        <f>IF(NOT(ISBLANK($J23)), IF((ABS($P22-$P24)/$P22)&gt;Constants!$B$34,"variable IC yield","OK"),"")</f>
        <v>OK</v>
      </c>
      <c r="E23" s="34">
        <f>CE23</f>
        <v>13802.223234115379</v>
      </c>
      <c r="F23" s="34">
        <f>CF23</f>
        <v>30.347981757720117</v>
      </c>
      <c r="G23" s="34">
        <f>CM23</f>
        <v>18142.85519336267</v>
      </c>
      <c r="H23" s="47">
        <f>CN23</f>
        <v>17.796798447141551</v>
      </c>
      <c r="I23" s="33"/>
      <c r="J23" s="1">
        <v>13896.72</v>
      </c>
      <c r="K23" s="1">
        <v>29.7</v>
      </c>
      <c r="L23" s="1">
        <v>140.29480000000001</v>
      </c>
      <c r="M23" s="1">
        <v>4.9899999999999996E-3</v>
      </c>
      <c r="N23" s="1">
        <v>0.99948409999999999</v>
      </c>
      <c r="O23" s="1">
        <v>2.33E-3</v>
      </c>
      <c r="P23" s="1">
        <v>22147.61</v>
      </c>
      <c r="Q23" s="1">
        <v>9.8800000000000008</v>
      </c>
      <c r="R23" s="1">
        <v>41.653219999999997</v>
      </c>
      <c r="S23" s="1">
        <v>3.2599999999999997E-2</v>
      </c>
      <c r="T23" s="1">
        <v>2.997708E-3</v>
      </c>
      <c r="U23" s="1">
        <v>6.3199999999999996E-6</v>
      </c>
      <c r="V23" s="1">
        <v>117398.3</v>
      </c>
      <c r="W23" s="1">
        <v>107</v>
      </c>
      <c r="X23" t="s">
        <v>321</v>
      </c>
      <c r="Y23" t="s">
        <v>322</v>
      </c>
      <c r="Z23">
        <v>3487</v>
      </c>
      <c r="AB23" s="1">
        <f>R23</f>
        <v>41.653219999999997</v>
      </c>
      <c r="AC23" s="1">
        <f>S23</f>
        <v>3.2599999999999997E-2</v>
      </c>
      <c r="AD23" s="1">
        <f>T23</f>
        <v>2.997708E-3</v>
      </c>
      <c r="AE23" s="1">
        <f>U23</f>
        <v>6.3199999999999996E-6</v>
      </c>
      <c r="AF23" s="1">
        <f>AVERAGE(AF22/$AB22,AF24/$AB24)*$AB23</f>
        <v>2518.9307173450297</v>
      </c>
      <c r="AG23" s="1">
        <f>AVERAGE(AG22/AF22,AG24/AF24)*AF23</f>
        <v>38.870855981400673</v>
      </c>
      <c r="AH23" s="1">
        <f>AVERAGE(AH22/$AB22,AH24/$AB24)*$AB23</f>
        <v>1401.4971969604997</v>
      </c>
      <c r="AI23" s="1">
        <f>AVERAGE(AI22/AH22,AI24/AH24)*AH23</f>
        <v>23.334657225218155</v>
      </c>
      <c r="AJ23" s="1">
        <f>AVERAGE(AJ22/$AB22,AJ24/$AB24)*$AB23</f>
        <v>424.82965909268938</v>
      </c>
      <c r="AK23" s="1">
        <f>AVERAGE(AK22/AJ22,AK24/AJ24)*AJ23</f>
        <v>22.237510715327197</v>
      </c>
      <c r="AL23" s="1">
        <f>AVERAGE(AL22/$AB22,AL24/$AB24)*$AB23</f>
        <v>243.8918403652284</v>
      </c>
      <c r="AM23" s="1">
        <f>AVERAGE(AM22/AL22,AM24/AL24)*AL23</f>
        <v>10.437853171646333</v>
      </c>
      <c r="AR23" s="1">
        <f>Constants!B$25</f>
        <v>2.3944420000000002E-6</v>
      </c>
      <c r="AS23" s="1">
        <f>R23</f>
        <v>41.653219999999997</v>
      </c>
      <c r="AT23" s="1">
        <f>MAX(0.000001,T23)</f>
        <v>2.997708E-3</v>
      </c>
      <c r="AU23" s="1">
        <f t="shared" si="18"/>
        <v>924.55688755884739</v>
      </c>
      <c r="AV23" s="1">
        <f>AS23/L23</f>
        <v>0.29689781802319115</v>
      </c>
      <c r="AW23" s="1">
        <f t="shared" si="19"/>
        <v>514.59157515522782</v>
      </c>
      <c r="AX23" s="1">
        <f>V23</f>
        <v>117398.3</v>
      </c>
      <c r="AY23">
        <f t="shared" si="26"/>
        <v>305.46525960862272</v>
      </c>
      <c r="AZ23" s="1">
        <f>AT23/N23</f>
        <v>2.9992553158174301E-3</v>
      </c>
      <c r="BA23" s="1">
        <f t="shared" si="20"/>
        <v>252.39287300267588</v>
      </c>
      <c r="BB23" s="1">
        <f>AL23-BC23</f>
        <v>-52.35657169763158</v>
      </c>
      <c r="BC23" s="1">
        <f t="shared" si="17"/>
        <v>296.24841206285998</v>
      </c>
      <c r="BD23">
        <f>(LN(AF23)-LN(AH23))/(LN(238-236.5))</f>
        <v>1.4459774457632375</v>
      </c>
      <c r="BF23" s="32">
        <f>AY23/AS23/62415093</f>
        <v>1.1749614645847163E-7</v>
      </c>
      <c r="BG23" s="1">
        <f>AY23/AX23</f>
        <v>2.6019564134116312E-3</v>
      </c>
      <c r="BH23" s="1">
        <f>BG23*0.1</f>
        <v>2.6019564134116313E-4</v>
      </c>
      <c r="BI23" s="1">
        <f>AW23/AV23/62415093</f>
        <v>2.7769371073995442E-5</v>
      </c>
      <c r="BJ23" s="1">
        <f>BI23*0.1</f>
        <v>2.7769371073995442E-6</v>
      </c>
      <c r="BK23" s="1">
        <f>AU23/AT23/62415093</f>
        <v>4.941453232012942E-3</v>
      </c>
      <c r="BL23" s="1">
        <f>BK23*0.1</f>
        <v>4.9414532320129427E-4</v>
      </c>
      <c r="BM23" s="1">
        <f>J23/(1-(AU23/62415093)/AT23)</f>
        <v>13965.731006620084</v>
      </c>
      <c r="BN23" s="33">
        <f>SQRT((K23/(1-BK23))^2+(BL23*J23/(1-BK23)^2)^2)</f>
        <v>30.642650592978502</v>
      </c>
      <c r="BO23" s="1">
        <f>L23/(1-AW23/62415093/AV23)</f>
        <v>140.29869600655061</v>
      </c>
      <c r="BP23" s="33">
        <f>SQRT((M23/(1-BI23))^2+(BJ23*L23/(1-BI23)^2)^2)</f>
        <v>5.0053251721307946E-3</v>
      </c>
      <c r="BQ23" s="1">
        <f>N23*(1-BK23)</f>
        <v>0.9945451960637095</v>
      </c>
      <c r="BR23">
        <f>SQRT(O23^2+BL23^2)</f>
        <v>2.3818227474859902E-3</v>
      </c>
      <c r="BS23" s="1">
        <f>P23/(1-BG23)</f>
        <v>22205.38745028857</v>
      </c>
      <c r="BT23" s="1">
        <f>SQRT((Q23/(1-BG23))^2+(BH23*P23/(1-BG23)^2)^2)</f>
        <v>11.475238694490423</v>
      </c>
      <c r="BU23">
        <f>(Constants!$C$19/$BQ23)^(1/LN(Constants!$B$3/Constants!$B$6))</f>
        <v>0.3512027800868468</v>
      </c>
      <c r="BV23">
        <f>(Constants!$C$19/($BQ23-BR23))^(1/LN(Constants!$B$3/Constants!$B$6))-BU23</f>
        <v>7.2253386523263852E-2</v>
      </c>
      <c r="BW23">
        <f>$BM23*BU23^(LN(Constants!$B$2/Constants!$B$3))</f>
        <v>13842.657202001619</v>
      </c>
      <c r="BX23" s="33">
        <f>BW23*SQRT((BN23/BM23)^2+(((BM23*($BU23+$BV23)^LN(Constants!$B$2/Constants!$B$3))-BW23)/BW23)^2)</f>
        <v>37.459143230813176</v>
      </c>
      <c r="BY23">
        <f>BO23*BU23^(LN(Constants!$B$2/Constants!$B$4))</f>
        <v>138.44489208802057</v>
      </c>
      <c r="BZ23" s="33">
        <f>BY23*SQRT((BP23/BO23)^2+(((BO23*($BU23+$BV23)^LN(Constants!$B$2/Constants!$B$4))-BY23)/BY23)^2)</f>
        <v>0.32967432342029934</v>
      </c>
      <c r="CA23">
        <f>BS23*BU23^(LN(Constants!$B$2/Constants!$B$5))</f>
        <v>21814.151161027159</v>
      </c>
      <c r="CB23" s="33">
        <f>CA23*SQRT((BT23/BS23)^2+(((BS23*($BU23+$BV23)^LN(Constants!$B$2/Constants!$B$5))-CA23)/CA23)^2)</f>
        <v>70.349352529865371</v>
      </c>
      <c r="CC23">
        <f>(Constants!$C$18/AVERAGE(BO22,BO24))^(1/LN(Constants!$B$2/Constants!$B$4))</f>
        <v>0.24852836624773775</v>
      </c>
      <c r="CD23">
        <f>MAX(ABS((Constants!$C$18/BO22)^(1/LN(Constants!$B$2/Constants!$B$4))-(Constants!$C$18/BO24)^(1/LN(Constants!$B$2/Constants!$B$4))),CD22,CD24)</f>
        <v>4.231359129692136E-3</v>
      </c>
      <c r="CE23">
        <f>$BM23*CC23^(LN(Constants!$B$2/Constants!$B$3))</f>
        <v>13802.223234115379</v>
      </c>
      <c r="CF23" s="33">
        <f>CE23*SQRT((BN23/BM23)^2+(($BM23*($CC23+$CD23)^(LN(Constants!$B$2/Constants!$B$3))-CE23)/CE23)^2)</f>
        <v>30.347981757720117</v>
      </c>
      <c r="CG23">
        <f>BO23*CC23^(LN(Constants!$B$2/Constants!$B$4))</f>
        <v>137.83765627384358</v>
      </c>
      <c r="CH23" s="33">
        <f>CG23*SQRT((BP23/BO23)^2+((BO23*($CC23+$CD23)^(LN(Constants!$B$2/Constants!$B$4))-CG23)/CG23)^2)</f>
        <v>2.9989345640260748E-2</v>
      </c>
      <c r="CI23">
        <f>BQ23*$CC23^(LN(Constants!$B$3/Constants!$B$6))</f>
        <v>0.97695703199263251</v>
      </c>
      <c r="CJ23" s="33">
        <f>CI23*SQRT((BR23/BQ23)^2+((BQ23*($CC23+$CD23)^(LN(Constants!$B$3/Constants!$B$6))-CI23)/CI23)^2)</f>
        <v>2.3492326473377009E-3</v>
      </c>
      <c r="CK23">
        <f>BS23*CC23^(LN(Constants!$B$2/Constants!$B$5))</f>
        <v>21686.378573828824</v>
      </c>
      <c r="CL23" s="33">
        <f>CK23*SQRT((BT23/BS23)^2+((BS23*($CC23+$CD23)^(LN(Constants!$B$2/Constants!$B$5))-CK23)/CK23)^2)</f>
        <v>12.817630771552752</v>
      </c>
      <c r="CM23">
        <f>CK23*Constants!$C$17/AVERAGE(CK22,CK24)</f>
        <v>18142.85519336267</v>
      </c>
      <c r="CN23">
        <f>CM23*SQRT(((CK22-CK24)/CK24/4)^2+(CL23/CK23)^2+AVERAGE(CL22/CK22,CL24/CK24)^2)</f>
        <v>17.796798447141551</v>
      </c>
      <c r="CO23">
        <f>1/CM23*CE23*CI23</f>
        <v>0.74322254694697276</v>
      </c>
      <c r="CQ23">
        <f>$K23/$J23</f>
        <v>2.1371949639915032E-3</v>
      </c>
      <c r="CR23">
        <f>$BN23/$BM23</f>
        <v>2.19413151939223E-3</v>
      </c>
      <c r="CS23">
        <f>$CF23/$CE23</f>
        <v>2.1987748816225546E-3</v>
      </c>
      <c r="CT23">
        <f>$Q23/$P23</f>
        <v>4.4609779565379741E-4</v>
      </c>
      <c r="CU23">
        <f>$BT23/$BS23</f>
        <v>5.1677723346103095E-4</v>
      </c>
      <c r="CV23">
        <f>$CL23/$CK23</f>
        <v>5.9104523735563211E-4</v>
      </c>
      <c r="CW23">
        <f>$CN23/$CM23</f>
        <v>9.8092600406424896E-4</v>
      </c>
      <c r="CY23" s="75">
        <f>$CQ23/$CS23</f>
        <v>0.97199353233214603</v>
      </c>
      <c r="CZ23" s="75">
        <f>$CR23/$CS23-$CY23</f>
        <v>2.589467247265953E-2</v>
      </c>
      <c r="DA23" s="75">
        <f>$CS23/$CS23-$CZ23-$CY23</f>
        <v>2.1117951951944436E-3</v>
      </c>
      <c r="DB23" s="75">
        <f>$CT23/$CW23</f>
        <v>0.45477211716835958</v>
      </c>
      <c r="DC23" s="75">
        <f>$CU23/$CW23-$DB23</f>
        <v>7.2053791534110678E-2</v>
      </c>
      <c r="DD23" s="75">
        <f>$CV23/$CW23-$DC23-$DB23</f>
        <v>7.5712136885848935E-2</v>
      </c>
      <c r="DE23" s="75">
        <f>$CW23/$CW23-$DD23-$DC23-$DB23</f>
        <v>0.39746195441168092</v>
      </c>
    </row>
    <row r="24" spans="1:109">
      <c r="A24" s="66" t="str">
        <f t="shared" si="0"/>
        <v>U 13.5 ppb</v>
      </c>
      <c r="B24" s="66"/>
      <c r="C24" s="66"/>
      <c r="J24" s="1">
        <v>-245124.8</v>
      </c>
      <c r="K24" s="1">
        <v>149000</v>
      </c>
      <c r="L24" s="1">
        <v>140.3014</v>
      </c>
      <c r="M24" s="1">
        <v>1.15E-2</v>
      </c>
      <c r="N24" s="1">
        <v>-2.034278</v>
      </c>
      <c r="O24" s="1">
        <v>1.65</v>
      </c>
      <c r="P24" s="1">
        <v>23092.32</v>
      </c>
      <c r="Q24" s="1">
        <v>16.600000000000001</v>
      </c>
      <c r="R24" s="1">
        <v>14.37092</v>
      </c>
      <c r="S24" s="1">
        <v>2.23E-2</v>
      </c>
      <c r="T24" s="1">
        <v>-1.7999439999999999E-5</v>
      </c>
      <c r="U24" s="1">
        <v>4.8899999999999998E-6</v>
      </c>
      <c r="V24" s="1">
        <v>38847.64</v>
      </c>
      <c r="W24" s="1">
        <v>72.599999999999994</v>
      </c>
      <c r="X24" t="s">
        <v>323</v>
      </c>
      <c r="Y24" t="s">
        <v>334</v>
      </c>
      <c r="Z24">
        <v>3490</v>
      </c>
      <c r="AB24" s="59" cm="1">
        <f t="array" ref="AB24:AP24">U!A37:O37</f>
        <v>14.3315</v>
      </c>
      <c r="AC24" s="59">
        <v>8.6099999999999996E-2</v>
      </c>
      <c r="AD24" s="59">
        <v>2.1367160000000002E-5</v>
      </c>
      <c r="AE24" s="59">
        <v>5.1399999999999999E-6</v>
      </c>
      <c r="AF24" s="59">
        <v>876.1146</v>
      </c>
      <c r="AG24" s="59">
        <v>16</v>
      </c>
      <c r="AH24" s="59">
        <v>475.25979999999998</v>
      </c>
      <c r="AI24" s="59">
        <v>10.9</v>
      </c>
      <c r="AJ24" s="59">
        <v>151.2184</v>
      </c>
      <c r="AK24" s="59">
        <v>5.81</v>
      </c>
      <c r="AL24" s="59">
        <v>74.008939999999996</v>
      </c>
      <c r="AM24" s="59">
        <v>4.17</v>
      </c>
      <c r="AN24" s="60" t="str">
        <v>U 13.5 ppb tail</v>
      </c>
      <c r="AO24" s="60" t="str">
        <v>Analysed on 27 January 2023 at 15:32</v>
      </c>
      <c r="AP24" s="60">
        <v>3491</v>
      </c>
      <c r="AQ24" s="1"/>
      <c r="AR24" s="1">
        <f>Constants!B$25</f>
        <v>2.3944420000000002E-6</v>
      </c>
      <c r="AS24" s="1">
        <f t="shared" si="1"/>
        <v>14.37092</v>
      </c>
      <c r="AT24" s="1">
        <f t="shared" si="2"/>
        <v>9.9999999999999995E-7</v>
      </c>
      <c r="AU24" s="1">
        <f t="shared" si="18"/>
        <v>307.93830320195775</v>
      </c>
      <c r="AV24" s="1">
        <f t="shared" si="3"/>
        <v>0.1024289137528207</v>
      </c>
      <c r="AW24" s="1">
        <f t="shared" si="19"/>
        <v>167.04521281109538</v>
      </c>
      <c r="AX24" s="1">
        <f t="shared" si="4"/>
        <v>38847.64</v>
      </c>
      <c r="AY24">
        <f t="shared" si="26"/>
        <v>94.484844734372544</v>
      </c>
      <c r="AZ24" s="1">
        <f t="shared" si="5"/>
        <v>-4.9157489782615748E-7</v>
      </c>
      <c r="BA24" s="1">
        <f t="shared" si="20"/>
        <v>79.494910734361312</v>
      </c>
      <c r="BB24" s="1">
        <f t="shared" si="6"/>
        <v>-19.994318456181389</v>
      </c>
      <c r="BC24" s="1">
        <f t="shared" si="21"/>
        <v>94.003258456181385</v>
      </c>
      <c r="BD24">
        <f t="shared" si="7"/>
        <v>1.5084782640599681</v>
      </c>
      <c r="BE24" s="1"/>
      <c r="BF24" s="32">
        <f t="shared" si="8"/>
        <v>1.0533870137075886E-7</v>
      </c>
      <c r="BG24" s="1">
        <f t="shared" si="9"/>
        <v>2.4321900824444561E-3</v>
      </c>
      <c r="BH24" s="1">
        <f t="shared" si="10"/>
        <v>2.4321900824444563E-4</v>
      </c>
      <c r="BI24" s="1">
        <f t="shared" si="11"/>
        <v>2.6128943216387581E-5</v>
      </c>
      <c r="BJ24" s="1">
        <f t="shared" si="12"/>
        <v>2.6128943216387582E-6</v>
      </c>
      <c r="BK24" s="1"/>
      <c r="BL24" s="1"/>
      <c r="BM24" s="1"/>
      <c r="BN24" s="1"/>
      <c r="BO24" s="1">
        <f t="shared" si="27"/>
        <v>140.30506602310308</v>
      </c>
      <c r="BP24" s="33">
        <f t="shared" si="28"/>
        <v>1.1506142518406225E-2</v>
      </c>
      <c r="BQ24" s="1"/>
      <c r="BR24" s="1"/>
      <c r="BS24" s="1">
        <f t="shared" si="29"/>
        <v>23148.621848482133</v>
      </c>
      <c r="BT24" s="1">
        <f t="shared" si="30"/>
        <v>17.571541664664959</v>
      </c>
      <c r="BU24" s="1"/>
      <c r="BV24" s="1"/>
      <c r="BW24" s="1"/>
      <c r="BX24" s="1"/>
      <c r="BY24" s="1"/>
      <c r="BZ24" s="1"/>
      <c r="CA24" s="1"/>
      <c r="CB24" s="1"/>
      <c r="CC24">
        <f>(Constants!$C$18/BO24)^(1/LN(Constants!$B$2/Constants!$B$4))</f>
        <v>0.24642180619313558</v>
      </c>
      <c r="CD24">
        <f>ABS((Constants!$C$18/BO24)^(1/LN(Constants!$B$2/Constants!$B$4))-(Constants!$C$18/(BO24+BP24))^(1/LN(Constants!$B$2/Constants!$B$4)))</f>
        <v>1.5845885871897392E-3</v>
      </c>
      <c r="CK24">
        <f>BS24*$CC24^(LN(Constants!$B$2/Constants!$B$5))</f>
        <v>22604.297704395285</v>
      </c>
      <c r="CL24" s="33">
        <f>CK24*SQRT((BT24/BS24)^2+((BS24*($CC24+$CD24)^(LN(Constants!$B$2/Constants!$B$5))-CK24)/CK24)^2)</f>
        <v>17.334020633150942</v>
      </c>
    </row>
    <row r="25" spans="1:109">
      <c r="A25" s="66">
        <f>X25</f>
        <v>0</v>
      </c>
      <c r="B25" t="str">
        <f>IF(NOT(ISBLANK($J25)),IF($T25&lt;Constants!$B$32,"low spike","OK"),"")</f>
        <v/>
      </c>
      <c r="C25" t="str">
        <f>IF(NOT(ISBLANK($J25)), IF((ABS($L24-$L26)/$L24)&gt;Constants!$B$33,"variable mass bias","OK"), "")</f>
        <v/>
      </c>
      <c r="D25" t="str">
        <f>IF(NOT(ISBLANK($J25)), IF((ABS($P24-$P26)/$P24)&gt;Constants!$B$34,"variable IC yield","OK"),"")</f>
        <v/>
      </c>
      <c r="E25" s="34" t="e">
        <f>CE25</f>
        <v>#DIV/0!</v>
      </c>
      <c r="F25" s="34" t="e">
        <f>CF25</f>
        <v>#DIV/0!</v>
      </c>
      <c r="G25" s="34" t="e">
        <f>CM25</f>
        <v>#DIV/0!</v>
      </c>
      <c r="H25" s="47" t="e">
        <f>CN25</f>
        <v>#DIV/0!</v>
      </c>
      <c r="I25" s="33"/>
      <c r="J25" s="59"/>
      <c r="K25" s="59"/>
      <c r="L25" s="59"/>
      <c r="M25" s="59"/>
      <c r="N25" s="59"/>
      <c r="O25" s="59"/>
      <c r="P25" s="59"/>
      <c r="Q25" s="59"/>
      <c r="R25" s="59"/>
      <c r="S25" s="59"/>
      <c r="T25" s="59"/>
      <c r="U25" s="59"/>
      <c r="V25" s="59"/>
      <c r="W25" s="59"/>
      <c r="X25" s="60"/>
      <c r="Y25" s="60"/>
      <c r="Z25" s="60"/>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2.3944420000000002E-6</v>
      </c>
      <c r="AS25" s="1">
        <f>R25</f>
        <v>0</v>
      </c>
      <c r="AT25" s="1">
        <f>MAX(0.000001,T25)</f>
        <v>9.9999999999999995E-7</v>
      </c>
      <c r="AU25" s="1" t="e">
        <f t="shared" si="18"/>
        <v>#DIV/0!</v>
      </c>
      <c r="AV25" s="1" t="e">
        <f>AS25/L25</f>
        <v>#DIV/0!</v>
      </c>
      <c r="AW25" s="1" t="e">
        <f t="shared" si="19"/>
        <v>#DIV/0!</v>
      </c>
      <c r="AX25" s="1">
        <f>V25</f>
        <v>0</v>
      </c>
      <c r="AY25" t="e">
        <f t="shared" si="26"/>
        <v>#DIV/0!</v>
      </c>
      <c r="AZ25" s="1" t="e">
        <f>AT25/N25</f>
        <v>#DIV/0!</v>
      </c>
      <c r="BA25" s="1" t="e">
        <f t="shared" si="20"/>
        <v>#DIV/0!</v>
      </c>
      <c r="BB25" s="1" t="e">
        <f>AL25-BC25</f>
        <v>#DIV/0!</v>
      </c>
      <c r="BC25" s="1" t="e">
        <f t="shared" si="17"/>
        <v>#DIV/0!</v>
      </c>
      <c r="BD25" t="e">
        <f>(LN(AF25)-LN(AH25))/(LN(238-236.5))</f>
        <v>#DIV/0!</v>
      </c>
      <c r="BF25" s="32"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3" t="e">
        <f>SQRT((K25/(1-BK25))^2+(BL25*J25/(1-BK25)^2)^2)</f>
        <v>#DIV/0!</v>
      </c>
      <c r="BO25" s="1" t="e">
        <f>L25/(1-AW25/62415093/AV25)</f>
        <v>#DIV/0!</v>
      </c>
      <c r="BP25" s="33"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3" t="e">
        <f>BW25*SQRT((BN25/BM25)^2+(((BM25*($BU25+$BV25)^LN(Constants!$B$2/Constants!$B$3))-BW25)/BW25)^2)</f>
        <v>#DIV/0!</v>
      </c>
      <c r="BY25" t="e">
        <f>BO25*BU25^(LN(Constants!$B$2/Constants!$B$4))</f>
        <v>#DIV/0!</v>
      </c>
      <c r="BZ25" s="33" t="e">
        <f>BY25*SQRT((BP25/BO25)^2+(((BO25*($BU25+$BV25)^LN(Constants!$B$2/Constants!$B$4))-BY25)/BY25)^2)</f>
        <v>#DIV/0!</v>
      </c>
      <c r="CA25" t="e">
        <f>BS25*BU25^(LN(Constants!$B$2/Constants!$B$5))</f>
        <v>#DIV/0!</v>
      </c>
      <c r="CB25" s="33"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3" t="e">
        <f>CE25*SQRT((BN25/BM25)^2+(($BM25*($CC25+$CD25)^(LN(Constants!$B$2/Constants!$B$3))-CE25)/CE25)^2)</f>
        <v>#DIV/0!</v>
      </c>
      <c r="CG25" t="e">
        <f>BO25*CC25^(LN(Constants!$B$2/Constants!$B$4))</f>
        <v>#DIV/0!</v>
      </c>
      <c r="CH25" s="33" t="e">
        <f>CG25*SQRT((BP25/BO25)^2+((BO25*($CC25+$CD25)^(LN(Constants!$B$2/Constants!$B$4))-CG25)/CG25)^2)</f>
        <v>#DIV/0!</v>
      </c>
      <c r="CI25" t="e">
        <f>BQ25*$CC25^(LN(Constants!$B$3/Constants!$B$6))</f>
        <v>#DIV/0!</v>
      </c>
      <c r="CJ25" s="33" t="e">
        <f>CI25*SQRT((BR25/BQ25)^2+((BQ25*($CC25+$CD25)^(LN(Constants!$B$3/Constants!$B$6))-CI25)/CI25)^2)</f>
        <v>#DIV/0!</v>
      </c>
      <c r="CK25" t="e">
        <f>BS25*CC25^(LN(Constants!$B$2/Constants!$B$5))</f>
        <v>#DIV/0!</v>
      </c>
      <c r="CL25" s="33"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75" t="e">
        <f>$CQ25/$CS25</f>
        <v>#DIV/0!</v>
      </c>
      <c r="CZ25" s="75" t="e">
        <f>$CR25/$CS25-$CY25</f>
        <v>#DIV/0!</v>
      </c>
      <c r="DA25" s="75" t="e">
        <f>$CS25/$CS25-$CZ25-$CY25</f>
        <v>#DIV/0!</v>
      </c>
      <c r="DB25" s="75" t="e">
        <f>$CT25/$CW25</f>
        <v>#DIV/0!</v>
      </c>
      <c r="DC25" s="75" t="e">
        <f>$CU25/$CW25-$DB25</f>
        <v>#DIV/0!</v>
      </c>
      <c r="DD25" s="75" t="e">
        <f>$CV25/$CW25-$DC25-$DB25</f>
        <v>#DIV/0!</v>
      </c>
      <c r="DE25" s="75" t="e">
        <f>$CW25/$CW25-$DD25-$DC25-$DB25</f>
        <v>#DIV/0!</v>
      </c>
    </row>
    <row r="26" spans="1:109">
      <c r="A26" s="66">
        <f t="shared" si="0"/>
        <v>0</v>
      </c>
      <c r="B26" s="66"/>
      <c r="C26" s="66"/>
      <c r="J26" s="59"/>
      <c r="K26" s="59"/>
      <c r="L26" s="59"/>
      <c r="M26" s="59"/>
      <c r="N26" s="59"/>
      <c r="O26" s="59"/>
      <c r="P26" s="59"/>
      <c r="Q26" s="59"/>
      <c r="R26" s="59"/>
      <c r="S26" s="59"/>
      <c r="T26" s="59"/>
      <c r="U26" s="59"/>
      <c r="V26" s="59"/>
      <c r="W26" s="59"/>
      <c r="X26" s="60"/>
      <c r="Y26" s="60"/>
      <c r="Z26" s="60"/>
      <c r="AB26" s="59"/>
      <c r="AC26" s="59"/>
      <c r="AD26" s="59"/>
      <c r="AE26" s="59"/>
      <c r="AF26" s="59"/>
      <c r="AG26" s="59"/>
      <c r="AH26" s="59"/>
      <c r="AI26" s="59"/>
      <c r="AJ26" s="59"/>
      <c r="AK26" s="59"/>
      <c r="AL26" s="59"/>
      <c r="AM26" s="59"/>
      <c r="AN26" s="60"/>
      <c r="AO26" s="60"/>
      <c r="AP26" s="60"/>
      <c r="AQ26" s="1"/>
      <c r="AR26" s="1">
        <f>Constants!B$25</f>
        <v>2.3944420000000002E-6</v>
      </c>
      <c r="AS26" s="1">
        <f t="shared" si="1"/>
        <v>0</v>
      </c>
      <c r="AT26" s="1">
        <f t="shared" si="2"/>
        <v>9.9999999999999995E-7</v>
      </c>
      <c r="AU26" s="1" t="e">
        <f t="shared" si="18"/>
        <v>#NUM!</v>
      </c>
      <c r="AV26" s="1" t="e">
        <f t="shared" si="3"/>
        <v>#DIV/0!</v>
      </c>
      <c r="AW26" s="1" t="e">
        <f t="shared" si="19"/>
        <v>#NUM!</v>
      </c>
      <c r="AX26" s="1">
        <f t="shared" si="4"/>
        <v>0</v>
      </c>
      <c r="AY26" t="e">
        <f t="shared" si="26"/>
        <v>#DIV/0!</v>
      </c>
      <c r="AZ26" s="1" t="e">
        <f t="shared" si="5"/>
        <v>#DIV/0!</v>
      </c>
      <c r="BA26" s="1" t="e">
        <f t="shared" si="20"/>
        <v>#NUM!</v>
      </c>
      <c r="BB26" s="1" t="e">
        <f t="shared" si="6"/>
        <v>#NUM!</v>
      </c>
      <c r="BC26" s="1" t="e">
        <f t="shared" si="21"/>
        <v>#NUM!</v>
      </c>
      <c r="BD26" t="e">
        <f t="shared" si="7"/>
        <v>#NUM!</v>
      </c>
      <c r="BE26" s="1"/>
      <c r="BF26" s="32" t="e">
        <f t="shared" si="8"/>
        <v>#DIV/0!</v>
      </c>
      <c r="BG26" s="1" t="e">
        <f t="shared" si="9"/>
        <v>#DIV/0!</v>
      </c>
      <c r="BH26" s="1" t="e">
        <f t="shared" si="10"/>
        <v>#DIV/0!</v>
      </c>
      <c r="BI26" s="1" t="e">
        <f t="shared" si="11"/>
        <v>#NUM!</v>
      </c>
      <c r="BJ26" s="1" t="e">
        <f t="shared" si="12"/>
        <v>#NUM!</v>
      </c>
      <c r="BK26" s="1"/>
      <c r="BL26" s="1"/>
      <c r="BM26" s="1"/>
      <c r="BN26" s="1"/>
      <c r="BO26" s="1" t="e">
        <f t="shared" si="27"/>
        <v>#NUM!</v>
      </c>
      <c r="BP26" s="33"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3" t="e">
        <f>CK26*SQRT((BT26/BS26)^2+((BS26*($CC26+$CD26)^(LN(Constants!$B$2/Constants!$B$5))-CK26)/CK26)^2)</f>
        <v>#DIV/0!</v>
      </c>
    </row>
    <row r="27" spans="1:109">
      <c r="A27" s="66">
        <f>X27</f>
        <v>0</v>
      </c>
      <c r="B27" t="str">
        <f>IF(NOT(ISBLANK($J27)),IF($T27&lt;Constants!$B$32,"low spike","OK"),"")</f>
        <v/>
      </c>
      <c r="C27" t="str">
        <f>IF(NOT(ISBLANK($J27)), IF((ABS($L26-$L28)/$L26)&gt;Constants!$B$33,"variable mass bias","OK"), "")</f>
        <v/>
      </c>
      <c r="D27" t="str">
        <f>IF(NOT(ISBLANK($J27)), IF((ABS($P26-$P28)/$P26)&gt;Constants!$B$34,"variable IC yield","OK"),"")</f>
        <v/>
      </c>
      <c r="E27" s="34" t="e">
        <f>CE27</f>
        <v>#DIV/0!</v>
      </c>
      <c r="F27" s="34" t="e">
        <f>CF27</f>
        <v>#DIV/0!</v>
      </c>
      <c r="G27" s="34" t="e">
        <f>CM27</f>
        <v>#DIV/0!</v>
      </c>
      <c r="H27" s="47" t="e">
        <f>CN27</f>
        <v>#DIV/0!</v>
      </c>
      <c r="I27" s="33"/>
      <c r="J27" s="59"/>
      <c r="K27" s="59"/>
      <c r="L27" s="59"/>
      <c r="M27" s="59"/>
      <c r="N27" s="59"/>
      <c r="O27" s="59"/>
      <c r="P27" s="59"/>
      <c r="Q27" s="59"/>
      <c r="R27" s="59"/>
      <c r="S27" s="59"/>
      <c r="T27" s="59"/>
      <c r="U27" s="59"/>
      <c r="V27" s="59"/>
      <c r="W27" s="59"/>
      <c r="X27" s="60"/>
      <c r="Y27" s="60"/>
      <c r="Z27" s="60"/>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2.3944420000000002E-6</v>
      </c>
      <c r="AS27" s="1">
        <f>R27</f>
        <v>0</v>
      </c>
      <c r="AT27" s="1">
        <f>MAX(0.000001,T27)</f>
        <v>9.9999999999999995E-7</v>
      </c>
      <c r="AU27" s="1" t="e">
        <f t="shared" si="18"/>
        <v>#DIV/0!</v>
      </c>
      <c r="AV27" s="1" t="e">
        <f>AS27/L27</f>
        <v>#DIV/0!</v>
      </c>
      <c r="AW27" s="1" t="e">
        <f t="shared" si="19"/>
        <v>#DIV/0!</v>
      </c>
      <c r="AX27" s="1">
        <f>V27</f>
        <v>0</v>
      </c>
      <c r="AY27" t="e">
        <f t="shared" si="26"/>
        <v>#DIV/0!</v>
      </c>
      <c r="AZ27" s="1" t="e">
        <f>AT27/N27</f>
        <v>#DIV/0!</v>
      </c>
      <c r="BA27" s="1" t="e">
        <f t="shared" si="20"/>
        <v>#DIV/0!</v>
      </c>
      <c r="BB27" s="1" t="e">
        <f>AL27-BC27</f>
        <v>#DIV/0!</v>
      </c>
      <c r="BC27" s="1" t="e">
        <f t="shared" si="17"/>
        <v>#DIV/0!</v>
      </c>
      <c r="BD27" t="e">
        <f>(LN(AF27)-LN(AH27))/(LN(238-236.5))</f>
        <v>#DIV/0!</v>
      </c>
      <c r="BF27" s="32"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3" t="e">
        <f>SQRT((K27/(1-BK27))^2+(BL27*J27/(1-BK27)^2)^2)</f>
        <v>#DIV/0!</v>
      </c>
      <c r="BO27" s="1" t="e">
        <f>L27/(1-AW27/62415093/AV27)</f>
        <v>#DIV/0!</v>
      </c>
      <c r="BP27" s="33"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3" t="e">
        <f>BW27*SQRT((BN27/BM27)^2+(((BM27*($BU27+$BV27)^LN(Constants!$B$2/Constants!$B$3))-BW27)/BW27)^2)</f>
        <v>#DIV/0!</v>
      </c>
      <c r="BY27" t="e">
        <f>BO27*BU27^(LN(Constants!$B$2/Constants!$B$4))</f>
        <v>#DIV/0!</v>
      </c>
      <c r="BZ27" s="33" t="e">
        <f>BY27*SQRT((BP27/BO27)^2+(((BO27*($BU27+$BV27)^LN(Constants!$B$2/Constants!$B$4))-BY27)/BY27)^2)</f>
        <v>#DIV/0!</v>
      </c>
      <c r="CA27" t="e">
        <f>BS27*BU27^(LN(Constants!$B$2/Constants!$B$5))</f>
        <v>#DIV/0!</v>
      </c>
      <c r="CB27" s="33"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3" t="e">
        <f>CE27*SQRT((BN27/BM27)^2+(($BM27*($CC27+$CD27)^(LN(Constants!$B$2/Constants!$B$3))-CE27)/CE27)^2)</f>
        <v>#DIV/0!</v>
      </c>
      <c r="CG27" t="e">
        <f>BO27*CC27^(LN(Constants!$B$2/Constants!$B$4))</f>
        <v>#DIV/0!</v>
      </c>
      <c r="CH27" s="33" t="e">
        <f>CG27*SQRT((BP27/BO27)^2+((BO27*($CC27+$CD27)^(LN(Constants!$B$2/Constants!$B$4))-CG27)/CG27)^2)</f>
        <v>#DIV/0!</v>
      </c>
      <c r="CI27" t="e">
        <f>BQ27*$CC27^(LN(Constants!$B$3/Constants!$B$6))</f>
        <v>#DIV/0!</v>
      </c>
      <c r="CJ27" s="33" t="e">
        <f>CI27*SQRT((BR27/BQ27)^2+((BQ27*($CC27+$CD27)^(LN(Constants!$B$3/Constants!$B$6))-CI27)/CI27)^2)</f>
        <v>#DIV/0!</v>
      </c>
      <c r="CK27" t="e">
        <f>BS27*CC27^(LN(Constants!$B$2/Constants!$B$5))</f>
        <v>#DIV/0!</v>
      </c>
      <c r="CL27" s="33"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75" t="e">
        <f>$CQ27/$CS27</f>
        <v>#DIV/0!</v>
      </c>
      <c r="CZ27" s="75" t="e">
        <f>$CR27/$CS27-$CY27</f>
        <v>#DIV/0!</v>
      </c>
      <c r="DA27" s="75" t="e">
        <f>$CS27/$CS27-$CZ27-$CY27</f>
        <v>#DIV/0!</v>
      </c>
      <c r="DB27" s="75" t="e">
        <f>$CT27/$CW27</f>
        <v>#DIV/0!</v>
      </c>
      <c r="DC27" s="75" t="e">
        <f>$CU27/$CW27-$DB27</f>
        <v>#DIV/0!</v>
      </c>
      <c r="DD27" s="75" t="e">
        <f>$CV27/$CW27-$DC27-$DB27</f>
        <v>#DIV/0!</v>
      </c>
      <c r="DE27" s="75" t="e">
        <f>$CW27/$CW27-$DD27-$DC27-$DB27</f>
        <v>#DIV/0!</v>
      </c>
    </row>
    <row r="28" spans="1:109">
      <c r="A28" s="66">
        <f t="shared" si="0"/>
        <v>0</v>
      </c>
      <c r="B28" s="66"/>
      <c r="C28" s="66"/>
      <c r="J28" s="59"/>
      <c r="K28" s="59"/>
      <c r="L28" s="59"/>
      <c r="M28" s="59"/>
      <c r="N28" s="59"/>
      <c r="O28" s="59"/>
      <c r="P28" s="59"/>
      <c r="Q28" s="59"/>
      <c r="R28" s="59"/>
      <c r="S28" s="59"/>
      <c r="T28" s="59"/>
      <c r="U28" s="59"/>
      <c r="V28" s="59"/>
      <c r="W28" s="59"/>
      <c r="X28" s="60"/>
      <c r="Y28" s="60"/>
      <c r="Z28" s="60"/>
      <c r="AB28" s="59"/>
      <c r="AC28" s="59"/>
      <c r="AD28" s="59"/>
      <c r="AE28" s="59"/>
      <c r="AF28" s="59"/>
      <c r="AG28" s="59"/>
      <c r="AH28" s="59"/>
      <c r="AI28" s="59"/>
      <c r="AJ28" s="59"/>
      <c r="AK28" s="59"/>
      <c r="AL28" s="59"/>
      <c r="AM28" s="59"/>
      <c r="AN28" s="60"/>
      <c r="AO28" s="60"/>
      <c r="AP28" s="60"/>
      <c r="AQ28" s="1"/>
      <c r="AR28" s="1">
        <f>Constants!B$25</f>
        <v>2.3944420000000002E-6</v>
      </c>
      <c r="AS28" s="1">
        <f t="shared" si="1"/>
        <v>0</v>
      </c>
      <c r="AT28" s="1">
        <f t="shared" si="2"/>
        <v>9.9999999999999995E-7</v>
      </c>
      <c r="AU28" s="1" t="e">
        <f t="shared" si="18"/>
        <v>#NUM!</v>
      </c>
      <c r="AV28" s="1" t="e">
        <f t="shared" si="3"/>
        <v>#DIV/0!</v>
      </c>
      <c r="AW28" s="1" t="e">
        <f t="shared" si="19"/>
        <v>#NUM!</v>
      </c>
      <c r="AX28" s="1">
        <f t="shared" si="4"/>
        <v>0</v>
      </c>
      <c r="AY28" t="e">
        <f t="shared" si="26"/>
        <v>#DIV/0!</v>
      </c>
      <c r="AZ28" s="1" t="e">
        <f t="shared" si="5"/>
        <v>#DIV/0!</v>
      </c>
      <c r="BA28" s="1" t="e">
        <f t="shared" si="20"/>
        <v>#NUM!</v>
      </c>
      <c r="BB28" s="1" t="e">
        <f t="shared" si="6"/>
        <v>#NUM!</v>
      </c>
      <c r="BC28" s="1" t="e">
        <f t="shared" si="21"/>
        <v>#NUM!</v>
      </c>
      <c r="BD28" t="e">
        <f t="shared" si="7"/>
        <v>#NUM!</v>
      </c>
      <c r="BE28" s="1"/>
      <c r="BF28" s="32" t="e">
        <f t="shared" si="8"/>
        <v>#DIV/0!</v>
      </c>
      <c r="BG28" s="1" t="e">
        <f t="shared" si="9"/>
        <v>#DIV/0!</v>
      </c>
      <c r="BH28" s="1" t="e">
        <f t="shared" si="10"/>
        <v>#DIV/0!</v>
      </c>
      <c r="BI28" s="1" t="e">
        <f t="shared" si="11"/>
        <v>#NUM!</v>
      </c>
      <c r="BJ28" s="1" t="e">
        <f t="shared" si="12"/>
        <v>#NUM!</v>
      </c>
      <c r="BK28" s="1"/>
      <c r="BL28" s="1"/>
      <c r="BM28" s="1"/>
      <c r="BN28" s="1"/>
      <c r="BO28" s="1" t="e">
        <f t="shared" si="27"/>
        <v>#NUM!</v>
      </c>
      <c r="BP28" s="33"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3" t="e">
        <f>CK28*SQRT((BT28/BS28)^2+((BS28*($CC28+$CD28)^(LN(Constants!$B$2/Constants!$B$5))-CK28)/CK28)^2)</f>
        <v>#DIV/0!</v>
      </c>
      <c r="CR28" s="1"/>
      <c r="CS28" s="1"/>
      <c r="CU28" s="1"/>
      <c r="CV28" s="1"/>
      <c r="CW28" s="1"/>
    </row>
    <row r="29" spans="1:109">
      <c r="A29" s="66">
        <f>X29</f>
        <v>0</v>
      </c>
      <c r="B29" t="str">
        <f>IF(NOT(ISBLANK($J29)),IF($T29&lt;Constants!$B$32,"low spike","OK"),"")</f>
        <v/>
      </c>
      <c r="C29" t="str">
        <f>IF(NOT(ISBLANK($J29)), IF((ABS($L28-$L30)/$L28)&gt;Constants!$B$33,"variable mass bias","OK"), "")</f>
        <v/>
      </c>
      <c r="D29" t="str">
        <f>IF(NOT(ISBLANK($J29)), IF((ABS($P28-$P30)/$P28)&gt;Constants!$B$34,"variable IC yield","OK"),"")</f>
        <v/>
      </c>
      <c r="E29" s="34" t="e">
        <f>CE29</f>
        <v>#DIV/0!</v>
      </c>
      <c r="F29" s="34" t="e">
        <f>CF29</f>
        <v>#DIV/0!</v>
      </c>
      <c r="G29" s="34" t="e">
        <f>CM29</f>
        <v>#DIV/0!</v>
      </c>
      <c r="H29" s="47" t="e">
        <f>CN29</f>
        <v>#DIV/0!</v>
      </c>
      <c r="I29" s="33"/>
      <c r="J29" s="59"/>
      <c r="K29" s="59"/>
      <c r="L29" s="59"/>
      <c r="M29" s="59"/>
      <c r="N29" s="59"/>
      <c r="O29" s="59"/>
      <c r="P29" s="59"/>
      <c r="Q29" s="59"/>
      <c r="R29" s="59"/>
      <c r="S29" s="59"/>
      <c r="T29" s="59"/>
      <c r="U29" s="59"/>
      <c r="V29" s="59"/>
      <c r="W29" s="59"/>
      <c r="X29" s="60"/>
      <c r="Y29" s="60"/>
      <c r="Z29" s="60"/>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2.3944420000000002E-6</v>
      </c>
      <c r="AS29" s="1">
        <f>R29</f>
        <v>0</v>
      </c>
      <c r="AT29" s="1">
        <f>MAX(0.000001,T29)</f>
        <v>9.9999999999999995E-7</v>
      </c>
      <c r="AU29" s="1" t="e">
        <f t="shared" si="18"/>
        <v>#DIV/0!</v>
      </c>
      <c r="AV29" s="1" t="e">
        <f>AS29/L29</f>
        <v>#DIV/0!</v>
      </c>
      <c r="AW29" s="1" t="e">
        <f t="shared" si="19"/>
        <v>#DIV/0!</v>
      </c>
      <c r="AX29" s="1">
        <f>V29</f>
        <v>0</v>
      </c>
      <c r="AY29" t="e">
        <f t="shared" si="26"/>
        <v>#DIV/0!</v>
      </c>
      <c r="AZ29" s="1" t="e">
        <f>AT29/N29</f>
        <v>#DIV/0!</v>
      </c>
      <c r="BA29" s="1" t="e">
        <f t="shared" si="20"/>
        <v>#DIV/0!</v>
      </c>
      <c r="BB29" s="1" t="e">
        <f>AL29-BC29</f>
        <v>#DIV/0!</v>
      </c>
      <c r="BC29" s="1" t="e">
        <f t="shared" si="17"/>
        <v>#DIV/0!</v>
      </c>
      <c r="BD29" t="e">
        <f>(LN(AF29)-LN(AH29))/(LN(238-236.5))</f>
        <v>#DIV/0!</v>
      </c>
      <c r="BF29" s="32"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3" t="e">
        <f>SQRT((K29/(1-BK29))^2+(BL29*J29/(1-BK29)^2)^2)</f>
        <v>#DIV/0!</v>
      </c>
      <c r="BO29" s="1" t="e">
        <f>L29/(1-AW29/62415093/AV29)</f>
        <v>#DIV/0!</v>
      </c>
      <c r="BP29" s="33"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3" t="e">
        <f>BW29*SQRT((BN29/BM29)^2+(((BM29*($BU29+$BV29)^LN(Constants!$B$2/Constants!$B$3))-BW29)/BW29)^2)</f>
        <v>#DIV/0!</v>
      </c>
      <c r="BY29" t="e">
        <f>BO29*BU29^(LN(Constants!$B$2/Constants!$B$4))</f>
        <v>#DIV/0!</v>
      </c>
      <c r="BZ29" s="33" t="e">
        <f>BY29*SQRT((BP29/BO29)^2+(((BO29*($BU29+$BV29)^LN(Constants!$B$2/Constants!$B$4))-BY29)/BY29)^2)</f>
        <v>#DIV/0!</v>
      </c>
      <c r="CA29" t="e">
        <f>BS29*BU29^(LN(Constants!$B$2/Constants!$B$5))</f>
        <v>#DIV/0!</v>
      </c>
      <c r="CB29" s="33"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3" t="e">
        <f>CE29*SQRT((BN29/BM29)^2+(($BM29*($CC29+$CD29)^(LN(Constants!$B$2/Constants!$B$3))-CE29)/CE29)^2)</f>
        <v>#DIV/0!</v>
      </c>
      <c r="CG29" t="e">
        <f>BO29*CC29^(LN(Constants!$B$2/Constants!$B$4))</f>
        <v>#DIV/0!</v>
      </c>
      <c r="CH29" s="33" t="e">
        <f>CG29*SQRT((BP29/BO29)^2+((BO29*($CC29+$CD29)^(LN(Constants!$B$2/Constants!$B$4))-CG29)/CG29)^2)</f>
        <v>#DIV/0!</v>
      </c>
      <c r="CI29" t="e">
        <f>BQ29*$CC29^(LN(Constants!$B$3/Constants!$B$6))</f>
        <v>#DIV/0!</v>
      </c>
      <c r="CJ29" s="33" t="e">
        <f>CI29*SQRT((BR29/BQ29)^2+((BQ29*($CC29+$CD29)^(LN(Constants!$B$3/Constants!$B$6))-CI29)/CI29)^2)</f>
        <v>#DIV/0!</v>
      </c>
      <c r="CK29" t="e">
        <f>BS29*CC29^(LN(Constants!$B$2/Constants!$B$5))</f>
        <v>#DIV/0!</v>
      </c>
      <c r="CL29" s="33"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75" t="e">
        <f>$CQ29/$CS29</f>
        <v>#DIV/0!</v>
      </c>
      <c r="CZ29" s="75" t="e">
        <f>$CR29/$CS29-$CY29</f>
        <v>#DIV/0!</v>
      </c>
      <c r="DA29" s="75" t="e">
        <f>$CS29/$CS29-$CZ29-$CY29</f>
        <v>#DIV/0!</v>
      </c>
      <c r="DB29" s="75" t="e">
        <f>$CT29/$CW29</f>
        <v>#DIV/0!</v>
      </c>
      <c r="DC29" s="75" t="e">
        <f>$CU29/$CW29-$DB29</f>
        <v>#DIV/0!</v>
      </c>
      <c r="DD29" s="75" t="e">
        <f>$CV29/$CW29-$DC29-$DB29</f>
        <v>#DIV/0!</v>
      </c>
      <c r="DE29" s="75" t="e">
        <f>$CW29/$CW29-$DD29-$DC29-$DB29</f>
        <v>#DIV/0!</v>
      </c>
    </row>
    <row r="30" spans="1:109">
      <c r="A30" s="66">
        <f t="shared" si="0"/>
        <v>0</v>
      </c>
      <c r="B30" s="66"/>
      <c r="C30" s="66"/>
      <c r="J30" s="59"/>
      <c r="K30" s="59"/>
      <c r="L30" s="59"/>
      <c r="M30" s="59"/>
      <c r="N30" s="59"/>
      <c r="O30" s="59"/>
      <c r="P30" s="59"/>
      <c r="Q30" s="59"/>
      <c r="R30" s="59"/>
      <c r="S30" s="59"/>
      <c r="T30" s="59"/>
      <c r="U30" s="59"/>
      <c r="V30" s="59"/>
      <c r="W30" s="59"/>
      <c r="X30" s="60"/>
      <c r="Y30" s="60"/>
      <c r="Z30" s="60"/>
      <c r="AB30" s="59"/>
      <c r="AC30" s="59"/>
      <c r="AD30" s="59"/>
      <c r="AE30" s="59"/>
      <c r="AF30" s="59"/>
      <c r="AG30" s="59"/>
      <c r="AH30" s="59"/>
      <c r="AI30" s="59"/>
      <c r="AJ30" s="59"/>
      <c r="AK30" s="59"/>
      <c r="AL30" s="59"/>
      <c r="AM30" s="59"/>
      <c r="AN30" s="60"/>
      <c r="AO30" s="60"/>
      <c r="AP30" s="60"/>
      <c r="AQ30" s="1"/>
      <c r="AR30" s="1">
        <f>Constants!B$25</f>
        <v>2.3944420000000002E-6</v>
      </c>
      <c r="AS30" s="1">
        <f t="shared" si="1"/>
        <v>0</v>
      </c>
      <c r="AT30" s="1">
        <f t="shared" si="2"/>
        <v>9.9999999999999995E-7</v>
      </c>
      <c r="AU30" s="1" t="e">
        <f t="shared" si="18"/>
        <v>#NUM!</v>
      </c>
      <c r="AV30" s="1" t="e">
        <f t="shared" si="3"/>
        <v>#DIV/0!</v>
      </c>
      <c r="AW30" s="1" t="e">
        <f t="shared" si="19"/>
        <v>#NUM!</v>
      </c>
      <c r="AX30" s="1">
        <f t="shared" si="4"/>
        <v>0</v>
      </c>
      <c r="AY30" t="e">
        <f t="shared" si="26"/>
        <v>#DIV/0!</v>
      </c>
      <c r="AZ30" s="1" t="e">
        <f t="shared" si="5"/>
        <v>#DIV/0!</v>
      </c>
      <c r="BA30" s="1" t="e">
        <f t="shared" si="20"/>
        <v>#NUM!</v>
      </c>
      <c r="BB30" s="1" t="e">
        <f t="shared" si="6"/>
        <v>#NUM!</v>
      </c>
      <c r="BC30" s="1" t="e">
        <f t="shared" si="21"/>
        <v>#NUM!</v>
      </c>
      <c r="BD30" t="e">
        <f t="shared" si="7"/>
        <v>#NUM!</v>
      </c>
      <c r="BE30" s="1"/>
      <c r="BF30" s="32" t="e">
        <f t="shared" si="8"/>
        <v>#DIV/0!</v>
      </c>
      <c r="BG30" s="1" t="e">
        <f t="shared" si="9"/>
        <v>#DIV/0!</v>
      </c>
      <c r="BH30" s="1" t="e">
        <f t="shared" si="10"/>
        <v>#DIV/0!</v>
      </c>
      <c r="BI30" s="1" t="e">
        <f t="shared" si="11"/>
        <v>#NUM!</v>
      </c>
      <c r="BJ30" s="1" t="e">
        <f t="shared" si="12"/>
        <v>#NUM!</v>
      </c>
      <c r="BK30" s="1"/>
      <c r="BL30" s="1"/>
      <c r="BM30" s="1"/>
      <c r="BN30" s="1"/>
      <c r="BO30" s="1" t="e">
        <f t="shared" si="27"/>
        <v>#NUM!</v>
      </c>
      <c r="BP30" s="33"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3" t="e">
        <f>CK30*SQRT((BT30/BS30)^2+((BS30*($CC30+$CD30)^(LN(Constants!$B$2/Constants!$B$5))-CK30)/CK30)^2)</f>
        <v>#DIV/0!</v>
      </c>
    </row>
    <row r="31" spans="1:109">
      <c r="A31" s="66">
        <f>X31</f>
        <v>0</v>
      </c>
      <c r="B31" t="str">
        <f>IF(NOT(ISBLANK($J31)),IF($T31&lt;Constants!$B$32,"low spike","OK"),"")</f>
        <v/>
      </c>
      <c r="C31" t="str">
        <f>IF(NOT(ISBLANK($J31)), IF((ABS($L30-$L32)/$L30)&gt;Constants!$B$33,"variable mass bias","OK"), "")</f>
        <v/>
      </c>
      <c r="D31" t="str">
        <f>IF(NOT(ISBLANK($J31)), IF((ABS($P30-$P32)/$P30)&gt;Constants!$B$34,"variable IC yield","OK"),"")</f>
        <v/>
      </c>
      <c r="E31" s="34" t="e">
        <f>CE31</f>
        <v>#DIV/0!</v>
      </c>
      <c r="F31" s="34" t="e">
        <f>CF31</f>
        <v>#DIV/0!</v>
      </c>
      <c r="G31" s="34" t="e">
        <f>CM31</f>
        <v>#DIV/0!</v>
      </c>
      <c r="H31" s="47" t="e">
        <f>CN31</f>
        <v>#DIV/0!</v>
      </c>
      <c r="I31" s="33"/>
      <c r="J31" s="59"/>
      <c r="K31" s="59"/>
      <c r="L31" s="59"/>
      <c r="M31" s="59"/>
      <c r="N31" s="59"/>
      <c r="O31" s="59"/>
      <c r="P31" s="59"/>
      <c r="Q31" s="59"/>
      <c r="R31" s="59"/>
      <c r="S31" s="59"/>
      <c r="T31" s="59"/>
      <c r="U31" s="59"/>
      <c r="V31" s="59"/>
      <c r="W31" s="59"/>
      <c r="X31" s="60"/>
      <c r="Y31" s="60"/>
      <c r="Z31" s="60"/>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2.3944420000000002E-6</v>
      </c>
      <c r="AS31" s="1">
        <f>R31</f>
        <v>0</v>
      </c>
      <c r="AT31" s="1">
        <f>MAX(0.000001,T31)</f>
        <v>9.9999999999999995E-7</v>
      </c>
      <c r="AU31" s="1" t="e">
        <f t="shared" si="18"/>
        <v>#DIV/0!</v>
      </c>
      <c r="AV31" s="1" t="e">
        <f>AS31/L31</f>
        <v>#DIV/0!</v>
      </c>
      <c r="AW31" s="1" t="e">
        <f t="shared" si="19"/>
        <v>#DIV/0!</v>
      </c>
      <c r="AX31" s="1">
        <f>V31</f>
        <v>0</v>
      </c>
      <c r="AY31" t="e">
        <f t="shared" si="26"/>
        <v>#DIV/0!</v>
      </c>
      <c r="AZ31" s="1" t="e">
        <f>AT31/N31</f>
        <v>#DIV/0!</v>
      </c>
      <c r="BA31" s="1" t="e">
        <f t="shared" si="20"/>
        <v>#DIV/0!</v>
      </c>
      <c r="BB31" s="1" t="e">
        <f>AL31-BC31</f>
        <v>#DIV/0!</v>
      </c>
      <c r="BC31" s="1" t="e">
        <f t="shared" si="17"/>
        <v>#DIV/0!</v>
      </c>
      <c r="BD31" t="e">
        <f>(LN(AF31)-LN(AH31))/(LN(238-236.5))</f>
        <v>#DIV/0!</v>
      </c>
      <c r="BF31" s="32"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3" t="e">
        <f>SQRT((K31/(1-BK31))^2+(BL31*J31/(1-BK31)^2)^2)</f>
        <v>#DIV/0!</v>
      </c>
      <c r="BO31" s="1" t="e">
        <f>L31/(1-AW31/62415093/AV31)</f>
        <v>#DIV/0!</v>
      </c>
      <c r="BP31" s="33"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3" t="e">
        <f>BW31*SQRT((BN31/BM31)^2+(((BM31*($BU31+$BV31)^LN(Constants!$B$2/Constants!$B$3))-BW31)/BW31)^2)</f>
        <v>#DIV/0!</v>
      </c>
      <c r="BY31" t="e">
        <f>BO31*BU31^(LN(Constants!$B$2/Constants!$B$4))</f>
        <v>#DIV/0!</v>
      </c>
      <c r="BZ31" s="33" t="e">
        <f>BY31*SQRT((BP31/BO31)^2+(((BO31*($BU31+$BV31)^LN(Constants!$B$2/Constants!$B$4))-BY31)/BY31)^2)</f>
        <v>#DIV/0!</v>
      </c>
      <c r="CA31" t="e">
        <f>BS31*BU31^(LN(Constants!$B$2/Constants!$B$5))</f>
        <v>#DIV/0!</v>
      </c>
      <c r="CB31" s="33"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3" t="e">
        <f>CE31*SQRT((BN31/BM31)^2+(($BM31*($CC31+$CD31)^(LN(Constants!$B$2/Constants!$B$3))-CE31)/CE31)^2)</f>
        <v>#DIV/0!</v>
      </c>
      <c r="CG31" t="e">
        <f>BO31*CC31^(LN(Constants!$B$2/Constants!$B$4))</f>
        <v>#DIV/0!</v>
      </c>
      <c r="CH31" s="33" t="e">
        <f>CG31*SQRT((BP31/BO31)^2+((BO31*($CC31+$CD31)^(LN(Constants!$B$2/Constants!$B$4))-CG31)/CG31)^2)</f>
        <v>#DIV/0!</v>
      </c>
      <c r="CI31" t="e">
        <f>BQ31*$CC31^(LN(Constants!$B$3/Constants!$B$6))</f>
        <v>#DIV/0!</v>
      </c>
      <c r="CJ31" s="33" t="e">
        <f>CI31*SQRT((BR31/BQ31)^2+((BQ31*($CC31+$CD31)^(LN(Constants!$B$3/Constants!$B$6))-CI31)/CI31)^2)</f>
        <v>#DIV/0!</v>
      </c>
      <c r="CK31" t="e">
        <f>BS31*CC31^(LN(Constants!$B$2/Constants!$B$5))</f>
        <v>#DIV/0!</v>
      </c>
      <c r="CL31" s="33"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75" t="e">
        <f>$CQ31/$CS31</f>
        <v>#DIV/0!</v>
      </c>
      <c r="CZ31" s="75" t="e">
        <f>$CR31/$CS31-$CY31</f>
        <v>#DIV/0!</v>
      </c>
      <c r="DA31" s="75" t="e">
        <f>$CS31/$CS31-$CZ31-$CY31</f>
        <v>#DIV/0!</v>
      </c>
      <c r="DB31" s="75" t="e">
        <f>$CT31/$CW31</f>
        <v>#DIV/0!</v>
      </c>
      <c r="DC31" s="75" t="e">
        <f>$CU31/$CW31-$DB31</f>
        <v>#DIV/0!</v>
      </c>
      <c r="DD31" s="75" t="e">
        <f>$CV31/$CW31-$DC31-$DB31</f>
        <v>#DIV/0!</v>
      </c>
      <c r="DE31" s="75" t="e">
        <f>$CW31/$CW31-$DD31-$DC31-$DB31</f>
        <v>#DIV/0!</v>
      </c>
    </row>
    <row r="32" spans="1:109">
      <c r="A32" s="66">
        <f t="shared" si="0"/>
        <v>0</v>
      </c>
      <c r="B32" s="66"/>
      <c r="C32" s="66"/>
      <c r="J32" s="59"/>
      <c r="K32" s="59"/>
      <c r="L32" s="59"/>
      <c r="M32" s="59"/>
      <c r="N32" s="59"/>
      <c r="O32" s="59"/>
      <c r="P32" s="59"/>
      <c r="Q32" s="59"/>
      <c r="R32" s="59"/>
      <c r="S32" s="59"/>
      <c r="T32" s="59"/>
      <c r="U32" s="59"/>
      <c r="V32" s="59"/>
      <c r="W32" s="59"/>
      <c r="X32" s="60"/>
      <c r="Y32" s="60"/>
      <c r="Z32" s="60"/>
      <c r="AB32" s="59"/>
      <c r="AC32" s="59"/>
      <c r="AD32" s="59"/>
      <c r="AE32" s="59"/>
      <c r="AF32" s="59"/>
      <c r="AG32" s="59"/>
      <c r="AH32" s="59"/>
      <c r="AI32" s="59"/>
      <c r="AJ32" s="59"/>
      <c r="AK32" s="59"/>
      <c r="AL32" s="59"/>
      <c r="AM32" s="59"/>
      <c r="AN32" s="60"/>
      <c r="AO32" s="60"/>
      <c r="AP32" s="60"/>
      <c r="AQ32" s="1"/>
      <c r="AR32" s="1">
        <f>Constants!B$25</f>
        <v>2.3944420000000002E-6</v>
      </c>
      <c r="AS32" s="1">
        <f t="shared" si="1"/>
        <v>0</v>
      </c>
      <c r="AT32" s="1">
        <f t="shared" si="2"/>
        <v>9.9999999999999995E-7</v>
      </c>
      <c r="AU32" s="1" t="e">
        <f t="shared" si="18"/>
        <v>#NUM!</v>
      </c>
      <c r="AV32" s="1" t="e">
        <f t="shared" si="3"/>
        <v>#DIV/0!</v>
      </c>
      <c r="AW32" s="1" t="e">
        <f t="shared" si="19"/>
        <v>#NUM!</v>
      </c>
      <c r="AX32" s="1">
        <f t="shared" si="4"/>
        <v>0</v>
      </c>
      <c r="AY32" t="e">
        <f t="shared" si="26"/>
        <v>#DIV/0!</v>
      </c>
      <c r="AZ32" s="1" t="e">
        <f t="shared" si="5"/>
        <v>#DIV/0!</v>
      </c>
      <c r="BA32" s="1" t="e">
        <f t="shared" si="20"/>
        <v>#NUM!</v>
      </c>
      <c r="BB32" s="1" t="e">
        <f t="shared" si="6"/>
        <v>#NUM!</v>
      </c>
      <c r="BC32" s="1" t="e">
        <f t="shared" si="21"/>
        <v>#NUM!</v>
      </c>
      <c r="BD32" t="e">
        <f t="shared" si="7"/>
        <v>#NUM!</v>
      </c>
      <c r="BE32" s="1"/>
      <c r="BF32" s="32" t="e">
        <f t="shared" si="8"/>
        <v>#DIV/0!</v>
      </c>
      <c r="BG32" s="1" t="e">
        <f t="shared" si="9"/>
        <v>#DIV/0!</v>
      </c>
      <c r="BH32" s="1" t="e">
        <f t="shared" si="10"/>
        <v>#DIV/0!</v>
      </c>
      <c r="BI32" s="1" t="e">
        <f t="shared" si="11"/>
        <v>#NUM!</v>
      </c>
      <c r="BJ32" s="1" t="e">
        <f t="shared" si="12"/>
        <v>#NUM!</v>
      </c>
      <c r="BK32" s="1"/>
      <c r="BL32" s="1"/>
      <c r="BM32" s="1"/>
      <c r="BN32" s="1"/>
      <c r="BO32" s="1" t="e">
        <f t="shared" si="27"/>
        <v>#NUM!</v>
      </c>
      <c r="BP32" s="33"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3" t="e">
        <f>CK32*SQRT((BT32/BS32)^2+((BS32*($CC32+$CD32)^(LN(Constants!$B$2/Constants!$B$5))-CK32)/CK32)^2)</f>
        <v>#DIV/0!</v>
      </c>
    </row>
    <row r="33" spans="1:109">
      <c r="A33" s="66">
        <f>X33</f>
        <v>0</v>
      </c>
      <c r="B33" t="str">
        <f>IF(NOT(ISBLANK($J33)),IF($T33&lt;Constants!$B$32,"low spike","OK"),"")</f>
        <v/>
      </c>
      <c r="C33" t="str">
        <f>IF(NOT(ISBLANK($J33)), IF((ABS($L32-$L34)/$L32)&gt;Constants!$B$33,"variable mass bias","OK"), "")</f>
        <v/>
      </c>
      <c r="D33" t="str">
        <f>IF(NOT(ISBLANK($J33)), IF((ABS($P32-$P34)/$P32)&gt;Constants!$B$34,"variable IC yield","OK"),"")</f>
        <v/>
      </c>
      <c r="E33" s="34" t="e">
        <f>CE33</f>
        <v>#DIV/0!</v>
      </c>
      <c r="F33" s="34" t="e">
        <f>CF33</f>
        <v>#DIV/0!</v>
      </c>
      <c r="G33" s="34" t="e">
        <f>CM33</f>
        <v>#DIV/0!</v>
      </c>
      <c r="H33" s="47" t="e">
        <f>CN33</f>
        <v>#DIV/0!</v>
      </c>
      <c r="I33" s="33"/>
      <c r="J33" s="59"/>
      <c r="K33" s="59"/>
      <c r="L33" s="59"/>
      <c r="M33" s="59"/>
      <c r="N33" s="59"/>
      <c r="O33" s="59"/>
      <c r="P33" s="59"/>
      <c r="Q33" s="59"/>
      <c r="R33" s="59"/>
      <c r="S33" s="59"/>
      <c r="T33" s="59"/>
      <c r="U33" s="59"/>
      <c r="V33" s="59"/>
      <c r="W33" s="59"/>
      <c r="X33" s="60"/>
      <c r="Y33" s="60"/>
      <c r="Z33" s="60"/>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2.3944420000000002E-6</v>
      </c>
      <c r="AS33" s="1">
        <f>R33</f>
        <v>0</v>
      </c>
      <c r="AT33" s="1">
        <f>MAX(0.000001,T33)</f>
        <v>9.9999999999999995E-7</v>
      </c>
      <c r="AU33" s="1" t="e">
        <f t="shared" si="18"/>
        <v>#DIV/0!</v>
      </c>
      <c r="AV33" s="1" t="e">
        <f>AS33/L33</f>
        <v>#DIV/0!</v>
      </c>
      <c r="AW33" s="1" t="e">
        <f t="shared" si="19"/>
        <v>#DIV/0!</v>
      </c>
      <c r="AX33" s="1">
        <f>V33</f>
        <v>0</v>
      </c>
      <c r="AY33" t="e">
        <f t="shared" si="26"/>
        <v>#DIV/0!</v>
      </c>
      <c r="AZ33" s="1" t="e">
        <f>AT33/N33</f>
        <v>#DIV/0!</v>
      </c>
      <c r="BA33" s="1" t="e">
        <f t="shared" si="20"/>
        <v>#DIV/0!</v>
      </c>
      <c r="BB33" s="1" t="e">
        <f>AL33-BC33</f>
        <v>#DIV/0!</v>
      </c>
      <c r="BC33" s="1" t="e">
        <f t="shared" si="17"/>
        <v>#DIV/0!</v>
      </c>
      <c r="BD33" t="e">
        <f>(LN(AF33)-LN(AH33))/(LN(238-236.5))</f>
        <v>#DIV/0!</v>
      </c>
      <c r="BF33" s="32"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3" t="e">
        <f>SQRT((K33/(1-BK33))^2+(BL33*J33/(1-BK33)^2)^2)</f>
        <v>#DIV/0!</v>
      </c>
      <c r="BO33" s="1" t="e">
        <f>L33/(1-AW33/62415093/AV33)</f>
        <v>#DIV/0!</v>
      </c>
      <c r="BP33" s="33"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3" t="e">
        <f>BW33*SQRT((BN33/BM33)^2+(((BM33*($BU33+$BV33)^LN(Constants!$B$2/Constants!$B$3))-BW33)/BW33)^2)</f>
        <v>#DIV/0!</v>
      </c>
      <c r="BY33" t="e">
        <f>BO33*BU33^(LN(Constants!$B$2/Constants!$B$4))</f>
        <v>#DIV/0!</v>
      </c>
      <c r="BZ33" s="33" t="e">
        <f>BY33*SQRT((BP33/BO33)^2+(((BO33*($BU33+$BV33)^LN(Constants!$B$2/Constants!$B$4))-BY33)/BY33)^2)</f>
        <v>#DIV/0!</v>
      </c>
      <c r="CA33" t="e">
        <f>BS33*BU33^(LN(Constants!$B$2/Constants!$B$5))</f>
        <v>#DIV/0!</v>
      </c>
      <c r="CB33" s="33"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3" t="e">
        <f>CE33*SQRT((BN33/BM33)^2+(($BM33*($CC33+$CD33)^(LN(Constants!$B$2/Constants!$B$3))-CE33)/CE33)^2)</f>
        <v>#DIV/0!</v>
      </c>
      <c r="CG33" t="e">
        <f>BO33*CC33^(LN(Constants!$B$2/Constants!$B$4))</f>
        <v>#DIV/0!</v>
      </c>
      <c r="CH33" s="33" t="e">
        <f>CG33*SQRT((BP33/BO33)^2+((BO33*($CC33+$CD33)^(LN(Constants!$B$2/Constants!$B$4))-CG33)/CG33)^2)</f>
        <v>#DIV/0!</v>
      </c>
      <c r="CI33" t="e">
        <f>BQ33*$CC33^(LN(Constants!$B$3/Constants!$B$6))</f>
        <v>#DIV/0!</v>
      </c>
      <c r="CJ33" s="33" t="e">
        <f>CI33*SQRT((BR33/BQ33)^2+((BQ33*($CC33+$CD33)^(LN(Constants!$B$3/Constants!$B$6))-CI33)/CI33)^2)</f>
        <v>#DIV/0!</v>
      </c>
      <c r="CK33" t="e">
        <f>BS33*CC33^(LN(Constants!$B$2/Constants!$B$5))</f>
        <v>#DIV/0!</v>
      </c>
      <c r="CL33" s="33"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75" t="e">
        <f>$CQ33/$CS33</f>
        <v>#DIV/0!</v>
      </c>
      <c r="CZ33" s="75" t="e">
        <f>$CR33/$CS33-$CY33</f>
        <v>#DIV/0!</v>
      </c>
      <c r="DA33" s="75" t="e">
        <f>$CS33/$CS33-$CZ33-$CY33</f>
        <v>#DIV/0!</v>
      </c>
      <c r="DB33" s="75" t="e">
        <f>$CT33/$CW33</f>
        <v>#DIV/0!</v>
      </c>
      <c r="DC33" s="75" t="e">
        <f>$CU33/$CW33-$DB33</f>
        <v>#DIV/0!</v>
      </c>
      <c r="DD33" s="75" t="e">
        <f>$CV33/$CW33-$DC33-$DB33</f>
        <v>#DIV/0!</v>
      </c>
      <c r="DE33" s="75" t="e">
        <f>$CW33/$CW33-$DD33-$DC33-$DB33</f>
        <v>#DIV/0!</v>
      </c>
    </row>
    <row r="34" spans="1:109">
      <c r="A34" s="66">
        <f t="shared" si="0"/>
        <v>0</v>
      </c>
      <c r="B34" s="66"/>
      <c r="C34" s="66"/>
      <c r="J34" s="59"/>
      <c r="K34" s="59"/>
      <c r="L34" s="59"/>
      <c r="M34" s="59"/>
      <c r="N34" s="59"/>
      <c r="O34" s="59"/>
      <c r="P34" s="59"/>
      <c r="Q34" s="59"/>
      <c r="R34" s="59"/>
      <c r="S34" s="59"/>
      <c r="T34" s="59"/>
      <c r="U34" s="59"/>
      <c r="V34" s="59"/>
      <c r="W34" s="59"/>
      <c r="X34" s="60"/>
      <c r="Y34" s="60"/>
      <c r="Z34" s="60"/>
      <c r="AB34" s="59"/>
      <c r="AC34" s="59"/>
      <c r="AD34" s="59"/>
      <c r="AE34" s="59"/>
      <c r="AF34" s="59"/>
      <c r="AG34" s="59"/>
      <c r="AH34" s="59"/>
      <c r="AI34" s="59"/>
      <c r="AJ34" s="59"/>
      <c r="AK34" s="59"/>
      <c r="AL34" s="59"/>
      <c r="AM34" s="59"/>
      <c r="AN34" s="60"/>
      <c r="AO34" s="60"/>
      <c r="AP34" s="60"/>
      <c r="AQ34" s="1"/>
      <c r="AR34" s="1">
        <f>Constants!B$25</f>
        <v>2.3944420000000002E-6</v>
      </c>
      <c r="AS34" s="1">
        <f t="shared" si="1"/>
        <v>0</v>
      </c>
      <c r="AT34" s="1">
        <f t="shared" si="2"/>
        <v>9.9999999999999995E-7</v>
      </c>
      <c r="AU34" s="1" t="e">
        <f t="shared" si="18"/>
        <v>#NUM!</v>
      </c>
      <c r="AV34" s="1" t="e">
        <f t="shared" si="3"/>
        <v>#DIV/0!</v>
      </c>
      <c r="AW34" s="1" t="e">
        <f t="shared" si="19"/>
        <v>#NUM!</v>
      </c>
      <c r="AX34" s="1">
        <f t="shared" si="4"/>
        <v>0</v>
      </c>
      <c r="AY34" t="e">
        <f t="shared" si="26"/>
        <v>#DIV/0!</v>
      </c>
      <c r="AZ34" s="1" t="e">
        <f t="shared" si="5"/>
        <v>#DIV/0!</v>
      </c>
      <c r="BA34" s="1" t="e">
        <f t="shared" si="20"/>
        <v>#NUM!</v>
      </c>
      <c r="BB34" s="1" t="e">
        <f t="shared" si="6"/>
        <v>#NUM!</v>
      </c>
      <c r="BC34" s="1" t="e">
        <f t="shared" si="21"/>
        <v>#NUM!</v>
      </c>
      <c r="BD34" t="e">
        <f t="shared" si="7"/>
        <v>#NUM!</v>
      </c>
      <c r="BE34" s="1"/>
      <c r="BF34" s="32" t="e">
        <f t="shared" si="8"/>
        <v>#DIV/0!</v>
      </c>
      <c r="BG34" s="1" t="e">
        <f t="shared" si="9"/>
        <v>#DIV/0!</v>
      </c>
      <c r="BH34" s="1" t="e">
        <f t="shared" si="10"/>
        <v>#DIV/0!</v>
      </c>
      <c r="BI34" s="1" t="e">
        <f t="shared" si="11"/>
        <v>#NUM!</v>
      </c>
      <c r="BJ34" s="1" t="e">
        <f t="shared" si="12"/>
        <v>#NUM!</v>
      </c>
      <c r="BK34" s="1"/>
      <c r="BL34" s="1"/>
      <c r="BM34" s="1"/>
      <c r="BN34" s="1"/>
      <c r="BO34" s="1" t="e">
        <f t="shared" si="27"/>
        <v>#NUM!</v>
      </c>
      <c r="BP34" s="33"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3" t="e">
        <f>CK34*SQRT((BT34/BS34)^2+((BS34*($CC34+$CD34)^(LN(Constants!$B$2/Constants!$B$5))-CK34)/CK34)^2)</f>
        <v>#DIV/0!</v>
      </c>
    </row>
    <row r="35" spans="1:109">
      <c r="A35" s="66">
        <f>X35</f>
        <v>0</v>
      </c>
      <c r="B35" t="str">
        <f>IF(NOT(ISBLANK($J35)),IF($T35&lt;Constants!$B$32,"low spike","OK"),"")</f>
        <v/>
      </c>
      <c r="C35" t="str">
        <f>IF(NOT(ISBLANK($J35)), IF((ABS($L34-$L36)/$L34)&gt;Constants!$B$33,"variable mass bias","OK"), "")</f>
        <v/>
      </c>
      <c r="D35" t="str">
        <f>IF(NOT(ISBLANK($J35)), IF((ABS($P34-$P36)/$P34)&gt;Constants!$B$34,"variable IC yield","OK"),"")</f>
        <v/>
      </c>
      <c r="E35" s="34" t="e">
        <f>CE35</f>
        <v>#DIV/0!</v>
      </c>
      <c r="F35" s="34" t="e">
        <f>CF35</f>
        <v>#DIV/0!</v>
      </c>
      <c r="G35" s="34" t="e">
        <f>CM35</f>
        <v>#DIV/0!</v>
      </c>
      <c r="H35" s="47" t="e">
        <f>CN35</f>
        <v>#DIV/0!</v>
      </c>
      <c r="I35" s="33"/>
      <c r="J35" s="59"/>
      <c r="K35" s="59"/>
      <c r="L35" s="59"/>
      <c r="M35" s="59"/>
      <c r="N35" s="59"/>
      <c r="O35" s="59"/>
      <c r="P35" s="59"/>
      <c r="Q35" s="59"/>
      <c r="R35" s="59"/>
      <c r="S35" s="59"/>
      <c r="T35" s="59"/>
      <c r="U35" s="59"/>
      <c r="V35" s="59"/>
      <c r="W35" s="59"/>
      <c r="X35" s="60"/>
      <c r="Y35" s="60"/>
      <c r="Z35" s="60"/>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2.3944420000000002E-6</v>
      </c>
      <c r="AS35" s="1">
        <f>R35</f>
        <v>0</v>
      </c>
      <c r="AT35" s="1">
        <f>MAX(0.000001,T35)</f>
        <v>9.9999999999999995E-7</v>
      </c>
      <c r="AU35" s="1" t="e">
        <f t="shared" si="18"/>
        <v>#DIV/0!</v>
      </c>
      <c r="AV35" s="1" t="e">
        <f>AS35/L35</f>
        <v>#DIV/0!</v>
      </c>
      <c r="AW35" s="1" t="e">
        <f t="shared" si="19"/>
        <v>#DIV/0!</v>
      </c>
      <c r="AX35" s="1">
        <f>V35</f>
        <v>0</v>
      </c>
      <c r="AY35" t="e">
        <f t="shared" si="26"/>
        <v>#DIV/0!</v>
      </c>
      <c r="AZ35" s="1" t="e">
        <f>AT35/N35</f>
        <v>#DIV/0!</v>
      </c>
      <c r="BA35" s="1" t="e">
        <f t="shared" si="20"/>
        <v>#DIV/0!</v>
      </c>
      <c r="BB35" s="1" t="e">
        <f>AL35-BC35</f>
        <v>#DIV/0!</v>
      </c>
      <c r="BC35" s="1" t="e">
        <f t="shared" si="17"/>
        <v>#DIV/0!</v>
      </c>
      <c r="BD35" t="e">
        <f>(LN(AF35)-LN(AH35))/(LN(238-236.5))</f>
        <v>#DIV/0!</v>
      </c>
      <c r="BF35" s="32"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3" t="e">
        <f>SQRT((K35/(1-BK35))^2+(BL35*J35/(1-BK35)^2)^2)</f>
        <v>#DIV/0!</v>
      </c>
      <c r="BO35" s="1" t="e">
        <f>L35/(1-AW35/62415093/AV35)</f>
        <v>#DIV/0!</v>
      </c>
      <c r="BP35" s="33"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3" t="e">
        <f>BW35*SQRT((BN35/BM35)^2+(((BM35*($BU35+$BV35)^LN(Constants!$B$2/Constants!$B$3))-BW35)/BW35)^2)</f>
        <v>#DIV/0!</v>
      </c>
      <c r="BY35" t="e">
        <f>BO35*BU35^(LN(Constants!$B$2/Constants!$B$4))</f>
        <v>#DIV/0!</v>
      </c>
      <c r="BZ35" s="33" t="e">
        <f>BY35*SQRT((BP35/BO35)^2+(((BO35*($BU35+$BV35)^LN(Constants!$B$2/Constants!$B$4))-BY35)/BY35)^2)</f>
        <v>#DIV/0!</v>
      </c>
      <c r="CA35" t="e">
        <f>BS35*BU35^(LN(Constants!$B$2/Constants!$B$5))</f>
        <v>#DIV/0!</v>
      </c>
      <c r="CB35" s="33"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3" t="e">
        <f>CE35*SQRT((BN35/BM35)^2+(($BM35*($CC35+$CD35)^(LN(Constants!$B$2/Constants!$B$3))-CE35)/CE35)^2)</f>
        <v>#DIV/0!</v>
      </c>
      <c r="CG35" t="e">
        <f>BO35*CC35^(LN(Constants!$B$2/Constants!$B$4))</f>
        <v>#DIV/0!</v>
      </c>
      <c r="CH35" s="33" t="e">
        <f>CG35*SQRT((BP35/BO35)^2+((BO35*($CC35+$CD35)^(LN(Constants!$B$2/Constants!$B$4))-CG35)/CG35)^2)</f>
        <v>#DIV/0!</v>
      </c>
      <c r="CI35" t="e">
        <f>BQ35*$CC35^(LN(Constants!$B$3/Constants!$B$6))</f>
        <v>#DIV/0!</v>
      </c>
      <c r="CJ35" s="33" t="e">
        <f>CI35*SQRT((BR35/BQ35)^2+((BQ35*($CC35+$CD35)^(LN(Constants!$B$3/Constants!$B$6))-CI35)/CI35)^2)</f>
        <v>#DIV/0!</v>
      </c>
      <c r="CK35" t="e">
        <f>BS35*CC35^(LN(Constants!$B$2/Constants!$B$5))</f>
        <v>#DIV/0!</v>
      </c>
      <c r="CL35" s="33"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75" t="e">
        <f>$CQ35/$CS35</f>
        <v>#DIV/0!</v>
      </c>
      <c r="CZ35" s="75" t="e">
        <f>$CR35/$CS35-$CY35</f>
        <v>#DIV/0!</v>
      </c>
      <c r="DA35" s="75" t="e">
        <f>$CS35/$CS35-$CZ35-$CY35</f>
        <v>#DIV/0!</v>
      </c>
      <c r="DB35" s="75" t="e">
        <f>$CT35/$CW35</f>
        <v>#DIV/0!</v>
      </c>
      <c r="DC35" s="75" t="e">
        <f>$CU35/$CW35-$DB35</f>
        <v>#DIV/0!</v>
      </c>
      <c r="DD35" s="75" t="e">
        <f>$CV35/$CW35-$DC35-$DB35</f>
        <v>#DIV/0!</v>
      </c>
      <c r="DE35" s="75" t="e">
        <f>$CW35/$CW35-$DD35-$DC35-$DB35</f>
        <v>#DIV/0!</v>
      </c>
    </row>
    <row r="36" spans="1:109">
      <c r="A36" s="66">
        <f t="shared" si="0"/>
        <v>0</v>
      </c>
      <c r="B36" s="66"/>
      <c r="C36" s="66"/>
      <c r="J36" s="59"/>
      <c r="K36" s="59"/>
      <c r="L36" s="59"/>
      <c r="M36" s="59"/>
      <c r="N36" s="59"/>
      <c r="O36" s="59"/>
      <c r="P36" s="59"/>
      <c r="Q36" s="59"/>
      <c r="R36" s="59"/>
      <c r="S36" s="59"/>
      <c r="T36" s="59"/>
      <c r="U36" s="59"/>
      <c r="V36" s="59"/>
      <c r="W36" s="59"/>
      <c r="X36" s="60"/>
      <c r="Y36" s="60"/>
      <c r="Z36" s="60"/>
      <c r="AB36" s="59"/>
      <c r="AC36" s="59"/>
      <c r="AD36" s="59"/>
      <c r="AE36" s="59"/>
      <c r="AF36" s="59"/>
      <c r="AG36" s="59"/>
      <c r="AH36" s="59"/>
      <c r="AI36" s="59"/>
      <c r="AJ36" s="59"/>
      <c r="AK36" s="59"/>
      <c r="AL36" s="59"/>
      <c r="AM36" s="59"/>
      <c r="AN36" s="60"/>
      <c r="AO36" s="60"/>
      <c r="AP36" s="60"/>
      <c r="AQ36" s="1"/>
      <c r="AR36" s="1">
        <f>Constants!B$25</f>
        <v>2.3944420000000002E-6</v>
      </c>
      <c r="AS36" s="1">
        <f t="shared" ref="AS36:AS67" si="31">R36</f>
        <v>0</v>
      </c>
      <c r="AT36" s="1">
        <f t="shared" ref="AT36:AT67" si="32">MAX(0.000001,T36)</f>
        <v>9.9999999999999995E-7</v>
      </c>
      <c r="AU36" s="1" t="e">
        <f t="shared" si="18"/>
        <v>#NUM!</v>
      </c>
      <c r="AV36" s="1" t="e">
        <f t="shared" ref="AV36:AV67" si="33">AS36/L36</f>
        <v>#DIV/0!</v>
      </c>
      <c r="AW36" s="1" t="e">
        <f t="shared" si="19"/>
        <v>#NUM!</v>
      </c>
      <c r="AX36" s="1">
        <f t="shared" ref="AX36:AX67" si="34">V36</f>
        <v>0</v>
      </c>
      <c r="AY36" t="e">
        <f t="shared" si="26"/>
        <v>#DIV/0!</v>
      </c>
      <c r="AZ36" s="1" t="e">
        <f t="shared" ref="AZ36:AZ67" si="35">AT36/N36</f>
        <v>#DIV/0!</v>
      </c>
      <c r="BA36" s="1" t="e">
        <f t="shared" si="20"/>
        <v>#NUM!</v>
      </c>
      <c r="BB36" s="1" t="e">
        <f t="shared" ref="BB36:BB67" si="36">AL36-BC36</f>
        <v>#NUM!</v>
      </c>
      <c r="BC36" s="1" t="e">
        <f t="shared" si="21"/>
        <v>#NUM!</v>
      </c>
      <c r="BD36" t="e">
        <f t="shared" ref="BD36:BD67" si="37">(LN(AF36)-LN(AH36))/(LN(238-236.5))</f>
        <v>#NUM!</v>
      </c>
      <c r="BE36" s="1"/>
      <c r="BF36" s="32"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3"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3" t="e">
        <f>CK36*SQRT((BT36/BS36)^2+((BS36*($CC36+$CD36)^(LN(Constants!$B$2/Constants!$B$5))-CK36)/CK36)^2)</f>
        <v>#DIV/0!</v>
      </c>
      <c r="CR36" s="1"/>
      <c r="CS36" s="1"/>
      <c r="CU36" s="1"/>
      <c r="CV36" s="1"/>
      <c r="CW36" s="1"/>
    </row>
    <row r="37" spans="1:109">
      <c r="A37" s="66">
        <f>X37</f>
        <v>0</v>
      </c>
      <c r="B37" t="str">
        <f>IF(NOT(ISBLANK($J37)),IF($T37&lt;Constants!$B$32,"low spike","OK"),"")</f>
        <v/>
      </c>
      <c r="C37" t="str">
        <f>IF(NOT(ISBLANK($J37)), IF((ABS($L36-$L38)/$L36)&gt;Constants!$B$33,"variable mass bias","OK"), "")</f>
        <v/>
      </c>
      <c r="D37" t="str">
        <f>IF(NOT(ISBLANK($J37)), IF((ABS($P36-$P38)/$P36)&gt;Constants!$B$34,"variable IC yield","OK"),"")</f>
        <v/>
      </c>
      <c r="E37" s="34" t="e">
        <f>CE37</f>
        <v>#DIV/0!</v>
      </c>
      <c r="F37" s="34" t="e">
        <f>CF37</f>
        <v>#DIV/0!</v>
      </c>
      <c r="G37" s="34" t="e">
        <f>CM37</f>
        <v>#DIV/0!</v>
      </c>
      <c r="H37" s="47" t="e">
        <f>CN37</f>
        <v>#DIV/0!</v>
      </c>
      <c r="I37" s="33"/>
      <c r="J37" s="59"/>
      <c r="K37" s="59"/>
      <c r="L37" s="59"/>
      <c r="M37" s="59"/>
      <c r="N37" s="59"/>
      <c r="O37" s="59"/>
      <c r="P37" s="59"/>
      <c r="Q37" s="59"/>
      <c r="R37" s="59"/>
      <c r="S37" s="59"/>
      <c r="T37" s="59"/>
      <c r="U37" s="59"/>
      <c r="V37" s="59"/>
      <c r="W37" s="59"/>
      <c r="X37" s="60"/>
      <c r="Y37" s="60"/>
      <c r="Z37" s="60"/>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2.3944420000000002E-6</v>
      </c>
      <c r="AS37" s="1">
        <f t="shared" si="31"/>
        <v>0</v>
      </c>
      <c r="AT37" s="1">
        <f t="shared" si="32"/>
        <v>9.9999999999999995E-7</v>
      </c>
      <c r="AU37" s="1" t="e">
        <f t="shared" si="18"/>
        <v>#DIV/0!</v>
      </c>
      <c r="AV37" s="1" t="e">
        <f t="shared" si="33"/>
        <v>#DIV/0!</v>
      </c>
      <c r="AW37" s="1" t="e">
        <f t="shared" si="19"/>
        <v>#DIV/0!</v>
      </c>
      <c r="AX37" s="1">
        <f t="shared" si="34"/>
        <v>0</v>
      </c>
      <c r="AY37" t="e">
        <f t="shared" si="26"/>
        <v>#DIV/0!</v>
      </c>
      <c r="AZ37" s="1" t="e">
        <f t="shared" si="35"/>
        <v>#DIV/0!</v>
      </c>
      <c r="BA37" s="1" t="e">
        <f t="shared" si="20"/>
        <v>#DIV/0!</v>
      </c>
      <c r="BB37" s="1" t="e">
        <f t="shared" si="36"/>
        <v>#DIV/0!</v>
      </c>
      <c r="BC37" s="1" t="e">
        <f t="shared" si="17"/>
        <v>#DIV/0!</v>
      </c>
      <c r="BD37" t="e">
        <f t="shared" si="37"/>
        <v>#DIV/0!</v>
      </c>
      <c r="BF37" s="32"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3" t="e">
        <f>SQRT((K37/(1-BK37))^2+(BL37*J37/(1-BK37)^2)^2)</f>
        <v>#DIV/0!</v>
      </c>
      <c r="BO37" s="1" t="e">
        <f t="shared" si="38"/>
        <v>#DIV/0!</v>
      </c>
      <c r="BP37" s="33"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3" t="e">
        <f>BW37*SQRT((BN37/BM37)^2+(((BM37*($BU37+$BV37)^LN(Constants!$B$2/Constants!$B$3))-BW37)/BW37)^2)</f>
        <v>#DIV/0!</v>
      </c>
      <c r="BY37" t="e">
        <f>BO37*BU37^(LN(Constants!$B$2/Constants!$B$4))</f>
        <v>#DIV/0!</v>
      </c>
      <c r="BZ37" s="33" t="e">
        <f>BY37*SQRT((BP37/BO37)^2+(((BO37*($BU37+$BV37)^LN(Constants!$B$2/Constants!$B$4))-BY37)/BY37)^2)</f>
        <v>#DIV/0!</v>
      </c>
      <c r="CA37" t="e">
        <f>BS37*BU37^(LN(Constants!$B$2/Constants!$B$5))</f>
        <v>#DIV/0!</v>
      </c>
      <c r="CB37" s="33"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3" t="e">
        <f>CE37*SQRT((BN37/BM37)^2+(($BM37*($CC37+$CD37)^(LN(Constants!$B$2/Constants!$B$3))-CE37)/CE37)^2)</f>
        <v>#DIV/0!</v>
      </c>
      <c r="CG37" t="e">
        <f>BO37*CC37^(LN(Constants!$B$2/Constants!$B$4))</f>
        <v>#DIV/0!</v>
      </c>
      <c r="CH37" s="33" t="e">
        <f>CG37*SQRT((BP37/BO37)^2+((BO37*($CC37+$CD37)^(LN(Constants!$B$2/Constants!$B$4))-CG37)/CG37)^2)</f>
        <v>#DIV/0!</v>
      </c>
      <c r="CI37" t="e">
        <f>BQ37*$CC37^(LN(Constants!$B$3/Constants!$B$6))</f>
        <v>#DIV/0!</v>
      </c>
      <c r="CJ37" s="33" t="e">
        <f>CI37*SQRT((BR37/BQ37)^2+((BQ37*($CC37+$CD37)^(LN(Constants!$B$3/Constants!$B$6))-CI37)/CI37)^2)</f>
        <v>#DIV/0!</v>
      </c>
      <c r="CK37" t="e">
        <f>BS37*CC37^(LN(Constants!$B$2/Constants!$B$5))</f>
        <v>#DIV/0!</v>
      </c>
      <c r="CL37" s="33"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75" t="e">
        <f>$CQ37/$CS37</f>
        <v>#DIV/0!</v>
      </c>
      <c r="CZ37" s="75" t="e">
        <f>$CR37/$CS37-$CY37</f>
        <v>#DIV/0!</v>
      </c>
      <c r="DA37" s="75" t="e">
        <f>$CS37/$CS37-$CZ37-$CY37</f>
        <v>#DIV/0!</v>
      </c>
      <c r="DB37" s="75" t="e">
        <f>$CT37/$CW37</f>
        <v>#DIV/0!</v>
      </c>
      <c r="DC37" s="75" t="e">
        <f>$CU37/$CW37-$DB37</f>
        <v>#DIV/0!</v>
      </c>
      <c r="DD37" s="75" t="e">
        <f>$CV37/$CW37-$DC37-$DB37</f>
        <v>#DIV/0!</v>
      </c>
      <c r="DE37" s="75" t="e">
        <f>$CW37/$CW37-$DD37-$DC37-$DB37</f>
        <v>#DIV/0!</v>
      </c>
    </row>
    <row r="38" spans="1:109">
      <c r="A38" s="66">
        <f t="shared" si="0"/>
        <v>0</v>
      </c>
      <c r="B38" s="66"/>
      <c r="C38" s="66"/>
      <c r="J38" s="59"/>
      <c r="K38" s="59"/>
      <c r="L38" s="59"/>
      <c r="M38" s="59"/>
      <c r="N38" s="59"/>
      <c r="O38" s="59"/>
      <c r="P38" s="59"/>
      <c r="Q38" s="59"/>
      <c r="R38" s="59"/>
      <c r="S38" s="59"/>
      <c r="T38" s="59"/>
      <c r="U38" s="59"/>
      <c r="V38" s="59"/>
      <c r="W38" s="59"/>
      <c r="X38" s="60"/>
      <c r="Y38" s="60"/>
      <c r="Z38" s="60"/>
      <c r="AB38" s="59"/>
      <c r="AC38" s="59"/>
      <c r="AD38" s="59"/>
      <c r="AE38" s="59"/>
      <c r="AF38" s="59"/>
      <c r="AG38" s="59"/>
      <c r="AH38" s="59"/>
      <c r="AI38" s="59"/>
      <c r="AJ38" s="59"/>
      <c r="AK38" s="59"/>
      <c r="AL38" s="59"/>
      <c r="AM38" s="59"/>
      <c r="AN38" s="60"/>
      <c r="AO38" s="60"/>
      <c r="AP38" s="60"/>
      <c r="AQ38" s="1"/>
      <c r="AR38" s="1">
        <f>Constants!B$25</f>
        <v>2.3944420000000002E-6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6"/>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2" t="e">
        <f t="shared" si="8"/>
        <v>#DIV/0!</v>
      </c>
      <c r="BG38" s="1" t="e">
        <f t="shared" si="9"/>
        <v>#DIV/0!</v>
      </c>
      <c r="BH38" s="1" t="e">
        <f t="shared" si="10"/>
        <v>#DIV/0!</v>
      </c>
      <c r="BI38" s="1" t="e">
        <f t="shared" si="11"/>
        <v>#NUM!</v>
      </c>
      <c r="BJ38" s="1" t="e">
        <f t="shared" si="12"/>
        <v>#NUM!</v>
      </c>
      <c r="BK38" s="1"/>
      <c r="BL38" s="1"/>
      <c r="BM38" s="1"/>
      <c r="BN38" s="1"/>
      <c r="BO38" s="1" t="e">
        <f t="shared" si="38"/>
        <v>#NUM!</v>
      </c>
      <c r="BP38" s="33"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3" t="e">
        <f>CK38*SQRT((BT38/BS38)^2+((BS38*($CC38+$CD38)^(LN(Constants!$B$2/Constants!$B$5))-CK38)/CK38)^2)</f>
        <v>#DIV/0!</v>
      </c>
    </row>
    <row r="39" spans="1:109">
      <c r="A39" s="66">
        <f>X39</f>
        <v>0</v>
      </c>
      <c r="B39" t="str">
        <f>IF(NOT(ISBLANK($J39)),IF($T39&lt;Constants!$B$32,"low spike","OK"),"")</f>
        <v/>
      </c>
      <c r="C39" t="str">
        <f>IF(NOT(ISBLANK($J39)), IF((ABS($L38-$L40)/$L38)&gt;Constants!$B$33,"variable mass bias","OK"), "")</f>
        <v/>
      </c>
      <c r="D39" t="str">
        <f>IF(NOT(ISBLANK($J39)), IF((ABS($P38-$P40)/$P38)&gt;Constants!$B$34,"variable IC yield","OK"),"")</f>
        <v/>
      </c>
      <c r="E39" s="34" t="e">
        <f>CE39</f>
        <v>#DIV/0!</v>
      </c>
      <c r="F39" s="34" t="e">
        <f>CF39</f>
        <v>#DIV/0!</v>
      </c>
      <c r="G39" s="34" t="e">
        <f>CM39</f>
        <v>#DIV/0!</v>
      </c>
      <c r="H39" s="47" t="e">
        <f>CN39</f>
        <v>#DIV/0!</v>
      </c>
      <c r="I39" s="33"/>
      <c r="J39" s="59"/>
      <c r="K39" s="59"/>
      <c r="L39" s="59"/>
      <c r="M39" s="59"/>
      <c r="N39" s="59"/>
      <c r="O39" s="59"/>
      <c r="P39" s="59"/>
      <c r="Q39" s="59"/>
      <c r="R39" s="59"/>
      <c r="S39" s="59"/>
      <c r="T39" s="59"/>
      <c r="U39" s="59"/>
      <c r="V39" s="59"/>
      <c r="W39" s="59"/>
      <c r="X39" s="60"/>
      <c r="Y39" s="60"/>
      <c r="Z39" s="60"/>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2.3944420000000002E-6</v>
      </c>
      <c r="AS39" s="1">
        <f t="shared" si="31"/>
        <v>0</v>
      </c>
      <c r="AT39" s="1">
        <f t="shared" si="32"/>
        <v>9.9999999999999995E-7</v>
      </c>
      <c r="AU39" s="1" t="e">
        <f t="shared" si="42"/>
        <v>#DIV/0!</v>
      </c>
      <c r="AV39" s="1" t="e">
        <f t="shared" si="33"/>
        <v>#DIV/0!</v>
      </c>
      <c r="AW39" s="1" t="e">
        <f t="shared" si="43"/>
        <v>#DIV/0!</v>
      </c>
      <c r="AX39" s="1">
        <f t="shared" si="34"/>
        <v>0</v>
      </c>
      <c r="AY39" t="e">
        <f t="shared" si="26"/>
        <v>#DIV/0!</v>
      </c>
      <c r="AZ39" s="1" t="e">
        <f t="shared" si="35"/>
        <v>#DIV/0!</v>
      </c>
      <c r="BA39" s="1" t="e">
        <f t="shared" si="44"/>
        <v>#DIV/0!</v>
      </c>
      <c r="BB39" s="1" t="e">
        <f t="shared" si="36"/>
        <v>#DIV/0!</v>
      </c>
      <c r="BC39" s="1" t="e">
        <f t="shared" si="17"/>
        <v>#DIV/0!</v>
      </c>
      <c r="BD39" t="e">
        <f t="shared" si="37"/>
        <v>#DIV/0!</v>
      </c>
      <c r="BF39" s="32"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3" t="e">
        <f>SQRT((K39/(1-BK39))^2+(BL39*J39/(1-BK39)^2)^2)</f>
        <v>#DIV/0!</v>
      </c>
      <c r="BO39" s="1" t="e">
        <f t="shared" si="38"/>
        <v>#DIV/0!</v>
      </c>
      <c r="BP39" s="33"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3" t="e">
        <f>BW39*SQRT((BN39/BM39)^2+(((BM39*($BU39+$BV39)^LN(Constants!$B$2/Constants!$B$3))-BW39)/BW39)^2)</f>
        <v>#DIV/0!</v>
      </c>
      <c r="BY39" t="e">
        <f>BO39*BU39^(LN(Constants!$B$2/Constants!$B$4))</f>
        <v>#DIV/0!</v>
      </c>
      <c r="BZ39" s="33" t="e">
        <f>BY39*SQRT((BP39/BO39)^2+(((BO39*($BU39+$BV39)^LN(Constants!$B$2/Constants!$B$4))-BY39)/BY39)^2)</f>
        <v>#DIV/0!</v>
      </c>
      <c r="CA39" t="e">
        <f>BS39*BU39^(LN(Constants!$B$2/Constants!$B$5))</f>
        <v>#DIV/0!</v>
      </c>
      <c r="CB39" s="33"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3" t="e">
        <f>CE39*SQRT((BN39/BM39)^2+(($BM39*($CC39+$CD39)^(LN(Constants!$B$2/Constants!$B$3))-CE39)/CE39)^2)</f>
        <v>#DIV/0!</v>
      </c>
      <c r="CG39" t="e">
        <f>BO39*CC39^(LN(Constants!$B$2/Constants!$B$4))</f>
        <v>#DIV/0!</v>
      </c>
      <c r="CH39" s="33" t="e">
        <f>CG39*SQRT((BP39/BO39)^2+((BO39*($CC39+$CD39)^(LN(Constants!$B$2/Constants!$B$4))-CG39)/CG39)^2)</f>
        <v>#DIV/0!</v>
      </c>
      <c r="CI39" t="e">
        <f>BQ39*$CC39^(LN(Constants!$B$3/Constants!$B$6))</f>
        <v>#DIV/0!</v>
      </c>
      <c r="CJ39" s="33" t="e">
        <f>CI39*SQRT((BR39/BQ39)^2+((BQ39*($CC39+$CD39)^(LN(Constants!$B$3/Constants!$B$6))-CI39)/CI39)^2)</f>
        <v>#DIV/0!</v>
      </c>
      <c r="CK39" t="e">
        <f>BS39*CC39^(LN(Constants!$B$2/Constants!$B$5))</f>
        <v>#DIV/0!</v>
      </c>
      <c r="CL39" s="33"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75" t="e">
        <f>$CQ39/$CS39</f>
        <v>#DIV/0!</v>
      </c>
      <c r="CZ39" s="75" t="e">
        <f>$CR39/$CS39-$CY39</f>
        <v>#DIV/0!</v>
      </c>
      <c r="DA39" s="75" t="e">
        <f>$CS39/$CS39-$CZ39-$CY39</f>
        <v>#DIV/0!</v>
      </c>
      <c r="DB39" s="75" t="e">
        <f>$CT39/$CW39</f>
        <v>#DIV/0!</v>
      </c>
      <c r="DC39" s="75" t="e">
        <f>$CU39/$CW39-$DB39</f>
        <v>#DIV/0!</v>
      </c>
      <c r="DD39" s="75" t="e">
        <f>$CV39/$CW39-$DC39-$DB39</f>
        <v>#DIV/0!</v>
      </c>
      <c r="DE39" s="75" t="e">
        <f>$CW39/$CW39-$DD39-$DC39-$DB39</f>
        <v>#DIV/0!</v>
      </c>
    </row>
    <row r="40" spans="1:109">
      <c r="A40" s="66">
        <f>X40</f>
        <v>0</v>
      </c>
      <c r="B40" s="66"/>
      <c r="C40" s="66"/>
      <c r="J40" s="59"/>
      <c r="K40" s="59"/>
      <c r="L40" s="59"/>
      <c r="M40" s="59"/>
      <c r="N40" s="59"/>
      <c r="O40" s="59"/>
      <c r="P40" s="59"/>
      <c r="Q40" s="59"/>
      <c r="R40" s="59"/>
      <c r="S40" s="59"/>
      <c r="T40" s="59"/>
      <c r="U40" s="59"/>
      <c r="V40" s="59"/>
      <c r="W40" s="59"/>
      <c r="X40" s="60"/>
      <c r="Y40" s="60"/>
      <c r="Z40" s="60"/>
      <c r="AB40" s="59"/>
      <c r="AC40" s="59"/>
      <c r="AD40" s="59"/>
      <c r="AE40" s="59"/>
      <c r="AF40" s="59"/>
      <c r="AG40" s="59"/>
      <c r="AH40" s="59"/>
      <c r="AI40" s="59"/>
      <c r="AJ40" s="59"/>
      <c r="AK40" s="59"/>
      <c r="AL40" s="59"/>
      <c r="AM40" s="59"/>
      <c r="AN40" s="60"/>
      <c r="AO40" s="60"/>
      <c r="AP40" s="60"/>
      <c r="AQ40" s="1"/>
      <c r="AR40" s="1">
        <f>Constants!B$25</f>
        <v>2.3944420000000002E-6</v>
      </c>
      <c r="AS40" s="1">
        <f t="shared" si="31"/>
        <v>0</v>
      </c>
      <c r="AT40" s="1">
        <f t="shared" si="32"/>
        <v>9.9999999999999995E-7</v>
      </c>
      <c r="AU40" s="1" t="e">
        <f t="shared" si="42"/>
        <v>#NUM!</v>
      </c>
      <c r="AV40" s="1" t="e">
        <f t="shared" si="33"/>
        <v>#DIV/0!</v>
      </c>
      <c r="AW40" s="1" t="e">
        <f t="shared" si="43"/>
        <v>#NUM!</v>
      </c>
      <c r="AX40" s="1">
        <f t="shared" si="34"/>
        <v>0</v>
      </c>
      <c r="AY40" t="e">
        <f t="shared" si="26"/>
        <v>#DIV/0!</v>
      </c>
      <c r="AZ40" s="1" t="e">
        <f t="shared" si="35"/>
        <v>#DIV/0!</v>
      </c>
      <c r="BA40" s="1" t="e">
        <f t="shared" si="44"/>
        <v>#NUM!</v>
      </c>
      <c r="BB40" s="1" t="e">
        <f t="shared" si="36"/>
        <v>#NUM!</v>
      </c>
      <c r="BC40" s="1" t="e">
        <f t="shared" si="45"/>
        <v>#NUM!</v>
      </c>
      <c r="BD40" t="e">
        <f t="shared" si="37"/>
        <v>#NUM!</v>
      </c>
      <c r="BE40" s="1"/>
      <c r="BF40" s="32" t="e">
        <f t="shared" si="8"/>
        <v>#DIV/0!</v>
      </c>
      <c r="BG40" s="1" t="e">
        <f t="shared" si="9"/>
        <v>#DIV/0!</v>
      </c>
      <c r="BH40" s="1" t="e">
        <f>BG40*0.1</f>
        <v>#DIV/0!</v>
      </c>
      <c r="BI40" s="1" t="e">
        <f t="shared" si="11"/>
        <v>#NUM!</v>
      </c>
      <c r="BJ40" s="1" t="e">
        <f>BI40*0.1</f>
        <v>#NUM!</v>
      </c>
      <c r="BK40" s="1"/>
      <c r="BL40" s="1"/>
      <c r="BM40" s="1"/>
      <c r="BN40" s="1"/>
      <c r="BO40" s="1" t="e">
        <f t="shared" si="38"/>
        <v>#NUM!</v>
      </c>
      <c r="BP40" s="33"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3" t="e">
        <f>CK40*SQRT((BT40/BS40)^2+((BS40*($CC40+$CD40)^(LN(Constants!$B$2/Constants!$B$5))-CK40)/CK40)^2)</f>
        <v>#DIV/0!</v>
      </c>
    </row>
    <row r="41" spans="1:109">
      <c r="A41" s="66">
        <f>X41</f>
        <v>0</v>
      </c>
      <c r="B41" t="str">
        <f>IF(NOT(ISBLANK($J41)),IF($T41&lt;Constants!$B$32,"low spike","OK"),"")</f>
        <v/>
      </c>
      <c r="C41" t="str">
        <f>IF(NOT(ISBLANK($J41)), IF((ABS($L40-$L42)/$L40)&gt;Constants!$B$33,"variable mass bias","OK"), "")</f>
        <v/>
      </c>
      <c r="D41" t="str">
        <f>IF(NOT(ISBLANK($J41)), IF((ABS($P40-$P42)/$P40)&gt;Constants!$B$34,"variable IC yield","OK"),"")</f>
        <v/>
      </c>
      <c r="E41" s="34" t="e">
        <f>CE41</f>
        <v>#DIV/0!</v>
      </c>
      <c r="F41" s="34" t="e">
        <f>CF41</f>
        <v>#DIV/0!</v>
      </c>
      <c r="G41" s="34" t="e">
        <f>CM41</f>
        <v>#DIV/0!</v>
      </c>
      <c r="H41" s="47" t="e">
        <f>CN41</f>
        <v>#DIV/0!</v>
      </c>
      <c r="I41" s="33"/>
      <c r="J41" s="59"/>
      <c r="K41" s="59"/>
      <c r="L41" s="59"/>
      <c r="M41" s="59"/>
      <c r="N41" s="59"/>
      <c r="O41" s="59"/>
      <c r="P41" s="59"/>
      <c r="Q41" s="59"/>
      <c r="R41" s="59"/>
      <c r="S41" s="59"/>
      <c r="T41" s="59"/>
      <c r="U41" s="59"/>
      <c r="V41" s="59"/>
      <c r="W41" s="59"/>
      <c r="X41" s="60"/>
      <c r="Y41" s="60"/>
      <c r="Z41" s="60"/>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2.3944420000000002E-6</v>
      </c>
      <c r="AS41" s="1">
        <f t="shared" si="31"/>
        <v>0</v>
      </c>
      <c r="AT41" s="1">
        <f t="shared" si="32"/>
        <v>9.9999999999999995E-7</v>
      </c>
      <c r="AU41" s="1" t="e">
        <f t="shared" si="42"/>
        <v>#DIV/0!</v>
      </c>
      <c r="AV41" s="1" t="e">
        <f t="shared" si="33"/>
        <v>#DIV/0!</v>
      </c>
      <c r="AW41" s="1" t="e">
        <f t="shared" si="43"/>
        <v>#DIV/0!</v>
      </c>
      <c r="AX41" s="1">
        <f t="shared" si="34"/>
        <v>0</v>
      </c>
      <c r="AY41" t="e">
        <f t="shared" si="26"/>
        <v>#DIV/0!</v>
      </c>
      <c r="AZ41" s="1" t="e">
        <f t="shared" si="35"/>
        <v>#DIV/0!</v>
      </c>
      <c r="BA41" s="1" t="e">
        <f t="shared" si="44"/>
        <v>#DIV/0!</v>
      </c>
      <c r="BB41" s="1" t="e">
        <f t="shared" si="36"/>
        <v>#DIV/0!</v>
      </c>
      <c r="BC41" s="1" t="e">
        <f t="shared" si="17"/>
        <v>#DIV/0!</v>
      </c>
      <c r="BD41" t="e">
        <f t="shared" si="37"/>
        <v>#DIV/0!</v>
      </c>
      <c r="BF41" s="32"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3" t="e">
        <f>SQRT((K41/(1-BK41))^2+(BL41*J41/(1-BK41)^2)^2)</f>
        <v>#DIV/0!</v>
      </c>
      <c r="BO41" s="1" t="e">
        <f t="shared" si="38"/>
        <v>#DIV/0!</v>
      </c>
      <c r="BP41" s="33"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3" t="e">
        <f>BW41*SQRT((BN41/BM41)^2+(((BM41*($BU41+$BV41)^LN(Constants!$B$2/Constants!$B$3))-BW41)/BW41)^2)</f>
        <v>#DIV/0!</v>
      </c>
      <c r="BY41" t="e">
        <f>BO41*BU41^(LN(Constants!$B$2/Constants!$B$4))</f>
        <v>#DIV/0!</v>
      </c>
      <c r="BZ41" s="33" t="e">
        <f>BY41*SQRT((BP41/BO41)^2+(((BO41*($BU41+$BV41)^LN(Constants!$B$2/Constants!$B$4))-BY41)/BY41)^2)</f>
        <v>#DIV/0!</v>
      </c>
      <c r="CA41" t="e">
        <f>BS41*BU41^(LN(Constants!$B$2/Constants!$B$5))</f>
        <v>#DIV/0!</v>
      </c>
      <c r="CB41" s="33"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3" t="e">
        <f>CE41*SQRT((BN41/BM41)^2+(($BM41*($CC41+$CD41)^(LN(Constants!$B$2/Constants!$B$3))-CE41)/CE41)^2)</f>
        <v>#DIV/0!</v>
      </c>
      <c r="CG41" t="e">
        <f>BO41*CC41^(LN(Constants!$B$2/Constants!$B$4))</f>
        <v>#DIV/0!</v>
      </c>
      <c r="CH41" s="33" t="e">
        <f>CG41*SQRT((BP41/BO41)^2+((BO41*($CC41+$CD41)^(LN(Constants!$B$2/Constants!$B$4))-CG41)/CG41)^2)</f>
        <v>#DIV/0!</v>
      </c>
      <c r="CI41" t="e">
        <f>BQ41*$CC41^(LN(Constants!$B$3/Constants!$B$6))</f>
        <v>#DIV/0!</v>
      </c>
      <c r="CJ41" s="33" t="e">
        <f>CI41*SQRT((BR41/BQ41)^2+((BQ41*($CC41+$CD41)^(LN(Constants!$B$3/Constants!$B$6))-CI41)/CI41)^2)</f>
        <v>#DIV/0!</v>
      </c>
      <c r="CK41" t="e">
        <f>BS41*CC41^(LN(Constants!$B$2/Constants!$B$5))</f>
        <v>#DIV/0!</v>
      </c>
      <c r="CL41" s="33"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75" t="e">
        <f>$CQ41/$CS41</f>
        <v>#DIV/0!</v>
      </c>
      <c r="CZ41" s="75" t="e">
        <f>$CR41/$CS41-$CY41</f>
        <v>#DIV/0!</v>
      </c>
      <c r="DA41" s="75" t="e">
        <f>$CS41/$CS41-$CZ41-$CY41</f>
        <v>#DIV/0!</v>
      </c>
      <c r="DB41" s="75" t="e">
        <f>$CT41/$CW41</f>
        <v>#DIV/0!</v>
      </c>
      <c r="DC41" s="75" t="e">
        <f>$CU41/$CW41-$DB41</f>
        <v>#DIV/0!</v>
      </c>
      <c r="DD41" s="75" t="e">
        <f>$CV41/$CW41-$DC41-$DB41</f>
        <v>#DIV/0!</v>
      </c>
      <c r="DE41" s="75" t="e">
        <f>$CW41/$CW41-$DD41-$DC41-$DB41</f>
        <v>#DIV/0!</v>
      </c>
    </row>
    <row r="42" spans="1:109">
      <c r="A42" s="66">
        <f>X42</f>
        <v>0</v>
      </c>
      <c r="B42" s="66"/>
      <c r="C42" s="66"/>
      <c r="J42" s="59"/>
      <c r="K42" s="59"/>
      <c r="L42" s="59"/>
      <c r="M42" s="59"/>
      <c r="N42" s="59"/>
      <c r="O42" s="59"/>
      <c r="P42" s="59"/>
      <c r="Q42" s="59"/>
      <c r="R42" s="59"/>
      <c r="S42" s="59"/>
      <c r="T42" s="59"/>
      <c r="U42" s="59"/>
      <c r="V42" s="59"/>
      <c r="W42" s="59"/>
      <c r="X42" s="60"/>
      <c r="Y42" s="60"/>
      <c r="Z42" s="60"/>
      <c r="AB42" s="59"/>
      <c r="AC42" s="59"/>
      <c r="AD42" s="59"/>
      <c r="AE42" s="59"/>
      <c r="AF42" s="59"/>
      <c r="AG42" s="59"/>
      <c r="AH42" s="59"/>
      <c r="AI42" s="59"/>
      <c r="AJ42" s="59"/>
      <c r="AK42" s="59"/>
      <c r="AL42" s="59"/>
      <c r="AM42" s="59"/>
      <c r="AN42" s="60"/>
      <c r="AO42" s="60"/>
      <c r="AP42" s="60"/>
      <c r="AQ42" s="1"/>
      <c r="AR42" s="1">
        <f>Constants!B$25</f>
        <v>2.3944420000000002E-6</v>
      </c>
      <c r="AS42" s="1">
        <f t="shared" si="31"/>
        <v>0</v>
      </c>
      <c r="AT42" s="1">
        <f t="shared" si="32"/>
        <v>9.9999999999999995E-7</v>
      </c>
      <c r="AU42" s="1" t="e">
        <f t="shared" si="42"/>
        <v>#NUM!</v>
      </c>
      <c r="AV42" s="1" t="e">
        <f t="shared" si="33"/>
        <v>#DIV/0!</v>
      </c>
      <c r="AW42" s="1" t="e">
        <f t="shared" si="43"/>
        <v>#NUM!</v>
      </c>
      <c r="AX42" s="1">
        <f t="shared" si="34"/>
        <v>0</v>
      </c>
      <c r="AY42" t="e">
        <f t="shared" si="26"/>
        <v>#DIV/0!</v>
      </c>
      <c r="AZ42" s="1" t="e">
        <f t="shared" si="35"/>
        <v>#DIV/0!</v>
      </c>
      <c r="BA42" s="1" t="e">
        <f t="shared" si="44"/>
        <v>#NUM!</v>
      </c>
      <c r="BB42" s="1" t="e">
        <f t="shared" si="36"/>
        <v>#NUM!</v>
      </c>
      <c r="BC42" s="1" t="e">
        <f t="shared" si="45"/>
        <v>#NUM!</v>
      </c>
      <c r="BD42" t="e">
        <f t="shared" si="37"/>
        <v>#NUM!</v>
      </c>
      <c r="BE42" s="1"/>
      <c r="BF42" s="32" t="e">
        <f t="shared" si="8"/>
        <v>#DIV/0!</v>
      </c>
      <c r="BG42" s="1" t="e">
        <f t="shared" si="9"/>
        <v>#DIV/0!</v>
      </c>
      <c r="BH42" s="1" t="e">
        <f>BG42*0.1</f>
        <v>#DIV/0!</v>
      </c>
      <c r="BI42" s="1" t="e">
        <f t="shared" si="11"/>
        <v>#NUM!</v>
      </c>
      <c r="BJ42" s="1" t="e">
        <f>BI42*0.1</f>
        <v>#NUM!</v>
      </c>
      <c r="BK42" s="1"/>
      <c r="BL42" s="1"/>
      <c r="BM42" s="1"/>
      <c r="BN42" s="1"/>
      <c r="BO42" s="1" t="e">
        <f t="shared" si="38"/>
        <v>#NUM!</v>
      </c>
      <c r="BP42" s="33"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3" t="e">
        <f>CK42*SQRT((BT42/BS42)^2+((BS42*($CC42+$CD42)^(LN(Constants!$B$2/Constants!$B$5))-CK42)/CK42)^2)</f>
        <v>#DIV/0!</v>
      </c>
    </row>
    <row r="43" spans="1:109">
      <c r="A43" s="66">
        <f>X43</f>
        <v>0</v>
      </c>
      <c r="B43" t="str">
        <f>IF(NOT(ISBLANK($J43)),IF($T43&lt;Constants!$B$32,"low spike","OK"),"")</f>
        <v/>
      </c>
      <c r="C43" t="str">
        <f>IF(NOT(ISBLANK($J43)), IF((ABS($L42-$L44)/$L42)&gt;Constants!$B$33,"variable mass bias","OK"), "")</f>
        <v/>
      </c>
      <c r="D43" t="str">
        <f>IF(NOT(ISBLANK($J43)), IF((ABS($P42-$P44)/$P42)&gt;Constants!$B$34,"variable IC yield","OK"),"")</f>
        <v/>
      </c>
      <c r="E43" s="34" t="e">
        <f>CE43</f>
        <v>#DIV/0!</v>
      </c>
      <c r="F43" s="34" t="e">
        <f>CF43</f>
        <v>#DIV/0!</v>
      </c>
      <c r="G43" s="34" t="e">
        <f>CM43</f>
        <v>#DIV/0!</v>
      </c>
      <c r="H43" s="47" t="e">
        <f>CN43</f>
        <v>#DIV/0!</v>
      </c>
      <c r="I43" s="33"/>
      <c r="J43" s="59"/>
      <c r="K43" s="59"/>
      <c r="L43" s="59"/>
      <c r="M43" s="59"/>
      <c r="N43" s="59"/>
      <c r="O43" s="59"/>
      <c r="P43" s="59"/>
      <c r="Q43" s="59"/>
      <c r="R43" s="59"/>
      <c r="S43" s="59"/>
      <c r="T43" s="59"/>
      <c r="U43" s="59"/>
      <c r="V43" s="59"/>
      <c r="W43" s="59"/>
      <c r="X43" s="60"/>
      <c r="Y43" s="60"/>
      <c r="Z43" s="60"/>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2.3944420000000002E-6</v>
      </c>
      <c r="AS43" s="1">
        <f t="shared" si="31"/>
        <v>0</v>
      </c>
      <c r="AT43" s="1">
        <f t="shared" si="32"/>
        <v>9.9999999999999995E-7</v>
      </c>
      <c r="AU43" s="1" t="e">
        <f t="shared" si="42"/>
        <v>#DIV/0!</v>
      </c>
      <c r="AV43" s="1" t="e">
        <f t="shared" si="33"/>
        <v>#DIV/0!</v>
      </c>
      <c r="AW43" s="1" t="e">
        <f t="shared" si="43"/>
        <v>#DIV/0!</v>
      </c>
      <c r="AX43" s="1">
        <f t="shared" si="34"/>
        <v>0</v>
      </c>
      <c r="AY43" t="e">
        <f t="shared" si="26"/>
        <v>#DIV/0!</v>
      </c>
      <c r="AZ43" s="1" t="e">
        <f t="shared" si="35"/>
        <v>#DIV/0!</v>
      </c>
      <c r="BA43" s="1" t="e">
        <f t="shared" si="44"/>
        <v>#DIV/0!</v>
      </c>
      <c r="BB43" s="1" t="e">
        <f t="shared" si="36"/>
        <v>#DIV/0!</v>
      </c>
      <c r="BC43" s="1" t="e">
        <f t="shared" si="17"/>
        <v>#DIV/0!</v>
      </c>
      <c r="BD43" t="e">
        <f t="shared" si="37"/>
        <v>#DIV/0!</v>
      </c>
      <c r="BF43" s="32"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3" t="e">
        <f>SQRT((K43/(1-BK43))^2+(BL43*J43/(1-BK43)^2)^2)</f>
        <v>#DIV/0!</v>
      </c>
      <c r="BO43" s="1" t="e">
        <f t="shared" si="38"/>
        <v>#DIV/0!</v>
      </c>
      <c r="BP43" s="33"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3" t="e">
        <f>BW43*SQRT((BN43/BM43)^2+(((BM43*($BU43+$BV43)^LN(Constants!$B$2/Constants!$B$3))-BW43)/BW43)^2)</f>
        <v>#DIV/0!</v>
      </c>
      <c r="BY43" t="e">
        <f>BO43*BU43^(LN(Constants!$B$2/Constants!$B$4))</f>
        <v>#DIV/0!</v>
      </c>
      <c r="BZ43" s="33" t="e">
        <f>BY43*SQRT((BP43/BO43)^2+(((BO43*($BU43+$BV43)^LN(Constants!$B$2/Constants!$B$4))-BY43)/BY43)^2)</f>
        <v>#DIV/0!</v>
      </c>
      <c r="CA43" t="e">
        <f>BS43*BU43^(LN(Constants!$B$2/Constants!$B$5))</f>
        <v>#DIV/0!</v>
      </c>
      <c r="CB43" s="33"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3" t="e">
        <f>CE43*SQRT((BN43/BM43)^2+(($BM43*($CC43+$CD43)^(LN(Constants!$B$2/Constants!$B$3))-CE43)/CE43)^2)</f>
        <v>#DIV/0!</v>
      </c>
      <c r="CG43" t="e">
        <f>BO43*CC43^(LN(Constants!$B$2/Constants!$B$4))</f>
        <v>#DIV/0!</v>
      </c>
      <c r="CH43" s="33" t="e">
        <f>CG43*SQRT((BP43/BO43)^2+((BO43*($CC43+$CD43)^(LN(Constants!$B$2/Constants!$B$4))-CG43)/CG43)^2)</f>
        <v>#DIV/0!</v>
      </c>
      <c r="CI43" t="e">
        <f>BQ43*$CC43^(LN(Constants!$B$3/Constants!$B$6))</f>
        <v>#DIV/0!</v>
      </c>
      <c r="CJ43" s="33" t="e">
        <f>CI43*SQRT((BR43/BQ43)^2+((BQ43*($CC43+$CD43)^(LN(Constants!$B$3/Constants!$B$6))-CI43)/CI43)^2)</f>
        <v>#DIV/0!</v>
      </c>
      <c r="CK43" t="e">
        <f>BS43*CC43^(LN(Constants!$B$2/Constants!$B$5))</f>
        <v>#DIV/0!</v>
      </c>
      <c r="CL43" s="33"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75" t="e">
        <f>$CQ43/$CS43</f>
        <v>#DIV/0!</v>
      </c>
      <c r="CZ43" s="75" t="e">
        <f>$CR43/$CS43-$CY43</f>
        <v>#DIV/0!</v>
      </c>
      <c r="DA43" s="75" t="e">
        <f>$CS43/$CS43-$CZ43-$CY43</f>
        <v>#DIV/0!</v>
      </c>
      <c r="DB43" s="75" t="e">
        <f>$CT43/$CW43</f>
        <v>#DIV/0!</v>
      </c>
      <c r="DC43" s="75" t="e">
        <f>$CU43/$CW43-$DB43</f>
        <v>#DIV/0!</v>
      </c>
      <c r="DD43" s="75" t="e">
        <f>$CV43/$CW43-$DC43-$DB43</f>
        <v>#DIV/0!</v>
      </c>
      <c r="DE43" s="75" t="e">
        <f>$CW43/$CW43-$DD43-$DC43-$DB43</f>
        <v>#DIV/0!</v>
      </c>
    </row>
    <row r="44" spans="1:109">
      <c r="A44" s="66">
        <f t="shared" ref="A44:A69" si="46">X44</f>
        <v>0</v>
      </c>
      <c r="B44" s="66"/>
      <c r="C44" s="66"/>
      <c r="J44" s="59"/>
      <c r="K44" s="59"/>
      <c r="L44" s="59"/>
      <c r="M44" s="59"/>
      <c r="N44" s="59"/>
      <c r="O44" s="59"/>
      <c r="P44" s="59"/>
      <c r="Q44" s="59"/>
      <c r="R44" s="59"/>
      <c r="S44" s="59"/>
      <c r="T44" s="59"/>
      <c r="U44" s="59"/>
      <c r="V44" s="59"/>
      <c r="W44" s="59"/>
      <c r="X44" s="60"/>
      <c r="Y44" s="60"/>
      <c r="Z44" s="60"/>
      <c r="AB44" s="59"/>
      <c r="AC44" s="59"/>
      <c r="AD44" s="59"/>
      <c r="AE44" s="59"/>
      <c r="AF44" s="59"/>
      <c r="AG44" s="59"/>
      <c r="AH44" s="59"/>
      <c r="AI44" s="59"/>
      <c r="AJ44" s="59"/>
      <c r="AK44" s="59"/>
      <c r="AL44" s="59"/>
      <c r="AM44" s="59"/>
      <c r="AN44" s="60"/>
      <c r="AO44" s="60"/>
      <c r="AP44" s="60"/>
      <c r="AQ44" s="1"/>
      <c r="AR44" s="1">
        <f>Constants!B$25</f>
        <v>2.3944420000000002E-6</v>
      </c>
      <c r="AS44" s="1">
        <f t="shared" si="31"/>
        <v>0</v>
      </c>
      <c r="AT44" s="1">
        <f t="shared" si="32"/>
        <v>9.9999999999999995E-7</v>
      </c>
      <c r="AU44" s="1" t="e">
        <f t="shared" si="42"/>
        <v>#NUM!</v>
      </c>
      <c r="AV44" s="1" t="e">
        <f t="shared" si="33"/>
        <v>#DIV/0!</v>
      </c>
      <c r="AW44" s="1" t="e">
        <f t="shared" si="43"/>
        <v>#NUM!</v>
      </c>
      <c r="AX44" s="1">
        <f t="shared" si="34"/>
        <v>0</v>
      </c>
      <c r="AY44" t="e">
        <f t="shared" si="26"/>
        <v>#DIV/0!</v>
      </c>
      <c r="AZ44" s="1" t="e">
        <f t="shared" si="35"/>
        <v>#DIV/0!</v>
      </c>
      <c r="BA44" s="1" t="e">
        <f t="shared" si="44"/>
        <v>#NUM!</v>
      </c>
      <c r="BB44" s="1" t="e">
        <f t="shared" si="36"/>
        <v>#NUM!</v>
      </c>
      <c r="BC44" s="1" t="e">
        <f t="shared" si="45"/>
        <v>#NUM!</v>
      </c>
      <c r="BD44" t="e">
        <f t="shared" si="37"/>
        <v>#NUM!</v>
      </c>
      <c r="BE44" s="1"/>
      <c r="BF44" s="32"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3"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3" t="e">
        <f>CK44*SQRT((BT44/BS44)^2+((BS44*($CC44+$CD44)^(LN(Constants!$B$2/Constants!$B$5))-CK44)/CK44)^2)</f>
        <v>#DIV/0!</v>
      </c>
      <c r="CR44" s="1"/>
      <c r="CS44" s="1"/>
      <c r="CU44" s="1"/>
      <c r="CV44" s="1"/>
      <c r="CW44" s="1"/>
    </row>
    <row r="45" spans="1:109">
      <c r="A45" s="66">
        <f t="shared" si="46"/>
        <v>0</v>
      </c>
      <c r="B45" t="str">
        <f>IF(NOT(ISBLANK($J45)),IF($T45&lt;Constants!$B$32,"low spike","OK"),"")</f>
        <v/>
      </c>
      <c r="C45" t="str">
        <f>IF(NOT(ISBLANK($J45)), IF((ABS($L44-$L46)/$L44)&gt;Constants!$B$33,"variable mass bias","OK"), "")</f>
        <v/>
      </c>
      <c r="D45" t="str">
        <f>IF(NOT(ISBLANK($J45)), IF((ABS($P44-$P46)/$P44)&gt;Constants!$B$34,"variable IC yield","OK"),"")</f>
        <v/>
      </c>
      <c r="E45" s="34" t="e">
        <f>CE45</f>
        <v>#DIV/0!</v>
      </c>
      <c r="F45" s="34" t="e">
        <f>CF45</f>
        <v>#DIV/0!</v>
      </c>
      <c r="G45" s="34" t="e">
        <f>CM45</f>
        <v>#DIV/0!</v>
      </c>
      <c r="H45" s="47" t="e">
        <f>CN45</f>
        <v>#DIV/0!</v>
      </c>
      <c r="I45" s="33"/>
      <c r="J45" s="59"/>
      <c r="K45" s="59"/>
      <c r="L45" s="59"/>
      <c r="M45" s="59"/>
      <c r="N45" s="59"/>
      <c r="O45" s="59"/>
      <c r="P45" s="59"/>
      <c r="Q45" s="59"/>
      <c r="R45" s="59"/>
      <c r="S45" s="59"/>
      <c r="T45" s="59"/>
      <c r="U45" s="59"/>
      <c r="V45" s="59"/>
      <c r="W45" s="59"/>
      <c r="X45" s="60"/>
      <c r="Y45" s="60"/>
      <c r="Z45" s="60"/>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2.3944420000000002E-6</v>
      </c>
      <c r="AS45" s="1">
        <f t="shared" si="31"/>
        <v>0</v>
      </c>
      <c r="AT45" s="1">
        <f t="shared" si="32"/>
        <v>9.9999999999999995E-7</v>
      </c>
      <c r="AU45" s="1" t="e">
        <f t="shared" si="42"/>
        <v>#DIV/0!</v>
      </c>
      <c r="AV45" s="1" t="e">
        <f t="shared" si="33"/>
        <v>#DIV/0!</v>
      </c>
      <c r="AW45" s="1" t="e">
        <f t="shared" si="43"/>
        <v>#DIV/0!</v>
      </c>
      <c r="AX45" s="1">
        <f t="shared" si="34"/>
        <v>0</v>
      </c>
      <c r="AY45" t="e">
        <f t="shared" si="26"/>
        <v>#DIV/0!</v>
      </c>
      <c r="AZ45" s="1" t="e">
        <f t="shared" si="35"/>
        <v>#DIV/0!</v>
      </c>
      <c r="BA45" s="1" t="e">
        <f t="shared" si="44"/>
        <v>#DIV/0!</v>
      </c>
      <c r="BB45" s="1" t="e">
        <f t="shared" si="36"/>
        <v>#DIV/0!</v>
      </c>
      <c r="BC45" s="1" t="e">
        <f t="shared" si="17"/>
        <v>#DIV/0!</v>
      </c>
      <c r="BD45" t="e">
        <f t="shared" si="37"/>
        <v>#DIV/0!</v>
      </c>
      <c r="BF45" s="32"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3" t="e">
        <f>SQRT((K45/(1-BK45))^2+(BL45*J45/(1-BK45)^2)^2)</f>
        <v>#DIV/0!</v>
      </c>
      <c r="BO45" s="1" t="e">
        <f t="shared" si="38"/>
        <v>#DIV/0!</v>
      </c>
      <c r="BP45" s="33"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3" t="e">
        <f>BW45*SQRT((BN45/BM45)^2+(((BM45*($BU45+$BV45)^LN(Constants!$B$2/Constants!$B$3))-BW45)/BW45)^2)</f>
        <v>#DIV/0!</v>
      </c>
      <c r="BY45" t="e">
        <f>BO45*BU45^(LN(Constants!$B$2/Constants!$B$4))</f>
        <v>#DIV/0!</v>
      </c>
      <c r="BZ45" s="33" t="e">
        <f>BY45*SQRT((BP45/BO45)^2+(((BO45*($BU45+$BV45)^LN(Constants!$B$2/Constants!$B$4))-BY45)/BY45)^2)</f>
        <v>#DIV/0!</v>
      </c>
      <c r="CA45" t="e">
        <f>BS45*BU45^(LN(Constants!$B$2/Constants!$B$5))</f>
        <v>#DIV/0!</v>
      </c>
      <c r="CB45" s="33"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3" t="e">
        <f>CE45*SQRT((BN45/BM45)^2+(($BM45*($CC45+$CD45)^(LN(Constants!$B$2/Constants!$B$3))-CE45)/CE45)^2)</f>
        <v>#DIV/0!</v>
      </c>
      <c r="CG45" t="e">
        <f>BO45*CC45^(LN(Constants!$B$2/Constants!$B$4))</f>
        <v>#DIV/0!</v>
      </c>
      <c r="CH45" s="33" t="e">
        <f>CG45*SQRT((BP45/BO45)^2+((BO45*($CC45+$CD45)^(LN(Constants!$B$2/Constants!$B$4))-CG45)/CG45)^2)</f>
        <v>#DIV/0!</v>
      </c>
      <c r="CI45" t="e">
        <f>BQ45*$CC45^(LN(Constants!$B$3/Constants!$B$6))</f>
        <v>#DIV/0!</v>
      </c>
      <c r="CJ45" s="33" t="e">
        <f>CI45*SQRT((BR45/BQ45)^2+((BQ45*($CC45+$CD45)^(LN(Constants!$B$3/Constants!$B$6))-CI45)/CI45)^2)</f>
        <v>#DIV/0!</v>
      </c>
      <c r="CK45" t="e">
        <f>BS45*CC45^(LN(Constants!$B$2/Constants!$B$5))</f>
        <v>#DIV/0!</v>
      </c>
      <c r="CL45" s="33"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75" t="e">
        <f>$CQ45/$CS45</f>
        <v>#DIV/0!</v>
      </c>
      <c r="CZ45" s="75" t="e">
        <f>$CR45/$CS45-$CY45</f>
        <v>#DIV/0!</v>
      </c>
      <c r="DA45" s="75" t="e">
        <f>$CS45/$CS45-$CZ45-$CY45</f>
        <v>#DIV/0!</v>
      </c>
      <c r="DB45" s="75" t="e">
        <f>$CT45/$CW45</f>
        <v>#DIV/0!</v>
      </c>
      <c r="DC45" s="75" t="e">
        <f>$CU45/$CW45-$DB45</f>
        <v>#DIV/0!</v>
      </c>
      <c r="DD45" s="75" t="e">
        <f>$CV45/$CW45-$DC45-$DB45</f>
        <v>#DIV/0!</v>
      </c>
      <c r="DE45" s="75" t="e">
        <f>$CW45/$CW45-$DD45-$DC45-$DB45</f>
        <v>#DIV/0!</v>
      </c>
    </row>
    <row r="46" spans="1:109">
      <c r="A46" s="66">
        <f t="shared" si="46"/>
        <v>0</v>
      </c>
      <c r="B46" s="66"/>
      <c r="C46" s="66"/>
      <c r="J46" s="59"/>
      <c r="K46" s="59"/>
      <c r="L46" s="59"/>
      <c r="M46" s="59"/>
      <c r="N46" s="59"/>
      <c r="O46" s="59"/>
      <c r="P46" s="59"/>
      <c r="Q46" s="59"/>
      <c r="R46" s="59"/>
      <c r="S46" s="59"/>
      <c r="T46" s="59"/>
      <c r="U46" s="59"/>
      <c r="V46" s="59"/>
      <c r="W46" s="59"/>
      <c r="X46" s="60"/>
      <c r="Y46" s="60"/>
      <c r="Z46" s="60"/>
      <c r="AB46" s="59"/>
      <c r="AC46" s="59"/>
      <c r="AD46" s="59"/>
      <c r="AE46" s="59"/>
      <c r="AF46" s="59"/>
      <c r="AG46" s="59"/>
      <c r="AH46" s="59"/>
      <c r="AI46" s="59"/>
      <c r="AJ46" s="59"/>
      <c r="AK46" s="59"/>
      <c r="AL46" s="59"/>
      <c r="AM46" s="59"/>
      <c r="AN46" s="60"/>
      <c r="AO46" s="60"/>
      <c r="AP46" s="60"/>
      <c r="AQ46" s="1"/>
      <c r="AR46" s="1">
        <f>Constants!B$25</f>
        <v>2.3944420000000002E-6</v>
      </c>
      <c r="AS46" s="1">
        <f t="shared" si="31"/>
        <v>0</v>
      </c>
      <c r="AT46" s="1">
        <f t="shared" si="32"/>
        <v>9.9999999999999995E-7</v>
      </c>
      <c r="AU46" s="1" t="e">
        <f t="shared" si="42"/>
        <v>#NUM!</v>
      </c>
      <c r="AV46" s="1" t="e">
        <f t="shared" si="33"/>
        <v>#DIV/0!</v>
      </c>
      <c r="AW46" s="1" t="e">
        <f t="shared" si="43"/>
        <v>#NUM!</v>
      </c>
      <c r="AX46" s="1">
        <f t="shared" si="34"/>
        <v>0</v>
      </c>
      <c r="AY46" t="e">
        <f t="shared" si="26"/>
        <v>#DIV/0!</v>
      </c>
      <c r="AZ46" s="1" t="e">
        <f t="shared" si="35"/>
        <v>#DIV/0!</v>
      </c>
      <c r="BA46" s="1" t="e">
        <f t="shared" si="44"/>
        <v>#NUM!</v>
      </c>
      <c r="BB46" s="1" t="e">
        <f t="shared" si="36"/>
        <v>#NUM!</v>
      </c>
      <c r="BC46" s="1" t="e">
        <f t="shared" si="45"/>
        <v>#NUM!</v>
      </c>
      <c r="BD46" t="e">
        <f t="shared" si="37"/>
        <v>#NUM!</v>
      </c>
      <c r="BE46" s="1"/>
      <c r="BF46" s="32" t="e">
        <f t="shared" si="47"/>
        <v>#DIV/0!</v>
      </c>
      <c r="BG46" s="1" t="e">
        <f t="shared" si="48"/>
        <v>#DIV/0!</v>
      </c>
      <c r="BH46" s="1" t="e">
        <f t="shared" si="49"/>
        <v>#DIV/0!</v>
      </c>
      <c r="BI46" s="1" t="e">
        <f t="shared" si="50"/>
        <v>#NUM!</v>
      </c>
      <c r="BJ46" s="1" t="e">
        <f t="shared" si="51"/>
        <v>#NUM!</v>
      </c>
      <c r="BK46" s="1"/>
      <c r="BL46" s="1"/>
      <c r="BM46" s="1"/>
      <c r="BN46" s="1"/>
      <c r="BO46" s="1" t="e">
        <f t="shared" si="38"/>
        <v>#NUM!</v>
      </c>
      <c r="BP46" s="33"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3" t="e">
        <f>CK46*SQRT((BT46/BS46)^2+((BS46*($CC46+$CD46)^(LN(Constants!$B$2/Constants!$B$5))-CK46)/CK46)^2)</f>
        <v>#DIV/0!</v>
      </c>
    </row>
    <row r="47" spans="1:109">
      <c r="A47" s="66">
        <f t="shared" si="46"/>
        <v>0</v>
      </c>
      <c r="B47" t="str">
        <f>IF(NOT(ISBLANK($J47)),IF($T47&lt;Constants!$B$32,"low spike","OK"),"")</f>
        <v/>
      </c>
      <c r="C47" t="str">
        <f>IF(NOT(ISBLANK($J47)), IF((ABS($L46-$L48)/$L46)&gt;Constants!$B$33,"variable mass bias","OK"), "")</f>
        <v/>
      </c>
      <c r="D47" t="str">
        <f>IF(NOT(ISBLANK($J47)), IF((ABS($P46-$P48)/$P46)&gt;Constants!$B$34,"variable IC yield","OK"),"")</f>
        <v/>
      </c>
      <c r="E47" s="34" t="e">
        <f>CE47</f>
        <v>#DIV/0!</v>
      </c>
      <c r="F47" s="34" t="e">
        <f>CF47</f>
        <v>#DIV/0!</v>
      </c>
      <c r="G47" s="34" t="e">
        <f>CM47</f>
        <v>#DIV/0!</v>
      </c>
      <c r="H47" s="47" t="e">
        <f>CN47</f>
        <v>#DIV/0!</v>
      </c>
      <c r="I47" s="33"/>
      <c r="J47" s="59"/>
      <c r="K47" s="59"/>
      <c r="L47" s="59"/>
      <c r="M47" s="59"/>
      <c r="N47" s="59"/>
      <c r="O47" s="59"/>
      <c r="P47" s="59"/>
      <c r="Q47" s="59"/>
      <c r="R47" s="59"/>
      <c r="S47" s="59"/>
      <c r="T47" s="59"/>
      <c r="U47" s="59"/>
      <c r="V47" s="59"/>
      <c r="W47" s="59"/>
      <c r="X47" s="60"/>
      <c r="Y47" s="60"/>
      <c r="Z47" s="60"/>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2.3944420000000002E-6</v>
      </c>
      <c r="AS47" s="1">
        <f t="shared" si="31"/>
        <v>0</v>
      </c>
      <c r="AT47" s="1">
        <f t="shared" si="32"/>
        <v>9.9999999999999995E-7</v>
      </c>
      <c r="AU47" s="1" t="e">
        <f t="shared" si="42"/>
        <v>#DIV/0!</v>
      </c>
      <c r="AV47" s="1" t="e">
        <f t="shared" si="33"/>
        <v>#DIV/0!</v>
      </c>
      <c r="AW47" s="1" t="e">
        <f t="shared" si="43"/>
        <v>#DIV/0!</v>
      </c>
      <c r="AX47" s="1">
        <f t="shared" si="34"/>
        <v>0</v>
      </c>
      <c r="AY47" t="e">
        <f t="shared" si="26"/>
        <v>#DIV/0!</v>
      </c>
      <c r="AZ47" s="1" t="e">
        <f t="shared" si="35"/>
        <v>#DIV/0!</v>
      </c>
      <c r="BA47" s="1" t="e">
        <f t="shared" si="44"/>
        <v>#DIV/0!</v>
      </c>
      <c r="BB47" s="1" t="e">
        <f t="shared" si="36"/>
        <v>#DIV/0!</v>
      </c>
      <c r="BC47" s="1" t="e">
        <f t="shared" si="17"/>
        <v>#DIV/0!</v>
      </c>
      <c r="BD47" t="e">
        <f t="shared" si="37"/>
        <v>#DIV/0!</v>
      </c>
      <c r="BF47" s="32"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3" t="e">
        <f>SQRT((K47/(1-BK47))^2+(BL47*J47/(1-BK47)^2)^2)</f>
        <v>#DIV/0!</v>
      </c>
      <c r="BO47" s="1" t="e">
        <f t="shared" si="38"/>
        <v>#DIV/0!</v>
      </c>
      <c r="BP47" s="33"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3" t="e">
        <f>BW47*SQRT((BN47/BM47)^2+(((BM47*($BU47+$BV47)^LN(Constants!$B$2/Constants!$B$3))-BW47)/BW47)^2)</f>
        <v>#DIV/0!</v>
      </c>
      <c r="BY47" t="e">
        <f>BO47*BU47^(LN(Constants!$B$2/Constants!$B$4))</f>
        <v>#DIV/0!</v>
      </c>
      <c r="BZ47" s="33" t="e">
        <f>BY47*SQRT((BP47/BO47)^2+(((BO47*($BU47+$BV47)^LN(Constants!$B$2/Constants!$B$4))-BY47)/BY47)^2)</f>
        <v>#DIV/0!</v>
      </c>
      <c r="CA47" t="e">
        <f>BS47*BU47^(LN(Constants!$B$2/Constants!$B$5))</f>
        <v>#DIV/0!</v>
      </c>
      <c r="CB47" s="33"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3" t="e">
        <f>CE47*SQRT((BN47/BM47)^2+(($BM47*($CC47+$CD47)^(LN(Constants!$B$2/Constants!$B$3))-CE47)/CE47)^2)</f>
        <v>#DIV/0!</v>
      </c>
      <c r="CG47" t="e">
        <f>BO47*CC47^(LN(Constants!$B$2/Constants!$B$4))</f>
        <v>#DIV/0!</v>
      </c>
      <c r="CH47" s="33" t="e">
        <f>CG47*SQRT((BP47/BO47)^2+((BO47*($CC47+$CD47)^(LN(Constants!$B$2/Constants!$B$4))-CG47)/CG47)^2)</f>
        <v>#DIV/0!</v>
      </c>
      <c r="CI47" t="e">
        <f>BQ47*$CC47^(LN(Constants!$B$3/Constants!$B$6))</f>
        <v>#DIV/0!</v>
      </c>
      <c r="CJ47" s="33" t="e">
        <f>CI47*SQRT((BR47/BQ47)^2+((BQ47*($CC47+$CD47)^(LN(Constants!$B$3/Constants!$B$6))-CI47)/CI47)^2)</f>
        <v>#DIV/0!</v>
      </c>
      <c r="CK47" t="e">
        <f>BS47*CC47^(LN(Constants!$B$2/Constants!$B$5))</f>
        <v>#DIV/0!</v>
      </c>
      <c r="CL47" s="33"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75" t="e">
        <f>$CQ47/$CS47</f>
        <v>#DIV/0!</v>
      </c>
      <c r="CZ47" s="75" t="e">
        <f>$CR47/$CS47-$CY47</f>
        <v>#DIV/0!</v>
      </c>
      <c r="DA47" s="75" t="e">
        <f>$CS47/$CS47-$CZ47-$CY47</f>
        <v>#DIV/0!</v>
      </c>
      <c r="DB47" s="75" t="e">
        <f>$CT47/$CW47</f>
        <v>#DIV/0!</v>
      </c>
      <c r="DC47" s="75" t="e">
        <f>$CU47/$CW47-$DB47</f>
        <v>#DIV/0!</v>
      </c>
      <c r="DD47" s="75" t="e">
        <f>$CV47/$CW47-$DC47-$DB47</f>
        <v>#DIV/0!</v>
      </c>
      <c r="DE47" s="75" t="e">
        <f>$CW47/$CW47-$DD47-$DC47-$DB47</f>
        <v>#DIV/0!</v>
      </c>
    </row>
    <row r="48" spans="1:109">
      <c r="A48" s="1">
        <f t="shared" si="46"/>
        <v>0</v>
      </c>
      <c r="B48" s="1"/>
      <c r="C48" s="1"/>
      <c r="J48" s="59"/>
      <c r="K48" s="59"/>
      <c r="L48" s="59"/>
      <c r="M48" s="59"/>
      <c r="N48" s="59"/>
      <c r="O48" s="59"/>
      <c r="P48" s="59"/>
      <c r="Q48" s="59"/>
      <c r="R48" s="59"/>
      <c r="S48" s="59"/>
      <c r="T48" s="59"/>
      <c r="U48" s="59"/>
      <c r="V48" s="59"/>
      <c r="W48" s="59"/>
      <c r="X48" s="60"/>
      <c r="Y48" s="60"/>
      <c r="Z48" s="60"/>
      <c r="AB48" s="59"/>
      <c r="AC48" s="59"/>
      <c r="AD48" s="59"/>
      <c r="AE48" s="59"/>
      <c r="AF48" s="59"/>
      <c r="AG48" s="59"/>
      <c r="AH48" s="59"/>
      <c r="AI48" s="59"/>
      <c r="AJ48" s="59"/>
      <c r="AK48" s="59"/>
      <c r="AL48" s="59"/>
      <c r="AM48" s="59"/>
      <c r="AN48" s="60"/>
      <c r="AO48" s="60"/>
      <c r="AP48" s="60"/>
      <c r="AQ48" s="1"/>
      <c r="AR48" s="1">
        <f>Constants!B$25</f>
        <v>2.3944420000000002E-6</v>
      </c>
      <c r="AS48" s="1">
        <f t="shared" si="31"/>
        <v>0</v>
      </c>
      <c r="AT48" s="1">
        <f t="shared" si="32"/>
        <v>9.9999999999999995E-7</v>
      </c>
      <c r="AU48" s="1" t="e">
        <f t="shared" si="42"/>
        <v>#NUM!</v>
      </c>
      <c r="AV48" s="1" t="e">
        <f t="shared" si="33"/>
        <v>#DIV/0!</v>
      </c>
      <c r="AW48" s="1" t="e">
        <f t="shared" si="43"/>
        <v>#NUM!</v>
      </c>
      <c r="AX48" s="1">
        <f t="shared" si="34"/>
        <v>0</v>
      </c>
      <c r="AY48" t="e">
        <f t="shared" si="26"/>
        <v>#DIV/0!</v>
      </c>
      <c r="AZ48" s="1" t="e">
        <f t="shared" si="35"/>
        <v>#DIV/0!</v>
      </c>
      <c r="BA48" s="1" t="e">
        <f t="shared" si="44"/>
        <v>#NUM!</v>
      </c>
      <c r="BB48" s="1" t="e">
        <f t="shared" si="36"/>
        <v>#NUM!</v>
      </c>
      <c r="BC48" s="1" t="e">
        <f t="shared" si="45"/>
        <v>#NUM!</v>
      </c>
      <c r="BD48" t="e">
        <f t="shared" si="37"/>
        <v>#NUM!</v>
      </c>
      <c r="BE48" s="1"/>
      <c r="BF48" s="32" t="e">
        <f t="shared" si="47"/>
        <v>#DIV/0!</v>
      </c>
      <c r="BG48" s="1" t="e">
        <f t="shared" si="48"/>
        <v>#DIV/0!</v>
      </c>
      <c r="BH48" s="1" t="e">
        <f t="shared" si="49"/>
        <v>#DIV/0!</v>
      </c>
      <c r="BI48" s="1" t="e">
        <f t="shared" si="50"/>
        <v>#NUM!</v>
      </c>
      <c r="BJ48" s="1" t="e">
        <f t="shared" si="51"/>
        <v>#NUM!</v>
      </c>
      <c r="BK48" s="1"/>
      <c r="BL48" s="1"/>
      <c r="BM48" s="1"/>
      <c r="BN48" s="1"/>
      <c r="BO48" s="1" t="e">
        <f t="shared" si="38"/>
        <v>#NUM!</v>
      </c>
      <c r="BP48" s="33"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3" t="e">
        <f>CK48*SQRT((BT48/BS48)^2+((BS48*($CC48+$CD48)^(LN(Constants!$B$2/Constants!$B$5))-CK48)/CK48)^2)</f>
        <v>#DIV/0!</v>
      </c>
    </row>
    <row r="49" spans="1:109">
      <c r="A49" s="66">
        <f t="shared" si="46"/>
        <v>0</v>
      </c>
      <c r="B49" t="str">
        <f>IF(NOT(ISBLANK($J49)),IF($T49&lt;Constants!$B$32,"low spike","OK"),"")</f>
        <v/>
      </c>
      <c r="C49" t="str">
        <f>IF(NOT(ISBLANK($J49)), IF((ABS($L48-$L50)/$L48)&gt;Constants!$B$33,"variable mass bias","OK"), "")</f>
        <v/>
      </c>
      <c r="D49" t="str">
        <f>IF(NOT(ISBLANK($J49)), IF((ABS($P48-$P50)/$P48)&gt;Constants!$B$34,"variable IC yield","OK"),"")</f>
        <v/>
      </c>
      <c r="E49" s="34" t="e">
        <f>CE49</f>
        <v>#DIV/0!</v>
      </c>
      <c r="F49" s="34" t="e">
        <f>CF49</f>
        <v>#DIV/0!</v>
      </c>
      <c r="G49" s="34" t="e">
        <f>CM49</f>
        <v>#DIV/0!</v>
      </c>
      <c r="H49" s="47" t="e">
        <f>CN49</f>
        <v>#DIV/0!</v>
      </c>
      <c r="I49" s="33"/>
      <c r="J49" s="59"/>
      <c r="K49" s="59"/>
      <c r="L49" s="59"/>
      <c r="M49" s="59"/>
      <c r="N49" s="59"/>
      <c r="O49" s="59"/>
      <c r="P49" s="59"/>
      <c r="Q49" s="59"/>
      <c r="R49" s="59"/>
      <c r="S49" s="59"/>
      <c r="T49" s="59"/>
      <c r="U49" s="59"/>
      <c r="V49" s="59"/>
      <c r="W49" s="59"/>
      <c r="X49" s="60"/>
      <c r="Y49" s="60"/>
      <c r="Z49" s="60"/>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2.3944420000000002E-6</v>
      </c>
      <c r="AS49" s="1">
        <f t="shared" si="31"/>
        <v>0</v>
      </c>
      <c r="AT49" s="1">
        <f t="shared" si="32"/>
        <v>9.9999999999999995E-7</v>
      </c>
      <c r="AU49" s="1" t="e">
        <f t="shared" si="42"/>
        <v>#DIV/0!</v>
      </c>
      <c r="AV49" s="1" t="e">
        <f t="shared" si="33"/>
        <v>#DIV/0!</v>
      </c>
      <c r="AW49" s="1" t="e">
        <f t="shared" si="43"/>
        <v>#DIV/0!</v>
      </c>
      <c r="AX49" s="1">
        <f t="shared" si="34"/>
        <v>0</v>
      </c>
      <c r="AY49" t="e">
        <f t="shared" si="26"/>
        <v>#DIV/0!</v>
      </c>
      <c r="AZ49" s="1" t="e">
        <f t="shared" si="35"/>
        <v>#DIV/0!</v>
      </c>
      <c r="BA49" s="1" t="e">
        <f t="shared" si="44"/>
        <v>#DIV/0!</v>
      </c>
      <c r="BB49" s="1" t="e">
        <f t="shared" si="36"/>
        <v>#DIV/0!</v>
      </c>
      <c r="BC49" s="1" t="e">
        <f t="shared" si="17"/>
        <v>#DIV/0!</v>
      </c>
      <c r="BD49" t="e">
        <f t="shared" si="37"/>
        <v>#DIV/0!</v>
      </c>
      <c r="BF49" s="32"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3" t="e">
        <f>SQRT((K49/(1-BK49))^2+(BL49*J49/(1-BK49)^2)^2)</f>
        <v>#DIV/0!</v>
      </c>
      <c r="BO49" s="1" t="e">
        <f t="shared" si="38"/>
        <v>#DIV/0!</v>
      </c>
      <c r="BP49" s="33"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3" t="e">
        <f>BW49*SQRT((BN49/BM49)^2+(((BM49*($BU49+$BV49)^LN(Constants!$B$2/Constants!$B$3))-BW49)/BW49)^2)</f>
        <v>#DIV/0!</v>
      </c>
      <c r="BY49" t="e">
        <f>BO49*BU49^(LN(Constants!$B$2/Constants!$B$4))</f>
        <v>#DIV/0!</v>
      </c>
      <c r="BZ49" s="33" t="e">
        <f>BY49*SQRT((BP49/BO49)^2+(((BO49*($BU49+$BV49)^LN(Constants!$B$2/Constants!$B$4))-BY49)/BY49)^2)</f>
        <v>#DIV/0!</v>
      </c>
      <c r="CA49" t="e">
        <f>BS49*BU49^(LN(Constants!$B$2/Constants!$B$5))</f>
        <v>#DIV/0!</v>
      </c>
      <c r="CB49" s="33"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3" t="e">
        <f>CE49*SQRT((BN49/BM49)^2+(($BM49*($CC49+$CD49)^(LN(Constants!$B$2/Constants!$B$3))-CE49)/CE49)^2)</f>
        <v>#DIV/0!</v>
      </c>
      <c r="CG49" t="e">
        <f>BO49*CC49^(LN(Constants!$B$2/Constants!$B$4))</f>
        <v>#DIV/0!</v>
      </c>
      <c r="CH49" s="33" t="e">
        <f>CG49*SQRT((BP49/BO49)^2+((BO49*($CC49+$CD49)^(LN(Constants!$B$2/Constants!$B$4))-CG49)/CG49)^2)</f>
        <v>#DIV/0!</v>
      </c>
      <c r="CI49" t="e">
        <f>BQ49*$CC49^(LN(Constants!$B$3/Constants!$B$6))</f>
        <v>#DIV/0!</v>
      </c>
      <c r="CJ49" s="33" t="e">
        <f>CI49*SQRT((BR49/BQ49)^2+((BQ49*($CC49+$CD49)^(LN(Constants!$B$3/Constants!$B$6))-CI49)/CI49)^2)</f>
        <v>#DIV/0!</v>
      </c>
      <c r="CK49" t="e">
        <f>BS49*CC49^(LN(Constants!$B$2/Constants!$B$5))</f>
        <v>#DIV/0!</v>
      </c>
      <c r="CL49" s="33"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75" t="e">
        <f>$CQ49/$CS49</f>
        <v>#DIV/0!</v>
      </c>
      <c r="CZ49" s="75" t="e">
        <f>$CR49/$CS49-$CY49</f>
        <v>#DIV/0!</v>
      </c>
      <c r="DA49" s="75" t="e">
        <f>$CS49/$CS49-$CZ49-$CY49</f>
        <v>#DIV/0!</v>
      </c>
      <c r="DB49" s="75" t="e">
        <f>$CT49/$CW49</f>
        <v>#DIV/0!</v>
      </c>
      <c r="DC49" s="75" t="e">
        <f>$CU49/$CW49-$DB49</f>
        <v>#DIV/0!</v>
      </c>
      <c r="DD49" s="75" t="e">
        <f>$CV49/$CW49-$DC49-$DB49</f>
        <v>#DIV/0!</v>
      </c>
      <c r="DE49" s="75" t="e">
        <f>$CW49/$CW49-$DD49-$DC49-$DB49</f>
        <v>#DIV/0!</v>
      </c>
    </row>
    <row r="50" spans="1:109">
      <c r="A50" s="1">
        <f t="shared" si="46"/>
        <v>0</v>
      </c>
      <c r="B50" s="1"/>
      <c r="C50" s="1"/>
      <c r="J50" s="59"/>
      <c r="K50" s="59"/>
      <c r="L50" s="59"/>
      <c r="M50" s="59"/>
      <c r="N50" s="59"/>
      <c r="O50" s="59"/>
      <c r="P50" s="59"/>
      <c r="Q50" s="59"/>
      <c r="R50" s="59"/>
      <c r="S50" s="59"/>
      <c r="T50" s="59"/>
      <c r="U50" s="59"/>
      <c r="V50" s="59"/>
      <c r="W50" s="59"/>
      <c r="X50" s="60"/>
      <c r="Y50" s="60"/>
      <c r="Z50" s="60"/>
      <c r="AB50" s="59"/>
      <c r="AC50" s="59"/>
      <c r="AD50" s="59"/>
      <c r="AE50" s="59"/>
      <c r="AF50" s="59"/>
      <c r="AG50" s="59"/>
      <c r="AH50" s="59"/>
      <c r="AI50" s="59"/>
      <c r="AJ50" s="59"/>
      <c r="AK50" s="59"/>
      <c r="AL50" s="59"/>
      <c r="AM50" s="59"/>
      <c r="AN50" s="60"/>
      <c r="AO50" s="60"/>
      <c r="AP50" s="60"/>
      <c r="AQ50" s="1"/>
      <c r="AR50" s="1">
        <f>Constants!B$25</f>
        <v>2.3944420000000002E-6</v>
      </c>
      <c r="AS50" s="1">
        <f t="shared" si="31"/>
        <v>0</v>
      </c>
      <c r="AT50" s="1">
        <f t="shared" si="32"/>
        <v>9.9999999999999995E-7</v>
      </c>
      <c r="AU50" s="1" t="e">
        <f t="shared" si="42"/>
        <v>#NUM!</v>
      </c>
      <c r="AV50" s="1" t="e">
        <f t="shared" si="33"/>
        <v>#DIV/0!</v>
      </c>
      <c r="AW50" s="1" t="e">
        <f t="shared" si="43"/>
        <v>#NUM!</v>
      </c>
      <c r="AX50" s="1">
        <f t="shared" si="34"/>
        <v>0</v>
      </c>
      <c r="AY50" t="e">
        <f t="shared" si="26"/>
        <v>#DIV/0!</v>
      </c>
      <c r="AZ50" s="1" t="e">
        <f t="shared" si="35"/>
        <v>#DIV/0!</v>
      </c>
      <c r="BA50" s="1" t="e">
        <f t="shared" si="44"/>
        <v>#NUM!</v>
      </c>
      <c r="BB50" s="1" t="e">
        <f t="shared" si="36"/>
        <v>#NUM!</v>
      </c>
      <c r="BC50" s="1" t="e">
        <f t="shared" si="45"/>
        <v>#NUM!</v>
      </c>
      <c r="BD50" t="e">
        <f t="shared" si="37"/>
        <v>#NUM!</v>
      </c>
      <c r="BE50" s="1"/>
      <c r="BF50" s="32" t="e">
        <f t="shared" si="47"/>
        <v>#DIV/0!</v>
      </c>
      <c r="BG50" s="1" t="e">
        <f t="shared" si="48"/>
        <v>#DIV/0!</v>
      </c>
      <c r="BH50" s="1" t="e">
        <f t="shared" si="49"/>
        <v>#DIV/0!</v>
      </c>
      <c r="BI50" s="1" t="e">
        <f t="shared" si="50"/>
        <v>#NUM!</v>
      </c>
      <c r="BJ50" s="1" t="e">
        <f t="shared" si="51"/>
        <v>#NUM!</v>
      </c>
      <c r="BK50" s="1"/>
      <c r="BL50" s="1"/>
      <c r="BM50" s="1"/>
      <c r="BN50" s="1"/>
      <c r="BO50" s="1" t="e">
        <f t="shared" si="38"/>
        <v>#NUM!</v>
      </c>
      <c r="BP50" s="33"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3" t="e">
        <f>CK50*SQRT((BT50/BS50)^2+((BS50*($CC50+$CD50)^(LN(Constants!$B$2/Constants!$B$5))-CK50)/CK50)^2)</f>
        <v>#DIV/0!</v>
      </c>
    </row>
    <row r="51" spans="1:109">
      <c r="A51" s="66">
        <f t="shared" si="46"/>
        <v>0</v>
      </c>
      <c r="B51" t="str">
        <f>IF(NOT(ISBLANK($J51)),IF($T51&lt;Constants!$B$32,"low spike","OK"),"")</f>
        <v/>
      </c>
      <c r="C51" t="str">
        <f>IF(NOT(ISBLANK($J51)), IF((ABS($L50-$L52)/$L50)&gt;Constants!$B$33,"variable mass bias","OK"), "")</f>
        <v/>
      </c>
      <c r="D51" t="str">
        <f>IF(NOT(ISBLANK($J51)), IF((ABS($P50-$P52)/$P50)&gt;Constants!$B$34,"variable IC yield","OK"),"")</f>
        <v/>
      </c>
      <c r="E51" s="34" t="e">
        <f>CE51</f>
        <v>#DIV/0!</v>
      </c>
      <c r="F51" s="34" t="e">
        <f>CF51</f>
        <v>#DIV/0!</v>
      </c>
      <c r="G51" s="34" t="e">
        <f>CM51</f>
        <v>#DIV/0!</v>
      </c>
      <c r="H51" s="47" t="e">
        <f>CN51</f>
        <v>#DIV/0!</v>
      </c>
      <c r="I51" s="33"/>
      <c r="J51" s="59"/>
      <c r="K51" s="59"/>
      <c r="L51" s="59"/>
      <c r="M51" s="59"/>
      <c r="N51" s="59"/>
      <c r="O51" s="59"/>
      <c r="P51" s="59"/>
      <c r="Q51" s="59"/>
      <c r="R51" s="59"/>
      <c r="S51" s="59"/>
      <c r="T51" s="59"/>
      <c r="U51" s="59"/>
      <c r="V51" s="59"/>
      <c r="W51" s="59"/>
      <c r="X51" s="60"/>
      <c r="Y51" s="60"/>
      <c r="Z51" s="60"/>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2.3944420000000002E-6</v>
      </c>
      <c r="AS51" s="1">
        <f t="shared" si="31"/>
        <v>0</v>
      </c>
      <c r="AT51" s="1">
        <f t="shared" si="32"/>
        <v>9.9999999999999995E-7</v>
      </c>
      <c r="AU51" s="1" t="e">
        <f t="shared" si="42"/>
        <v>#DIV/0!</v>
      </c>
      <c r="AV51" s="1" t="e">
        <f t="shared" si="33"/>
        <v>#DIV/0!</v>
      </c>
      <c r="AW51" s="1" t="e">
        <f t="shared" si="43"/>
        <v>#DIV/0!</v>
      </c>
      <c r="AX51" s="1">
        <f t="shared" si="34"/>
        <v>0</v>
      </c>
      <c r="AY51" t="e">
        <f t="shared" si="26"/>
        <v>#DIV/0!</v>
      </c>
      <c r="AZ51" s="1" t="e">
        <f t="shared" si="35"/>
        <v>#DIV/0!</v>
      </c>
      <c r="BA51" s="1" t="e">
        <f t="shared" si="44"/>
        <v>#DIV/0!</v>
      </c>
      <c r="BB51" s="1" t="e">
        <f t="shared" si="36"/>
        <v>#DIV/0!</v>
      </c>
      <c r="BC51" s="1" t="e">
        <f t="shared" si="17"/>
        <v>#DIV/0!</v>
      </c>
      <c r="BD51" t="e">
        <f t="shared" si="37"/>
        <v>#DIV/0!</v>
      </c>
      <c r="BF51" s="32"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3" t="e">
        <f>SQRT((K51/(1-BK51))^2+(BL51*J51/(1-BK51)^2)^2)</f>
        <v>#DIV/0!</v>
      </c>
      <c r="BO51" s="1" t="e">
        <f t="shared" si="38"/>
        <v>#DIV/0!</v>
      </c>
      <c r="BP51" s="33"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3" t="e">
        <f>BW51*SQRT((BN51/BM51)^2+(((BM51*($BU51+$BV51)^LN(Constants!$B$2/Constants!$B$3))-BW51)/BW51)^2)</f>
        <v>#DIV/0!</v>
      </c>
      <c r="BY51" t="e">
        <f>BO51*BU51^(LN(Constants!$B$2/Constants!$B$4))</f>
        <v>#DIV/0!</v>
      </c>
      <c r="BZ51" s="33" t="e">
        <f>BY51*SQRT((BP51/BO51)^2+(((BO51*($BU51+$BV51)^LN(Constants!$B$2/Constants!$B$4))-BY51)/BY51)^2)</f>
        <v>#DIV/0!</v>
      </c>
      <c r="CA51" t="e">
        <f>BS51*BU51^(LN(Constants!$B$2/Constants!$B$5))</f>
        <v>#DIV/0!</v>
      </c>
      <c r="CB51" s="33"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3" t="e">
        <f>CE51*SQRT((BN51/BM51)^2+(($BM51*($CC51+$CD51)^(LN(Constants!$B$2/Constants!$B$3))-CE51)/CE51)^2)</f>
        <v>#DIV/0!</v>
      </c>
      <c r="CG51" t="e">
        <f>BO51*CC51^(LN(Constants!$B$2/Constants!$B$4))</f>
        <v>#DIV/0!</v>
      </c>
      <c r="CH51" s="33" t="e">
        <f>CG51*SQRT((BP51/BO51)^2+((BO51*($CC51+$CD51)^(LN(Constants!$B$2/Constants!$B$4))-CG51)/CG51)^2)</f>
        <v>#DIV/0!</v>
      </c>
      <c r="CI51" t="e">
        <f>BQ51*$CC51^(LN(Constants!$B$3/Constants!$B$6))</f>
        <v>#DIV/0!</v>
      </c>
      <c r="CJ51" s="33" t="e">
        <f>CI51*SQRT((BR51/BQ51)^2+((BQ51*($CC51+$CD51)^(LN(Constants!$B$3/Constants!$B$6))-CI51)/CI51)^2)</f>
        <v>#DIV/0!</v>
      </c>
      <c r="CK51" t="e">
        <f>BS51*CC51^(LN(Constants!$B$2/Constants!$B$5))</f>
        <v>#DIV/0!</v>
      </c>
      <c r="CL51" s="33"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75" t="e">
        <f>$CQ51/$CS51</f>
        <v>#DIV/0!</v>
      </c>
      <c r="CZ51" s="75" t="e">
        <f>$CR51/$CS51-$CY51</f>
        <v>#DIV/0!</v>
      </c>
      <c r="DA51" s="75" t="e">
        <f>$CS51/$CS51-$CZ51-$CY51</f>
        <v>#DIV/0!</v>
      </c>
      <c r="DB51" s="75" t="e">
        <f>$CT51/$CW51</f>
        <v>#DIV/0!</v>
      </c>
      <c r="DC51" s="75" t="e">
        <f>$CU51/$CW51-$DB51</f>
        <v>#DIV/0!</v>
      </c>
      <c r="DD51" s="75" t="e">
        <f>$CV51/$CW51-$DC51-$DB51</f>
        <v>#DIV/0!</v>
      </c>
      <c r="DE51" s="75" t="e">
        <f>$CW51/$CW51-$DD51-$DC51-$DB51</f>
        <v>#DIV/0!</v>
      </c>
    </row>
    <row r="52" spans="1:109">
      <c r="A52" s="1">
        <f t="shared" si="46"/>
        <v>0</v>
      </c>
      <c r="B52" s="1"/>
      <c r="C52" s="1"/>
      <c r="J52" s="59"/>
      <c r="K52" s="59"/>
      <c r="L52" s="59"/>
      <c r="M52" s="59"/>
      <c r="N52" s="59"/>
      <c r="O52" s="59"/>
      <c r="P52" s="59"/>
      <c r="Q52" s="59"/>
      <c r="R52" s="59"/>
      <c r="S52" s="59"/>
      <c r="T52" s="59"/>
      <c r="U52" s="59"/>
      <c r="V52" s="59"/>
      <c r="W52" s="59"/>
      <c r="X52" s="60"/>
      <c r="Y52" s="60"/>
      <c r="Z52" s="60"/>
      <c r="AB52" s="59"/>
      <c r="AC52" s="59"/>
      <c r="AD52" s="59"/>
      <c r="AE52" s="59"/>
      <c r="AF52" s="59"/>
      <c r="AG52" s="59"/>
      <c r="AH52" s="59"/>
      <c r="AI52" s="59"/>
      <c r="AJ52" s="59"/>
      <c r="AK52" s="59"/>
      <c r="AL52" s="59"/>
      <c r="AM52" s="59"/>
      <c r="AN52" s="60"/>
      <c r="AO52" s="60"/>
      <c r="AP52" s="60"/>
      <c r="AQ52" s="1"/>
      <c r="AR52" s="1">
        <f>Constants!B$25</f>
        <v>2.3944420000000002E-6</v>
      </c>
      <c r="AS52" s="1">
        <f t="shared" si="31"/>
        <v>0</v>
      </c>
      <c r="AT52" s="1">
        <f t="shared" si="32"/>
        <v>9.9999999999999995E-7</v>
      </c>
      <c r="AU52" s="1" t="e">
        <f t="shared" si="42"/>
        <v>#NUM!</v>
      </c>
      <c r="AV52" s="1" t="e">
        <f t="shared" si="33"/>
        <v>#DIV/0!</v>
      </c>
      <c r="AW52" s="1" t="e">
        <f t="shared" si="43"/>
        <v>#NUM!</v>
      </c>
      <c r="AX52" s="1">
        <f t="shared" si="34"/>
        <v>0</v>
      </c>
      <c r="AY52" t="e">
        <f t="shared" si="26"/>
        <v>#DIV/0!</v>
      </c>
      <c r="AZ52" s="1" t="e">
        <f t="shared" si="35"/>
        <v>#DIV/0!</v>
      </c>
      <c r="BA52" s="1" t="e">
        <f t="shared" si="44"/>
        <v>#NUM!</v>
      </c>
      <c r="BB52" s="1" t="e">
        <f t="shared" si="36"/>
        <v>#NUM!</v>
      </c>
      <c r="BC52" s="1" t="e">
        <f t="shared" si="45"/>
        <v>#NUM!</v>
      </c>
      <c r="BD52" t="e">
        <f t="shared" si="37"/>
        <v>#NUM!</v>
      </c>
      <c r="BE52" s="1"/>
      <c r="BF52" s="32" t="e">
        <f t="shared" si="47"/>
        <v>#DIV/0!</v>
      </c>
      <c r="BG52" s="1" t="e">
        <f t="shared" si="48"/>
        <v>#DIV/0!</v>
      </c>
      <c r="BH52" s="1" t="e">
        <f t="shared" si="49"/>
        <v>#DIV/0!</v>
      </c>
      <c r="BI52" s="1" t="e">
        <f t="shared" si="50"/>
        <v>#NUM!</v>
      </c>
      <c r="BJ52" s="1" t="e">
        <f t="shared" si="51"/>
        <v>#NUM!</v>
      </c>
      <c r="BK52" s="1"/>
      <c r="BL52" s="1"/>
      <c r="BM52" s="1"/>
      <c r="BN52" s="1"/>
      <c r="BO52" s="1" t="e">
        <f t="shared" si="38"/>
        <v>#NUM!</v>
      </c>
      <c r="BP52" s="33"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3" t="e">
        <f>CK52*SQRT((BT52/BS52)^2+((BS52*($CC52+$CD52)^(LN(Constants!$B$2/Constants!$B$5))-CK52)/CK52)^2)</f>
        <v>#DIV/0!</v>
      </c>
      <c r="CR52" s="1"/>
      <c r="CS52" s="1"/>
      <c r="CU52" s="1"/>
      <c r="CV52" s="1"/>
      <c r="CW52" s="1"/>
    </row>
    <row r="53" spans="1:109">
      <c r="A53" s="66">
        <f t="shared" si="46"/>
        <v>0</v>
      </c>
      <c r="B53" t="str">
        <f>IF(NOT(ISBLANK($J53)),IF($T53&lt;Constants!$B$32,"low spike","OK"),"")</f>
        <v/>
      </c>
      <c r="C53" t="str">
        <f>IF(NOT(ISBLANK($J53)), IF((ABS($L52-$L54)/$L52)&gt;Constants!$B$33,"variable mass bias","OK"), "")</f>
        <v/>
      </c>
      <c r="D53" t="str">
        <f>IF(NOT(ISBLANK($J53)), IF((ABS($P52-$P54)/$P52)&gt;Constants!$B$34,"variable IC yield","OK"),"")</f>
        <v/>
      </c>
      <c r="E53" s="34" t="e">
        <f>CE53</f>
        <v>#DIV/0!</v>
      </c>
      <c r="F53" s="34" t="e">
        <f>CF53</f>
        <v>#DIV/0!</v>
      </c>
      <c r="G53" s="34" t="e">
        <f>CM53</f>
        <v>#DIV/0!</v>
      </c>
      <c r="H53" s="47" t="e">
        <f>CN53</f>
        <v>#DIV/0!</v>
      </c>
      <c r="I53" s="33"/>
      <c r="J53" s="59"/>
      <c r="K53" s="59"/>
      <c r="L53" s="59"/>
      <c r="M53" s="59"/>
      <c r="N53" s="59"/>
      <c r="O53" s="59"/>
      <c r="P53" s="59"/>
      <c r="Q53" s="59"/>
      <c r="R53" s="59"/>
      <c r="S53" s="59"/>
      <c r="T53" s="59"/>
      <c r="U53" s="59"/>
      <c r="V53" s="59"/>
      <c r="W53" s="59"/>
      <c r="X53" s="60"/>
      <c r="Y53" s="60"/>
      <c r="Z53" s="60"/>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2.3944420000000002E-6</v>
      </c>
      <c r="AS53" s="1">
        <f t="shared" si="31"/>
        <v>0</v>
      </c>
      <c r="AT53" s="1">
        <f t="shared" si="32"/>
        <v>9.9999999999999995E-7</v>
      </c>
      <c r="AU53" s="1" t="e">
        <f t="shared" si="42"/>
        <v>#DIV/0!</v>
      </c>
      <c r="AV53" s="1" t="e">
        <f t="shared" si="33"/>
        <v>#DIV/0!</v>
      </c>
      <c r="AW53" s="1" t="e">
        <f t="shared" si="43"/>
        <v>#DIV/0!</v>
      </c>
      <c r="AX53" s="1">
        <f t="shared" si="34"/>
        <v>0</v>
      </c>
      <c r="AY53" t="e">
        <f t="shared" si="26"/>
        <v>#DIV/0!</v>
      </c>
      <c r="AZ53" s="1" t="e">
        <f t="shared" si="35"/>
        <v>#DIV/0!</v>
      </c>
      <c r="BA53" s="1" t="e">
        <f t="shared" si="44"/>
        <v>#DIV/0!</v>
      </c>
      <c r="BB53" s="1" t="e">
        <f t="shared" si="36"/>
        <v>#DIV/0!</v>
      </c>
      <c r="BC53" s="1" t="e">
        <f t="shared" si="17"/>
        <v>#DIV/0!</v>
      </c>
      <c r="BD53" t="e">
        <f t="shared" si="37"/>
        <v>#DIV/0!</v>
      </c>
      <c r="BF53" s="32"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3" t="e">
        <f>SQRT((K53/(1-BK53))^2+(BL53*J53/(1-BK53)^2)^2)</f>
        <v>#DIV/0!</v>
      </c>
      <c r="BO53" s="1" t="e">
        <f t="shared" si="38"/>
        <v>#DIV/0!</v>
      </c>
      <c r="BP53" s="33"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3" t="e">
        <f>BW53*SQRT((BN53/BM53)^2+(((BM53*($BU53+$BV53)^LN(Constants!$B$2/Constants!$B$3))-BW53)/BW53)^2)</f>
        <v>#DIV/0!</v>
      </c>
      <c r="BY53" t="e">
        <f>BO53*BU53^(LN(Constants!$B$2/Constants!$B$4))</f>
        <v>#DIV/0!</v>
      </c>
      <c r="BZ53" s="33" t="e">
        <f>BY53*SQRT((BP53/BO53)^2+(((BO53*($BU53+$BV53)^LN(Constants!$B$2/Constants!$B$4))-BY53)/BY53)^2)</f>
        <v>#DIV/0!</v>
      </c>
      <c r="CA53" t="e">
        <f>BS53*BU53^(LN(Constants!$B$2/Constants!$B$5))</f>
        <v>#DIV/0!</v>
      </c>
      <c r="CB53" s="33"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3" t="e">
        <f>CE53*SQRT((BN53/BM53)^2+(($BM53*($CC53+$CD53)^(LN(Constants!$B$2/Constants!$B$3))-CE53)/CE53)^2)</f>
        <v>#DIV/0!</v>
      </c>
      <c r="CG53" t="e">
        <f>BO53*CC53^(LN(Constants!$B$2/Constants!$B$4))</f>
        <v>#DIV/0!</v>
      </c>
      <c r="CH53" s="33" t="e">
        <f>CG53*SQRT((BP53/BO53)^2+((BO53*($CC53+$CD53)^(LN(Constants!$B$2/Constants!$B$4))-CG53)/CG53)^2)</f>
        <v>#DIV/0!</v>
      </c>
      <c r="CI53" t="e">
        <f>BQ53*$CC53^(LN(Constants!$B$3/Constants!$B$6))</f>
        <v>#DIV/0!</v>
      </c>
      <c r="CJ53" s="33" t="e">
        <f>CI53*SQRT((BR53/BQ53)^2+((BQ53*($CC53+$CD53)^(LN(Constants!$B$3/Constants!$B$6))-CI53)/CI53)^2)</f>
        <v>#DIV/0!</v>
      </c>
      <c r="CK53" t="e">
        <f>BS53*CC53^(LN(Constants!$B$2/Constants!$B$5))</f>
        <v>#DIV/0!</v>
      </c>
      <c r="CL53" s="33"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75" t="e">
        <f>$CQ53/$CS53</f>
        <v>#DIV/0!</v>
      </c>
      <c r="CZ53" s="75" t="e">
        <f>$CR53/$CS53-$CY53</f>
        <v>#DIV/0!</v>
      </c>
      <c r="DA53" s="75" t="e">
        <f>$CS53/$CS53-$CZ53-$CY53</f>
        <v>#DIV/0!</v>
      </c>
      <c r="DB53" s="75" t="e">
        <f>$CT53/$CW53</f>
        <v>#DIV/0!</v>
      </c>
      <c r="DC53" s="75" t="e">
        <f>$CU53/$CW53-$DB53</f>
        <v>#DIV/0!</v>
      </c>
      <c r="DD53" s="75" t="e">
        <f>$CV53/$CW53-$DC53-$DB53</f>
        <v>#DIV/0!</v>
      </c>
      <c r="DE53" s="75" t="e">
        <f>$CW53/$CW53-$DD53-$DC53-$DB53</f>
        <v>#DIV/0!</v>
      </c>
    </row>
    <row r="54" spans="1:109">
      <c r="A54" s="1">
        <f t="shared" si="46"/>
        <v>0</v>
      </c>
      <c r="B54" s="1"/>
      <c r="C54" s="1"/>
      <c r="J54" s="59"/>
      <c r="K54" s="59"/>
      <c r="L54" s="59"/>
      <c r="M54" s="59"/>
      <c r="N54" s="59"/>
      <c r="O54" s="59"/>
      <c r="P54" s="59"/>
      <c r="Q54" s="59"/>
      <c r="R54" s="59"/>
      <c r="S54" s="59"/>
      <c r="T54" s="59"/>
      <c r="U54" s="59"/>
      <c r="V54" s="59"/>
      <c r="W54" s="59"/>
      <c r="X54" s="60"/>
      <c r="Y54" s="60"/>
      <c r="Z54" s="60"/>
      <c r="AB54" s="59"/>
      <c r="AC54" s="59"/>
      <c r="AD54" s="59"/>
      <c r="AE54" s="59"/>
      <c r="AF54" s="59"/>
      <c r="AG54" s="59"/>
      <c r="AH54" s="59"/>
      <c r="AI54" s="59"/>
      <c r="AJ54" s="59"/>
      <c r="AK54" s="59"/>
      <c r="AL54" s="59"/>
      <c r="AM54" s="59"/>
      <c r="AN54" s="60"/>
      <c r="AO54" s="60"/>
      <c r="AP54" s="60"/>
      <c r="AQ54" s="1"/>
      <c r="AR54" s="1">
        <f>Constants!B$25</f>
        <v>2.3944420000000002E-6</v>
      </c>
      <c r="AS54" s="1">
        <f t="shared" si="31"/>
        <v>0</v>
      </c>
      <c r="AT54" s="1">
        <f t="shared" si="32"/>
        <v>9.9999999999999995E-7</v>
      </c>
      <c r="AU54" s="1" t="e">
        <f t="shared" si="42"/>
        <v>#NUM!</v>
      </c>
      <c r="AV54" s="1" t="e">
        <f t="shared" si="33"/>
        <v>#DIV/0!</v>
      </c>
      <c r="AW54" s="1" t="e">
        <f t="shared" si="43"/>
        <v>#NUM!</v>
      </c>
      <c r="AX54" s="1">
        <f t="shared" si="34"/>
        <v>0</v>
      </c>
      <c r="AY54" t="e">
        <f t="shared" si="26"/>
        <v>#DIV/0!</v>
      </c>
      <c r="AZ54" s="1" t="e">
        <f t="shared" si="35"/>
        <v>#DIV/0!</v>
      </c>
      <c r="BA54" s="1" t="e">
        <f t="shared" si="44"/>
        <v>#NUM!</v>
      </c>
      <c r="BB54" s="1" t="e">
        <f t="shared" si="36"/>
        <v>#NUM!</v>
      </c>
      <c r="BC54" s="1" t="e">
        <f t="shared" si="45"/>
        <v>#NUM!</v>
      </c>
      <c r="BD54" t="e">
        <f t="shared" si="37"/>
        <v>#NUM!</v>
      </c>
      <c r="BE54" s="1"/>
      <c r="BF54" s="32" t="e">
        <f t="shared" si="47"/>
        <v>#DIV/0!</v>
      </c>
      <c r="BG54" s="1" t="e">
        <f t="shared" si="48"/>
        <v>#DIV/0!</v>
      </c>
      <c r="BH54" s="1" t="e">
        <f t="shared" si="49"/>
        <v>#DIV/0!</v>
      </c>
      <c r="BI54" s="1" t="e">
        <f t="shared" si="50"/>
        <v>#NUM!</v>
      </c>
      <c r="BJ54" s="1" t="e">
        <f t="shared" si="51"/>
        <v>#NUM!</v>
      </c>
      <c r="BK54" s="1"/>
      <c r="BL54" s="1"/>
      <c r="BM54" s="1"/>
      <c r="BN54" s="1"/>
      <c r="BO54" s="1" t="e">
        <f t="shared" si="38"/>
        <v>#NUM!</v>
      </c>
      <c r="BP54" s="33"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3" t="e">
        <f>CK54*SQRT((BT54/BS54)^2+((BS54*($CC54+$CD54)^(LN(Constants!$B$2/Constants!$B$5))-CK54)/CK54)^2)</f>
        <v>#DIV/0!</v>
      </c>
    </row>
    <row r="55" spans="1:109">
      <c r="A55" s="66">
        <f t="shared" si="46"/>
        <v>0</v>
      </c>
      <c r="B55" t="str">
        <f>IF(NOT(ISBLANK($J55)),IF($T55&lt;Constants!$B$32,"low spike","OK"),"")</f>
        <v/>
      </c>
      <c r="C55" t="str">
        <f>IF(NOT(ISBLANK($J55)), IF((ABS($L54-$L56)/$L54)&gt;Constants!$B$33,"variable mass bias","OK"), "")</f>
        <v/>
      </c>
      <c r="D55" t="str">
        <f>IF(NOT(ISBLANK($J55)), IF((ABS($P54-$P56)/$P54)&gt;Constants!$B$34,"variable IC yield","OK"),"")</f>
        <v/>
      </c>
      <c r="E55" s="34" t="e">
        <f>CE55</f>
        <v>#DIV/0!</v>
      </c>
      <c r="F55" s="34" t="e">
        <f>CF55</f>
        <v>#DIV/0!</v>
      </c>
      <c r="G55" s="34" t="e">
        <f>CM55</f>
        <v>#DIV/0!</v>
      </c>
      <c r="H55" s="47" t="e">
        <f>CN55</f>
        <v>#DIV/0!</v>
      </c>
      <c r="I55" s="33"/>
      <c r="J55" s="59"/>
      <c r="K55" s="59"/>
      <c r="L55" s="59"/>
      <c r="M55" s="59"/>
      <c r="N55" s="59"/>
      <c r="O55" s="59"/>
      <c r="P55" s="59"/>
      <c r="Q55" s="59"/>
      <c r="R55" s="59"/>
      <c r="S55" s="59"/>
      <c r="T55" s="59"/>
      <c r="U55" s="59"/>
      <c r="V55" s="59"/>
      <c r="W55" s="59"/>
      <c r="X55" s="60"/>
      <c r="Y55" s="60"/>
      <c r="Z55" s="60"/>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2.3944420000000002E-6</v>
      </c>
      <c r="AS55" s="1">
        <f t="shared" si="31"/>
        <v>0</v>
      </c>
      <c r="AT55" s="1">
        <f t="shared" si="32"/>
        <v>9.9999999999999995E-7</v>
      </c>
      <c r="AU55" s="1" t="e">
        <f t="shared" si="42"/>
        <v>#DIV/0!</v>
      </c>
      <c r="AV55" s="1" t="e">
        <f t="shared" si="33"/>
        <v>#DIV/0!</v>
      </c>
      <c r="AW55" s="1" t="e">
        <f t="shared" si="43"/>
        <v>#DIV/0!</v>
      </c>
      <c r="AX55" s="1">
        <f t="shared" si="34"/>
        <v>0</v>
      </c>
      <c r="AY55" t="e">
        <f t="shared" si="26"/>
        <v>#DIV/0!</v>
      </c>
      <c r="AZ55" s="1" t="e">
        <f t="shared" si="35"/>
        <v>#DIV/0!</v>
      </c>
      <c r="BA55" s="1" t="e">
        <f t="shared" si="44"/>
        <v>#DIV/0!</v>
      </c>
      <c r="BB55" s="1" t="e">
        <f t="shared" si="36"/>
        <v>#DIV/0!</v>
      </c>
      <c r="BC55" s="1" t="e">
        <f t="shared" si="17"/>
        <v>#DIV/0!</v>
      </c>
      <c r="BD55" t="e">
        <f t="shared" si="37"/>
        <v>#DIV/0!</v>
      </c>
      <c r="BF55" s="32"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3" t="e">
        <f>SQRT((K55/(1-BK55))^2+(BL55*J55/(1-BK55)^2)^2)</f>
        <v>#DIV/0!</v>
      </c>
      <c r="BO55" s="1" t="e">
        <f t="shared" si="38"/>
        <v>#DIV/0!</v>
      </c>
      <c r="BP55" s="33"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3" t="e">
        <f>BW55*SQRT((BN55/BM55)^2+(((BM55*($BU55+$BV55)^LN(Constants!$B$2/Constants!$B$3))-BW55)/BW55)^2)</f>
        <v>#DIV/0!</v>
      </c>
      <c r="BY55" t="e">
        <f>BO55*BU55^(LN(Constants!$B$2/Constants!$B$4))</f>
        <v>#DIV/0!</v>
      </c>
      <c r="BZ55" s="33" t="e">
        <f>BY55*SQRT((BP55/BO55)^2+(((BO55*($BU55+$BV55)^LN(Constants!$B$2/Constants!$B$4))-BY55)/BY55)^2)</f>
        <v>#DIV/0!</v>
      </c>
      <c r="CA55" t="e">
        <f>BS55*BU55^(LN(Constants!$B$2/Constants!$B$5))</f>
        <v>#DIV/0!</v>
      </c>
      <c r="CB55" s="33"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3" t="e">
        <f>CE55*SQRT((BN55/BM55)^2+(($BM55*($CC55+$CD55)^(LN(Constants!$B$2/Constants!$B$3))-CE55)/CE55)^2)</f>
        <v>#DIV/0!</v>
      </c>
      <c r="CG55" t="e">
        <f>BO55*CC55^(LN(Constants!$B$2/Constants!$B$4))</f>
        <v>#DIV/0!</v>
      </c>
      <c r="CH55" s="33" t="e">
        <f>CG55*SQRT((BP55/BO55)^2+((BO55*($CC55+$CD55)^(LN(Constants!$B$2/Constants!$B$4))-CG55)/CG55)^2)</f>
        <v>#DIV/0!</v>
      </c>
      <c r="CI55" t="e">
        <f>BQ55*$CC55^(LN(Constants!$B$3/Constants!$B$6))</f>
        <v>#DIV/0!</v>
      </c>
      <c r="CJ55" s="33" t="e">
        <f>CI55*SQRT((BR55/BQ55)^2+((BQ55*($CC55+$CD55)^(LN(Constants!$B$3/Constants!$B$6))-CI55)/CI55)^2)</f>
        <v>#DIV/0!</v>
      </c>
      <c r="CK55" t="e">
        <f>BS55*CC55^(LN(Constants!$B$2/Constants!$B$5))</f>
        <v>#DIV/0!</v>
      </c>
      <c r="CL55" s="33"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75" t="e">
        <f>$CQ55/$CS55</f>
        <v>#DIV/0!</v>
      </c>
      <c r="CZ55" s="75" t="e">
        <f>$CR55/$CS55-$CY55</f>
        <v>#DIV/0!</v>
      </c>
      <c r="DA55" s="75" t="e">
        <f>$CS55/$CS55-$CZ55-$CY55</f>
        <v>#DIV/0!</v>
      </c>
      <c r="DB55" s="75" t="e">
        <f>$CT55/$CW55</f>
        <v>#DIV/0!</v>
      </c>
      <c r="DC55" s="75" t="e">
        <f>$CU55/$CW55-$DB55</f>
        <v>#DIV/0!</v>
      </c>
      <c r="DD55" s="75" t="e">
        <f>$CV55/$CW55-$DC55-$DB55</f>
        <v>#DIV/0!</v>
      </c>
      <c r="DE55" s="75" t="e">
        <f>$CW55/$CW55-$DD55-$DC55-$DB55</f>
        <v>#DIV/0!</v>
      </c>
    </row>
    <row r="56" spans="1:109">
      <c r="A56" s="1">
        <f t="shared" si="46"/>
        <v>0</v>
      </c>
      <c r="B56" s="1"/>
      <c r="C56" s="1"/>
      <c r="J56" s="59"/>
      <c r="K56" s="59"/>
      <c r="L56" s="59"/>
      <c r="M56" s="59"/>
      <c r="N56" s="59"/>
      <c r="O56" s="59"/>
      <c r="P56" s="59"/>
      <c r="Q56" s="59"/>
      <c r="R56" s="59"/>
      <c r="S56" s="59"/>
      <c r="T56" s="59"/>
      <c r="U56" s="59"/>
      <c r="V56" s="59"/>
      <c r="W56" s="59"/>
      <c r="X56" s="60"/>
      <c r="Y56" s="60"/>
      <c r="Z56" s="60"/>
      <c r="AB56" s="59"/>
      <c r="AC56" s="59"/>
      <c r="AD56" s="59"/>
      <c r="AE56" s="59"/>
      <c r="AF56" s="59"/>
      <c r="AG56" s="59"/>
      <c r="AH56" s="59"/>
      <c r="AI56" s="59"/>
      <c r="AJ56" s="59"/>
      <c r="AK56" s="59"/>
      <c r="AL56" s="59"/>
      <c r="AM56" s="59"/>
      <c r="AN56" s="60"/>
      <c r="AO56" s="60"/>
      <c r="AP56" s="60"/>
      <c r="AQ56" s="1"/>
      <c r="AR56" s="1">
        <f>Constants!B$25</f>
        <v>2.3944420000000002E-6</v>
      </c>
      <c r="AS56" s="1">
        <f t="shared" si="31"/>
        <v>0</v>
      </c>
      <c r="AT56" s="1">
        <f t="shared" si="32"/>
        <v>9.9999999999999995E-7</v>
      </c>
      <c r="AU56" s="1" t="e">
        <f t="shared" si="42"/>
        <v>#NUM!</v>
      </c>
      <c r="AV56" s="1" t="e">
        <f t="shared" si="33"/>
        <v>#DIV/0!</v>
      </c>
      <c r="AW56" s="1" t="e">
        <f t="shared" si="43"/>
        <v>#NUM!</v>
      </c>
      <c r="AX56" s="1">
        <f t="shared" si="34"/>
        <v>0</v>
      </c>
      <c r="AY56" t="e">
        <f t="shared" si="26"/>
        <v>#DIV/0!</v>
      </c>
      <c r="AZ56" s="1" t="e">
        <f t="shared" si="35"/>
        <v>#DIV/0!</v>
      </c>
      <c r="BA56" s="1" t="e">
        <f t="shared" si="44"/>
        <v>#NUM!</v>
      </c>
      <c r="BB56" s="1" t="e">
        <f t="shared" si="36"/>
        <v>#NUM!</v>
      </c>
      <c r="BC56" s="1" t="e">
        <f t="shared" si="45"/>
        <v>#NUM!</v>
      </c>
      <c r="BD56" t="e">
        <f t="shared" si="37"/>
        <v>#NUM!</v>
      </c>
      <c r="BE56" s="1"/>
      <c r="BF56" s="32" t="e">
        <f t="shared" si="47"/>
        <v>#DIV/0!</v>
      </c>
      <c r="BG56" s="1" t="e">
        <f t="shared" si="48"/>
        <v>#DIV/0!</v>
      </c>
      <c r="BH56" s="1" t="e">
        <f t="shared" si="49"/>
        <v>#DIV/0!</v>
      </c>
      <c r="BI56" s="1" t="e">
        <f t="shared" si="50"/>
        <v>#NUM!</v>
      </c>
      <c r="BJ56" s="1" t="e">
        <f t="shared" si="51"/>
        <v>#NUM!</v>
      </c>
      <c r="BK56" s="1"/>
      <c r="BL56" s="1"/>
      <c r="BM56" s="1"/>
      <c r="BN56" s="1"/>
      <c r="BO56" s="1" t="e">
        <f t="shared" si="38"/>
        <v>#NUM!</v>
      </c>
      <c r="BP56" s="33"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3" t="e">
        <f>CK56*SQRT((BT56/BS56)^2+((BS56*($CC56+$CD56)^(LN(Constants!$B$2/Constants!$B$5))-CK56)/CK56)^2)</f>
        <v>#DIV/0!</v>
      </c>
    </row>
    <row r="57" spans="1:109">
      <c r="A57" s="66">
        <f t="shared" si="46"/>
        <v>0</v>
      </c>
      <c r="B57" t="str">
        <f>IF(NOT(ISBLANK($J57)),IF($T57&lt;Constants!$B$32,"low spike","OK"),"")</f>
        <v/>
      </c>
      <c r="C57" t="str">
        <f>IF(NOT(ISBLANK($J57)), IF((ABS($L56-$L58)/$L56)&gt;Constants!$B$33,"variable mass bias","OK"), "")</f>
        <v/>
      </c>
      <c r="D57" t="str">
        <f>IF(NOT(ISBLANK($J57)), IF((ABS($P56-$P58)/$P56)&gt;Constants!$B$34,"variable IC yield","OK"),"")</f>
        <v/>
      </c>
      <c r="E57" s="34" t="e">
        <f>CE57</f>
        <v>#DIV/0!</v>
      </c>
      <c r="F57" s="34" t="e">
        <f>CF57</f>
        <v>#DIV/0!</v>
      </c>
      <c r="G57" s="34" t="e">
        <f>CM57</f>
        <v>#DIV/0!</v>
      </c>
      <c r="H57" s="47" t="e">
        <f>CN57</f>
        <v>#DIV/0!</v>
      </c>
      <c r="I57" s="33"/>
      <c r="J57" s="59"/>
      <c r="K57" s="59"/>
      <c r="L57" s="59"/>
      <c r="M57" s="59"/>
      <c r="N57" s="59"/>
      <c r="O57" s="59"/>
      <c r="P57" s="59"/>
      <c r="Q57" s="59"/>
      <c r="R57" s="59"/>
      <c r="S57" s="59"/>
      <c r="T57" s="59"/>
      <c r="U57" s="59"/>
      <c r="V57" s="59"/>
      <c r="W57" s="59"/>
      <c r="X57" s="60"/>
      <c r="Y57" s="60"/>
      <c r="Z57" s="60"/>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2.3944420000000002E-6</v>
      </c>
      <c r="AS57" s="1">
        <f t="shared" si="31"/>
        <v>0</v>
      </c>
      <c r="AT57" s="1">
        <f t="shared" si="32"/>
        <v>9.9999999999999995E-7</v>
      </c>
      <c r="AU57" s="1" t="e">
        <f t="shared" si="42"/>
        <v>#DIV/0!</v>
      </c>
      <c r="AV57" s="1" t="e">
        <f t="shared" si="33"/>
        <v>#DIV/0!</v>
      </c>
      <c r="AW57" s="1" t="e">
        <f t="shared" si="43"/>
        <v>#DIV/0!</v>
      </c>
      <c r="AX57" s="1">
        <f t="shared" si="34"/>
        <v>0</v>
      </c>
      <c r="AY57" t="e">
        <f t="shared" si="26"/>
        <v>#DIV/0!</v>
      </c>
      <c r="AZ57" s="1" t="e">
        <f t="shared" si="35"/>
        <v>#DIV/0!</v>
      </c>
      <c r="BA57" s="1" t="e">
        <f t="shared" si="44"/>
        <v>#DIV/0!</v>
      </c>
      <c r="BB57" s="1" t="e">
        <f t="shared" si="36"/>
        <v>#DIV/0!</v>
      </c>
      <c r="BC57" s="1" t="e">
        <f t="shared" si="17"/>
        <v>#DIV/0!</v>
      </c>
      <c r="BD57" t="e">
        <f t="shared" si="37"/>
        <v>#DIV/0!</v>
      </c>
      <c r="BF57" s="32"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3" t="e">
        <f>SQRT((K57/(1-BK57))^2+(BL57*J57/(1-BK57)^2)^2)</f>
        <v>#DIV/0!</v>
      </c>
      <c r="BO57" s="1" t="e">
        <f t="shared" si="38"/>
        <v>#DIV/0!</v>
      </c>
      <c r="BP57" s="33"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3" t="e">
        <f>BW57*SQRT((BN57/BM57)^2+(((BM57*($BU57+$BV57)^LN(Constants!$B$2/Constants!$B$3))-BW57)/BW57)^2)</f>
        <v>#DIV/0!</v>
      </c>
      <c r="BY57" t="e">
        <f>BO57*BU57^(LN(Constants!$B$2/Constants!$B$4))</f>
        <v>#DIV/0!</v>
      </c>
      <c r="BZ57" s="33" t="e">
        <f>BY57*SQRT((BP57/BO57)^2+(((BO57*($BU57+$BV57)^LN(Constants!$B$2/Constants!$B$4))-BY57)/BY57)^2)</f>
        <v>#DIV/0!</v>
      </c>
      <c r="CA57" t="e">
        <f>BS57*BU57^(LN(Constants!$B$2/Constants!$B$5))</f>
        <v>#DIV/0!</v>
      </c>
      <c r="CB57" s="33"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3" t="e">
        <f>CE57*SQRT((BN57/BM57)^2+(($BM57*($CC57+$CD57)^(LN(Constants!$B$2/Constants!$B$3))-CE57)/CE57)^2)</f>
        <v>#DIV/0!</v>
      </c>
      <c r="CG57" t="e">
        <f>BO57*CC57^(LN(Constants!$B$2/Constants!$B$4))</f>
        <v>#DIV/0!</v>
      </c>
      <c r="CH57" s="33" t="e">
        <f>CG57*SQRT((BP57/BO57)^2+((BO57*($CC57+$CD57)^(LN(Constants!$B$2/Constants!$B$4))-CG57)/CG57)^2)</f>
        <v>#DIV/0!</v>
      </c>
      <c r="CI57" t="e">
        <f>BQ57*$CC57^(LN(Constants!$B$3/Constants!$B$6))</f>
        <v>#DIV/0!</v>
      </c>
      <c r="CJ57" s="33" t="e">
        <f>CI57*SQRT((BR57/BQ57)^2+((BQ57*($CC57+$CD57)^(LN(Constants!$B$3/Constants!$B$6))-CI57)/CI57)^2)</f>
        <v>#DIV/0!</v>
      </c>
      <c r="CK57" t="e">
        <f>BS57*CC57^(LN(Constants!$B$2/Constants!$B$5))</f>
        <v>#DIV/0!</v>
      </c>
      <c r="CL57" s="33"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75" t="e">
        <f>$CQ57/$CS57</f>
        <v>#DIV/0!</v>
      </c>
      <c r="CZ57" s="75" t="e">
        <f>$CR57/$CS57-$CY57</f>
        <v>#DIV/0!</v>
      </c>
      <c r="DA57" s="75" t="e">
        <f>$CS57/$CS57-$CZ57-$CY57</f>
        <v>#DIV/0!</v>
      </c>
      <c r="DB57" s="75" t="e">
        <f>$CT57/$CW57</f>
        <v>#DIV/0!</v>
      </c>
      <c r="DC57" s="75" t="e">
        <f>$CU57/$CW57-$DB57</f>
        <v>#DIV/0!</v>
      </c>
      <c r="DD57" s="75" t="e">
        <f>$CV57/$CW57-$DC57-$DB57</f>
        <v>#DIV/0!</v>
      </c>
      <c r="DE57" s="75" t="e">
        <f>$CW57/$CW57-$DD57-$DC57-$DB57</f>
        <v>#DIV/0!</v>
      </c>
    </row>
    <row r="58" spans="1:109">
      <c r="A58" s="1">
        <f t="shared" si="46"/>
        <v>0</v>
      </c>
      <c r="B58" s="1"/>
      <c r="C58" s="1"/>
      <c r="J58" s="59"/>
      <c r="K58" s="59"/>
      <c r="L58" s="59"/>
      <c r="M58" s="59"/>
      <c r="N58" s="59"/>
      <c r="O58" s="59"/>
      <c r="P58" s="59"/>
      <c r="Q58" s="59"/>
      <c r="R58" s="59"/>
      <c r="S58" s="59"/>
      <c r="T58" s="59"/>
      <c r="U58" s="59"/>
      <c r="V58" s="59"/>
      <c r="W58" s="59"/>
      <c r="X58" s="60"/>
      <c r="Y58" s="60"/>
      <c r="Z58" s="60"/>
      <c r="AB58" s="59"/>
      <c r="AC58" s="59"/>
      <c r="AD58" s="59"/>
      <c r="AE58" s="59"/>
      <c r="AF58" s="59"/>
      <c r="AG58" s="59"/>
      <c r="AH58" s="59"/>
      <c r="AI58" s="59"/>
      <c r="AJ58" s="59"/>
      <c r="AK58" s="59"/>
      <c r="AL58" s="59"/>
      <c r="AM58" s="59"/>
      <c r="AN58" s="60"/>
      <c r="AO58" s="60"/>
      <c r="AP58" s="60"/>
      <c r="AQ58" s="1"/>
      <c r="AR58" s="1">
        <f>Constants!B$25</f>
        <v>2.3944420000000002E-6</v>
      </c>
      <c r="AS58" s="1">
        <f t="shared" si="31"/>
        <v>0</v>
      </c>
      <c r="AT58" s="1">
        <f t="shared" si="32"/>
        <v>9.9999999999999995E-7</v>
      </c>
      <c r="AU58" s="1" t="e">
        <f t="shared" si="42"/>
        <v>#NUM!</v>
      </c>
      <c r="AV58" s="1" t="e">
        <f t="shared" si="33"/>
        <v>#DIV/0!</v>
      </c>
      <c r="AW58" s="1" t="e">
        <f t="shared" si="43"/>
        <v>#NUM!</v>
      </c>
      <c r="AX58" s="1">
        <f t="shared" si="34"/>
        <v>0</v>
      </c>
      <c r="AY58" t="e">
        <f t="shared" si="26"/>
        <v>#DIV/0!</v>
      </c>
      <c r="AZ58" s="1" t="e">
        <f t="shared" si="35"/>
        <v>#DIV/0!</v>
      </c>
      <c r="BA58" s="1" t="e">
        <f t="shared" si="44"/>
        <v>#NUM!</v>
      </c>
      <c r="BB58" s="1" t="e">
        <f t="shared" si="36"/>
        <v>#NUM!</v>
      </c>
      <c r="BC58" s="1" t="e">
        <f t="shared" si="45"/>
        <v>#NUM!</v>
      </c>
      <c r="BD58" t="e">
        <f t="shared" si="37"/>
        <v>#NUM!</v>
      </c>
      <c r="BE58" s="1"/>
      <c r="BF58" s="32" t="e">
        <f t="shared" si="47"/>
        <v>#DIV/0!</v>
      </c>
      <c r="BG58" s="1" t="e">
        <f t="shared" si="48"/>
        <v>#DIV/0!</v>
      </c>
      <c r="BH58" s="1" t="e">
        <f t="shared" si="49"/>
        <v>#DIV/0!</v>
      </c>
      <c r="BI58" s="1" t="e">
        <f t="shared" si="50"/>
        <v>#NUM!</v>
      </c>
      <c r="BJ58" s="1" t="e">
        <f t="shared" si="51"/>
        <v>#NUM!</v>
      </c>
      <c r="BK58" s="1"/>
      <c r="BL58" s="1"/>
      <c r="BM58" s="1"/>
      <c r="BN58" s="1"/>
      <c r="BO58" s="1" t="e">
        <f t="shared" si="38"/>
        <v>#NUM!</v>
      </c>
      <c r="BP58" s="33"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3" t="e">
        <f>CK58*SQRT((BT58/BS58)^2+((BS58*($CC58+$CD58)^(LN(Constants!$B$2/Constants!$B$5))-CK58)/CK58)^2)</f>
        <v>#DIV/0!</v>
      </c>
    </row>
    <row r="59" spans="1:109">
      <c r="A59" s="66">
        <f t="shared" si="46"/>
        <v>0</v>
      </c>
      <c r="B59" t="str">
        <f>IF(NOT(ISBLANK($J59)),IF($T59&lt;Constants!$B$32,"low spike","OK"),"")</f>
        <v/>
      </c>
      <c r="C59" t="str">
        <f>IF(NOT(ISBLANK($J59)), IF((ABS($L58-$L60)/$L58)&gt;Constants!$B$33,"variable mass bias","OK"), "")</f>
        <v/>
      </c>
      <c r="D59" t="str">
        <f>IF(NOT(ISBLANK($J59)), IF((ABS($P58-$P60)/$P58)&gt;Constants!$B$34,"variable IC yield","OK"),"")</f>
        <v/>
      </c>
      <c r="E59" s="34" t="e">
        <f>CE59</f>
        <v>#DIV/0!</v>
      </c>
      <c r="F59" s="34" t="e">
        <f>CF59</f>
        <v>#DIV/0!</v>
      </c>
      <c r="G59" s="34" t="e">
        <f>CM59</f>
        <v>#DIV/0!</v>
      </c>
      <c r="H59" s="47" t="e">
        <f>CN59</f>
        <v>#DIV/0!</v>
      </c>
      <c r="I59" s="33"/>
      <c r="J59" s="59"/>
      <c r="K59" s="59"/>
      <c r="L59" s="59"/>
      <c r="M59" s="59"/>
      <c r="N59" s="59"/>
      <c r="O59" s="59"/>
      <c r="P59" s="59"/>
      <c r="Q59" s="59"/>
      <c r="R59" s="59"/>
      <c r="S59" s="59"/>
      <c r="T59" s="59"/>
      <c r="U59" s="59"/>
      <c r="V59" s="59"/>
      <c r="W59" s="59"/>
      <c r="X59" s="60"/>
      <c r="Y59" s="60"/>
      <c r="Z59" s="60"/>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2.3944420000000002E-6</v>
      </c>
      <c r="AS59" s="1">
        <f t="shared" si="31"/>
        <v>0</v>
      </c>
      <c r="AT59" s="1">
        <f t="shared" si="32"/>
        <v>9.9999999999999995E-7</v>
      </c>
      <c r="AU59" s="1" t="e">
        <f t="shared" si="42"/>
        <v>#DIV/0!</v>
      </c>
      <c r="AV59" s="1" t="e">
        <f t="shared" si="33"/>
        <v>#DIV/0!</v>
      </c>
      <c r="AW59" s="1" t="e">
        <f t="shared" si="43"/>
        <v>#DIV/0!</v>
      </c>
      <c r="AX59" s="1">
        <f t="shared" si="34"/>
        <v>0</v>
      </c>
      <c r="AY59" t="e">
        <f t="shared" si="26"/>
        <v>#DIV/0!</v>
      </c>
      <c r="AZ59" s="1" t="e">
        <f t="shared" si="35"/>
        <v>#DIV/0!</v>
      </c>
      <c r="BA59" s="1" t="e">
        <f t="shared" si="44"/>
        <v>#DIV/0!</v>
      </c>
      <c r="BB59" s="1" t="e">
        <f t="shared" si="36"/>
        <v>#DIV/0!</v>
      </c>
      <c r="BC59" s="1" t="e">
        <f t="shared" si="17"/>
        <v>#DIV/0!</v>
      </c>
      <c r="BD59" t="e">
        <f t="shared" si="37"/>
        <v>#DIV/0!</v>
      </c>
      <c r="BF59" s="32"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3" t="e">
        <f>SQRT((K59/(1-BK59))^2+(BL59*J59/(1-BK59)^2)^2)</f>
        <v>#DIV/0!</v>
      </c>
      <c r="BO59" s="1" t="e">
        <f t="shared" si="38"/>
        <v>#DIV/0!</v>
      </c>
      <c r="BP59" s="33"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3" t="e">
        <f>BW59*SQRT((BN59/BM59)^2+(((BM59*($BU59+$BV59)^LN(Constants!$B$2/Constants!$B$3))-BW59)/BW59)^2)</f>
        <v>#DIV/0!</v>
      </c>
      <c r="BY59" t="e">
        <f>BO59*BU59^(LN(Constants!$B$2/Constants!$B$4))</f>
        <v>#DIV/0!</v>
      </c>
      <c r="BZ59" s="33" t="e">
        <f>BY59*SQRT((BP59/BO59)^2+(((BO59*($BU59+$BV59)^LN(Constants!$B$2/Constants!$B$4))-BY59)/BY59)^2)</f>
        <v>#DIV/0!</v>
      </c>
      <c r="CA59" t="e">
        <f>BS59*BU59^(LN(Constants!$B$2/Constants!$B$5))</f>
        <v>#DIV/0!</v>
      </c>
      <c r="CB59" s="33"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3" t="e">
        <f>CE59*SQRT((BN59/BM59)^2+(($BM59*($CC59+$CD59)^(LN(Constants!$B$2/Constants!$B$3))-CE59)/CE59)^2)</f>
        <v>#DIV/0!</v>
      </c>
      <c r="CG59" t="e">
        <f>BO59*CC59^(LN(Constants!$B$2/Constants!$B$4))</f>
        <v>#DIV/0!</v>
      </c>
      <c r="CH59" s="33" t="e">
        <f>CG59*SQRT((BP59/BO59)^2+((BO59*($CC59+$CD59)^(LN(Constants!$B$2/Constants!$B$4))-CG59)/CG59)^2)</f>
        <v>#DIV/0!</v>
      </c>
      <c r="CI59" t="e">
        <f>BQ59*$CC59^(LN(Constants!$B$3/Constants!$B$6))</f>
        <v>#DIV/0!</v>
      </c>
      <c r="CJ59" s="33" t="e">
        <f>CI59*SQRT((BR59/BQ59)^2+((BQ59*($CC59+$CD59)^(LN(Constants!$B$3/Constants!$B$6))-CI59)/CI59)^2)</f>
        <v>#DIV/0!</v>
      </c>
      <c r="CK59" t="e">
        <f>BS59*CC59^(LN(Constants!$B$2/Constants!$B$5))</f>
        <v>#DIV/0!</v>
      </c>
      <c r="CL59" s="33"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75" t="e">
        <f>$CQ59/$CS59</f>
        <v>#DIV/0!</v>
      </c>
      <c r="CZ59" s="75" t="e">
        <f>$CR59/$CS59-$CY59</f>
        <v>#DIV/0!</v>
      </c>
      <c r="DA59" s="75" t="e">
        <f>$CS59/$CS59-$CZ59-$CY59</f>
        <v>#DIV/0!</v>
      </c>
      <c r="DB59" s="75" t="e">
        <f>$CT59/$CW59</f>
        <v>#DIV/0!</v>
      </c>
      <c r="DC59" s="75" t="e">
        <f>$CU59/$CW59-$DB59</f>
        <v>#DIV/0!</v>
      </c>
      <c r="DD59" s="75" t="e">
        <f>$CV59/$CW59-$DC59-$DB59</f>
        <v>#DIV/0!</v>
      </c>
      <c r="DE59" s="75" t="e">
        <f>$CW59/$CW59-$DD59-$DC59-$DB59</f>
        <v>#DIV/0!</v>
      </c>
    </row>
    <row r="60" spans="1:109">
      <c r="A60" s="1">
        <f t="shared" si="46"/>
        <v>0</v>
      </c>
      <c r="B60" s="1"/>
      <c r="C60" s="1"/>
      <c r="J60" s="59"/>
      <c r="K60" s="59"/>
      <c r="L60" s="59"/>
      <c r="M60" s="59"/>
      <c r="N60" s="59"/>
      <c r="O60" s="59"/>
      <c r="P60" s="59"/>
      <c r="Q60" s="59"/>
      <c r="R60" s="59"/>
      <c r="S60" s="59"/>
      <c r="T60" s="59"/>
      <c r="U60" s="59"/>
      <c r="V60" s="59"/>
      <c r="W60" s="59"/>
      <c r="X60" s="60"/>
      <c r="Y60" s="60"/>
      <c r="Z60" s="60"/>
      <c r="AB60" s="59"/>
      <c r="AC60" s="59"/>
      <c r="AD60" s="59"/>
      <c r="AE60" s="59"/>
      <c r="AF60" s="59"/>
      <c r="AG60" s="59"/>
      <c r="AH60" s="59"/>
      <c r="AI60" s="59"/>
      <c r="AJ60" s="59"/>
      <c r="AK60" s="59"/>
      <c r="AL60" s="59"/>
      <c r="AM60" s="59"/>
      <c r="AN60" s="60"/>
      <c r="AO60" s="60"/>
      <c r="AP60" s="60"/>
      <c r="AQ60" s="1"/>
      <c r="AR60" s="1">
        <f>Constants!B$25</f>
        <v>2.3944420000000002E-6</v>
      </c>
      <c r="AS60" s="1">
        <f t="shared" si="31"/>
        <v>0</v>
      </c>
      <c r="AT60" s="1">
        <f t="shared" si="32"/>
        <v>9.9999999999999995E-7</v>
      </c>
      <c r="AU60" s="1" t="e">
        <f t="shared" si="42"/>
        <v>#NUM!</v>
      </c>
      <c r="AV60" s="1" t="e">
        <f t="shared" si="33"/>
        <v>#DIV/0!</v>
      </c>
      <c r="AW60" s="1" t="e">
        <f t="shared" si="43"/>
        <v>#NUM!</v>
      </c>
      <c r="AX60" s="1">
        <f t="shared" si="34"/>
        <v>0</v>
      </c>
      <c r="AY60" t="e">
        <f t="shared" si="26"/>
        <v>#DIV/0!</v>
      </c>
      <c r="AZ60" s="1" t="e">
        <f t="shared" si="35"/>
        <v>#DIV/0!</v>
      </c>
      <c r="BA60" s="1" t="e">
        <f t="shared" si="44"/>
        <v>#NUM!</v>
      </c>
      <c r="BB60" s="1" t="e">
        <f t="shared" si="36"/>
        <v>#NUM!</v>
      </c>
      <c r="BC60" s="1" t="e">
        <f t="shared" si="45"/>
        <v>#NUM!</v>
      </c>
      <c r="BD60" t="e">
        <f t="shared" si="37"/>
        <v>#NUM!</v>
      </c>
      <c r="BE60" s="1"/>
      <c r="BF60" s="32" t="e">
        <f t="shared" si="47"/>
        <v>#DIV/0!</v>
      </c>
      <c r="BG60" s="1" t="e">
        <f t="shared" si="48"/>
        <v>#DIV/0!</v>
      </c>
      <c r="BH60" s="1" t="e">
        <f t="shared" si="49"/>
        <v>#DIV/0!</v>
      </c>
      <c r="BI60" s="1" t="e">
        <f t="shared" si="50"/>
        <v>#NUM!</v>
      </c>
      <c r="BJ60" s="1" t="e">
        <f t="shared" si="51"/>
        <v>#NUM!</v>
      </c>
      <c r="BK60" s="1"/>
      <c r="BL60" s="1"/>
      <c r="BM60" s="1"/>
      <c r="BN60" s="1"/>
      <c r="BO60" s="1" t="e">
        <f t="shared" si="38"/>
        <v>#NUM!</v>
      </c>
      <c r="BP60" s="33"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3" t="e">
        <f>CK60*SQRT((BT60/BS60)^2+((BS60*($CC60+$CD60)^(LN(Constants!$B$2/Constants!$B$5))-CK60)/CK60)^2)</f>
        <v>#DIV/0!</v>
      </c>
      <c r="CR60" s="1"/>
      <c r="CS60" s="1"/>
      <c r="CU60" s="1"/>
      <c r="CV60" s="1"/>
      <c r="CW60" s="1"/>
    </row>
    <row r="61" spans="1:109">
      <c r="A61" s="66">
        <f t="shared" si="46"/>
        <v>0</v>
      </c>
      <c r="B61" t="str">
        <f>IF(NOT(ISBLANK($J61)),IF($T61&lt;Constants!$B$32,"low spike","OK"),"")</f>
        <v/>
      </c>
      <c r="C61" t="str">
        <f>IF(NOT(ISBLANK($J61)), IF((ABS($L60-$L62)/$L60)&gt;Constants!$B$33,"variable mass bias","OK"), "")</f>
        <v/>
      </c>
      <c r="D61" t="str">
        <f>IF(NOT(ISBLANK($J61)), IF((ABS($P60-$P62)/$P60)&gt;Constants!$B$34,"variable IC yield","OK"),"")</f>
        <v/>
      </c>
      <c r="E61" s="34" t="e">
        <f>CE61</f>
        <v>#DIV/0!</v>
      </c>
      <c r="F61" s="34" t="e">
        <f>CF61</f>
        <v>#DIV/0!</v>
      </c>
      <c r="G61" s="34" t="e">
        <f>CM61</f>
        <v>#DIV/0!</v>
      </c>
      <c r="H61" s="47" t="e">
        <f>CN61</f>
        <v>#DIV/0!</v>
      </c>
      <c r="I61" s="33"/>
      <c r="J61" s="59"/>
      <c r="K61" s="59"/>
      <c r="L61" s="59"/>
      <c r="M61" s="59"/>
      <c r="N61" s="59"/>
      <c r="O61" s="59"/>
      <c r="P61" s="59"/>
      <c r="Q61" s="59"/>
      <c r="R61" s="59"/>
      <c r="S61" s="59"/>
      <c r="T61" s="59"/>
      <c r="U61" s="59"/>
      <c r="V61" s="59"/>
      <c r="W61" s="59"/>
      <c r="X61" s="60"/>
      <c r="Y61" s="60"/>
      <c r="Z61" s="60"/>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2.3944420000000002E-6</v>
      </c>
      <c r="AS61" s="1">
        <f t="shared" si="31"/>
        <v>0</v>
      </c>
      <c r="AT61" s="1">
        <f t="shared" si="32"/>
        <v>9.9999999999999995E-7</v>
      </c>
      <c r="AU61" s="1" t="e">
        <f t="shared" si="42"/>
        <v>#DIV/0!</v>
      </c>
      <c r="AV61" s="1" t="e">
        <f t="shared" si="33"/>
        <v>#DIV/0!</v>
      </c>
      <c r="AW61" s="1" t="e">
        <f t="shared" si="43"/>
        <v>#DIV/0!</v>
      </c>
      <c r="AX61" s="1">
        <f t="shared" si="34"/>
        <v>0</v>
      </c>
      <c r="AY61" t="e">
        <f t="shared" si="26"/>
        <v>#DIV/0!</v>
      </c>
      <c r="AZ61" s="1" t="e">
        <f t="shared" si="35"/>
        <v>#DIV/0!</v>
      </c>
      <c r="BA61" s="1" t="e">
        <f t="shared" si="44"/>
        <v>#DIV/0!</v>
      </c>
      <c r="BB61" s="1" t="e">
        <f t="shared" si="36"/>
        <v>#DIV/0!</v>
      </c>
      <c r="BC61" s="1" t="e">
        <f t="shared" si="17"/>
        <v>#DIV/0!</v>
      </c>
      <c r="BD61" t="e">
        <f t="shared" si="37"/>
        <v>#DIV/0!</v>
      </c>
      <c r="BF61" s="32"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3" t="e">
        <f>SQRT((K61/(1-BK61))^2+(BL61*J61/(1-BK61)^2)^2)</f>
        <v>#DIV/0!</v>
      </c>
      <c r="BO61" s="1" t="e">
        <f t="shared" si="38"/>
        <v>#DIV/0!</v>
      </c>
      <c r="BP61" s="33"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3" t="e">
        <f>BW61*SQRT((BN61/BM61)^2+(((BM61*($BU61+$BV61)^LN(Constants!$B$2/Constants!$B$3))-BW61)/BW61)^2)</f>
        <v>#DIV/0!</v>
      </c>
      <c r="BY61" t="e">
        <f>BO61*BU61^(LN(Constants!$B$2/Constants!$B$4))</f>
        <v>#DIV/0!</v>
      </c>
      <c r="BZ61" s="33" t="e">
        <f>BY61*SQRT((BP61/BO61)^2+(((BO61*($BU61+$BV61)^LN(Constants!$B$2/Constants!$B$4))-BY61)/BY61)^2)</f>
        <v>#DIV/0!</v>
      </c>
      <c r="CA61" t="e">
        <f>BS61*BU61^(LN(Constants!$B$2/Constants!$B$5))</f>
        <v>#DIV/0!</v>
      </c>
      <c r="CB61" s="33"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3" t="e">
        <f>CE61*SQRT((BN61/BM61)^2+(($BM61*($CC61+$CD61)^(LN(Constants!$B$2/Constants!$B$3))-CE61)/CE61)^2)</f>
        <v>#DIV/0!</v>
      </c>
      <c r="CG61" t="e">
        <f>BO61*CC61^(LN(Constants!$B$2/Constants!$B$4))</f>
        <v>#DIV/0!</v>
      </c>
      <c r="CH61" s="33" t="e">
        <f>CG61*SQRT((BP61/BO61)^2+((BO61*($CC61+$CD61)^(LN(Constants!$B$2/Constants!$B$4))-CG61)/CG61)^2)</f>
        <v>#DIV/0!</v>
      </c>
      <c r="CI61" t="e">
        <f>BQ61*$CC61^(LN(Constants!$B$3/Constants!$B$6))</f>
        <v>#DIV/0!</v>
      </c>
      <c r="CJ61" s="33" t="e">
        <f>CI61*SQRT((BR61/BQ61)^2+((BQ61*($CC61+$CD61)^(LN(Constants!$B$3/Constants!$B$6))-CI61)/CI61)^2)</f>
        <v>#DIV/0!</v>
      </c>
      <c r="CK61" t="e">
        <f>BS61*CC61^(LN(Constants!$B$2/Constants!$B$5))</f>
        <v>#DIV/0!</v>
      </c>
      <c r="CL61" s="33"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75" t="e">
        <f>$CQ61/$CS61</f>
        <v>#DIV/0!</v>
      </c>
      <c r="CZ61" s="75" t="e">
        <f>$CR61/$CS61-$CY61</f>
        <v>#DIV/0!</v>
      </c>
      <c r="DA61" s="75" t="e">
        <f>$CS61/$CS61-$CZ61-$CY61</f>
        <v>#DIV/0!</v>
      </c>
      <c r="DB61" s="75" t="e">
        <f>$CT61/$CW61</f>
        <v>#DIV/0!</v>
      </c>
      <c r="DC61" s="75" t="e">
        <f>$CU61/$CW61-$DB61</f>
        <v>#DIV/0!</v>
      </c>
      <c r="DD61" s="75" t="e">
        <f>$CV61/$CW61-$DC61-$DB61</f>
        <v>#DIV/0!</v>
      </c>
      <c r="DE61" s="75" t="e">
        <f>$CW61/$CW61-$DD61-$DC61-$DB61</f>
        <v>#DIV/0!</v>
      </c>
    </row>
    <row r="62" spans="1:109">
      <c r="A62" s="1">
        <f t="shared" si="46"/>
        <v>0</v>
      </c>
      <c r="B62" s="1"/>
      <c r="C62" s="1"/>
      <c r="J62" s="59"/>
      <c r="K62" s="59"/>
      <c r="L62" s="59"/>
      <c r="M62" s="59"/>
      <c r="N62" s="59"/>
      <c r="O62" s="59"/>
      <c r="P62" s="59"/>
      <c r="Q62" s="59"/>
      <c r="R62" s="59"/>
      <c r="S62" s="59"/>
      <c r="T62" s="59"/>
      <c r="U62" s="59"/>
      <c r="V62" s="59"/>
      <c r="W62" s="59"/>
      <c r="X62" s="60"/>
      <c r="Y62" s="60"/>
      <c r="Z62" s="60"/>
      <c r="AB62" s="59"/>
      <c r="AC62" s="59"/>
      <c r="AD62" s="59"/>
      <c r="AE62" s="59"/>
      <c r="AF62" s="59"/>
      <c r="AG62" s="59"/>
      <c r="AH62" s="59"/>
      <c r="AI62" s="59"/>
      <c r="AJ62" s="59"/>
      <c r="AK62" s="59"/>
      <c r="AL62" s="59"/>
      <c r="AM62" s="59"/>
      <c r="AN62" s="60"/>
      <c r="AO62" s="60"/>
      <c r="AP62" s="60"/>
      <c r="AQ62" s="1"/>
      <c r="AR62" s="1">
        <f>Constants!B$25</f>
        <v>2.3944420000000002E-6</v>
      </c>
      <c r="AS62" s="1">
        <f t="shared" si="31"/>
        <v>0</v>
      </c>
      <c r="AT62" s="1">
        <f t="shared" si="32"/>
        <v>9.9999999999999995E-7</v>
      </c>
      <c r="AU62" s="1" t="e">
        <f t="shared" si="42"/>
        <v>#NUM!</v>
      </c>
      <c r="AV62" s="1" t="e">
        <f t="shared" si="33"/>
        <v>#DIV/0!</v>
      </c>
      <c r="AW62" s="1" t="e">
        <f t="shared" si="43"/>
        <v>#NUM!</v>
      </c>
      <c r="AX62" s="1">
        <f t="shared" si="34"/>
        <v>0</v>
      </c>
      <c r="AY62" t="e">
        <f t="shared" si="26"/>
        <v>#DIV/0!</v>
      </c>
      <c r="AZ62" s="1" t="e">
        <f t="shared" si="35"/>
        <v>#DIV/0!</v>
      </c>
      <c r="BA62" s="1" t="e">
        <f t="shared" si="44"/>
        <v>#NUM!</v>
      </c>
      <c r="BB62" s="1" t="e">
        <f t="shared" si="36"/>
        <v>#NUM!</v>
      </c>
      <c r="BC62" s="1" t="e">
        <f t="shared" si="45"/>
        <v>#NUM!</v>
      </c>
      <c r="BD62" t="e">
        <f t="shared" si="37"/>
        <v>#NUM!</v>
      </c>
      <c r="BE62" s="1"/>
      <c r="BF62" s="32" t="e">
        <f t="shared" si="47"/>
        <v>#DIV/0!</v>
      </c>
      <c r="BG62" s="1" t="e">
        <f t="shared" si="48"/>
        <v>#DIV/0!</v>
      </c>
      <c r="BH62" s="1" t="e">
        <f t="shared" si="49"/>
        <v>#DIV/0!</v>
      </c>
      <c r="BI62" s="1" t="e">
        <f t="shared" si="50"/>
        <v>#NUM!</v>
      </c>
      <c r="BJ62" s="1" t="e">
        <f t="shared" si="51"/>
        <v>#NUM!</v>
      </c>
      <c r="BK62" s="1"/>
      <c r="BL62" s="1"/>
      <c r="BM62" s="1"/>
      <c r="BN62" s="1"/>
      <c r="BO62" s="1" t="e">
        <f t="shared" si="38"/>
        <v>#NUM!</v>
      </c>
      <c r="BP62" s="33"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3" t="e">
        <f>CK62*SQRT((BT62/BS62)^2+((BS62*($CC62+$CD62)^(LN(Constants!$B$2/Constants!$B$5))-CK62)/CK62)^2)</f>
        <v>#DIV/0!</v>
      </c>
    </row>
    <row r="63" spans="1:109">
      <c r="A63" s="66">
        <f t="shared" si="46"/>
        <v>0</v>
      </c>
      <c r="B63" t="str">
        <f>IF(NOT(ISBLANK($J63)),IF($T63&lt;Constants!$B$32,"low spike","OK"),"")</f>
        <v/>
      </c>
      <c r="C63" t="str">
        <f>IF(NOT(ISBLANK($J63)), IF((ABS($L62-$L64)/$L62)&gt;Constants!$B$33,"variable mass bias","OK"), "")</f>
        <v/>
      </c>
      <c r="D63" t="str">
        <f>IF(NOT(ISBLANK($J63)), IF((ABS($P62-$P64)/$P62)&gt;Constants!$B$34,"variable IC yield","OK"),"")</f>
        <v/>
      </c>
      <c r="E63" s="34" t="e">
        <f>CE63</f>
        <v>#DIV/0!</v>
      </c>
      <c r="F63" s="34" t="e">
        <f>CF63</f>
        <v>#DIV/0!</v>
      </c>
      <c r="G63" s="34" t="e">
        <f>CM63</f>
        <v>#DIV/0!</v>
      </c>
      <c r="H63" s="47" t="e">
        <f>CN63</f>
        <v>#DIV/0!</v>
      </c>
      <c r="I63" s="33"/>
      <c r="J63" s="59"/>
      <c r="K63" s="59"/>
      <c r="L63" s="59"/>
      <c r="M63" s="59"/>
      <c r="N63" s="59"/>
      <c r="O63" s="59"/>
      <c r="P63" s="59"/>
      <c r="Q63" s="59"/>
      <c r="R63" s="59"/>
      <c r="S63" s="59"/>
      <c r="T63" s="59"/>
      <c r="U63" s="59"/>
      <c r="V63" s="59"/>
      <c r="W63" s="59"/>
      <c r="X63" s="60"/>
      <c r="Y63" s="60"/>
      <c r="Z63" s="60"/>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2.3944420000000002E-6</v>
      </c>
      <c r="AS63" s="1">
        <f t="shared" si="31"/>
        <v>0</v>
      </c>
      <c r="AT63" s="1">
        <f t="shared" si="32"/>
        <v>9.9999999999999995E-7</v>
      </c>
      <c r="AU63" s="1" t="e">
        <f t="shared" si="42"/>
        <v>#DIV/0!</v>
      </c>
      <c r="AV63" s="1" t="e">
        <f t="shared" si="33"/>
        <v>#DIV/0!</v>
      </c>
      <c r="AW63" s="1" t="e">
        <f t="shared" si="43"/>
        <v>#DIV/0!</v>
      </c>
      <c r="AX63" s="1">
        <f t="shared" si="34"/>
        <v>0</v>
      </c>
      <c r="AY63" t="e">
        <f t="shared" si="26"/>
        <v>#DIV/0!</v>
      </c>
      <c r="AZ63" s="1" t="e">
        <f t="shared" si="35"/>
        <v>#DIV/0!</v>
      </c>
      <c r="BA63" s="1" t="e">
        <f t="shared" si="44"/>
        <v>#DIV/0!</v>
      </c>
      <c r="BB63" s="1" t="e">
        <f t="shared" si="36"/>
        <v>#DIV/0!</v>
      </c>
      <c r="BC63" s="1" t="e">
        <f t="shared" si="17"/>
        <v>#DIV/0!</v>
      </c>
      <c r="BD63" t="e">
        <f t="shared" si="37"/>
        <v>#DIV/0!</v>
      </c>
      <c r="BF63" s="32"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3" t="e">
        <f>SQRT((K63/(1-BK63))^2+(BL63*J63/(1-BK63)^2)^2)</f>
        <v>#DIV/0!</v>
      </c>
      <c r="BO63" s="1" t="e">
        <f t="shared" si="38"/>
        <v>#DIV/0!</v>
      </c>
      <c r="BP63" s="33"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3" t="e">
        <f>BW63*SQRT((BN63/BM63)^2+(((BM63*($BU63+$BV63)^LN(Constants!$B$2/Constants!$B$3))-BW63)/BW63)^2)</f>
        <v>#DIV/0!</v>
      </c>
      <c r="BY63" t="e">
        <f>BO63*BU63^(LN(Constants!$B$2/Constants!$B$4))</f>
        <v>#DIV/0!</v>
      </c>
      <c r="BZ63" s="33" t="e">
        <f>BY63*SQRT((BP63/BO63)^2+(((BO63*($BU63+$BV63)^LN(Constants!$B$2/Constants!$B$4))-BY63)/BY63)^2)</f>
        <v>#DIV/0!</v>
      </c>
      <c r="CA63" t="e">
        <f>BS63*BU63^(LN(Constants!$B$2/Constants!$B$5))</f>
        <v>#DIV/0!</v>
      </c>
      <c r="CB63" s="33"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3" t="e">
        <f>CE63*SQRT((BN63/BM63)^2+(($BM63*($CC63+$CD63)^(LN(Constants!$B$2/Constants!$B$3))-CE63)/CE63)^2)</f>
        <v>#DIV/0!</v>
      </c>
      <c r="CG63" t="e">
        <f>BO63*CC63^(LN(Constants!$B$2/Constants!$B$4))</f>
        <v>#DIV/0!</v>
      </c>
      <c r="CH63" s="33" t="e">
        <f>CG63*SQRT((BP63/BO63)^2+((BO63*($CC63+$CD63)^(LN(Constants!$B$2/Constants!$B$4))-CG63)/CG63)^2)</f>
        <v>#DIV/0!</v>
      </c>
      <c r="CI63" t="e">
        <f>BQ63*$CC63^(LN(Constants!$B$3/Constants!$B$6))</f>
        <v>#DIV/0!</v>
      </c>
      <c r="CJ63" s="33" t="e">
        <f>CI63*SQRT((BR63/BQ63)^2+((BQ63*($CC63+$CD63)^(LN(Constants!$B$3/Constants!$B$6))-CI63)/CI63)^2)</f>
        <v>#DIV/0!</v>
      </c>
      <c r="CK63" t="e">
        <f>BS63*CC63^(LN(Constants!$B$2/Constants!$B$5))</f>
        <v>#DIV/0!</v>
      </c>
      <c r="CL63" s="33"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75" t="e">
        <f>$CQ63/$CS63</f>
        <v>#DIV/0!</v>
      </c>
      <c r="CZ63" s="75" t="e">
        <f>$CR63/$CS63-$CY63</f>
        <v>#DIV/0!</v>
      </c>
      <c r="DA63" s="75" t="e">
        <f>$CS63/$CS63-$CZ63-$CY63</f>
        <v>#DIV/0!</v>
      </c>
      <c r="DB63" s="75" t="e">
        <f>$CT63/$CW63</f>
        <v>#DIV/0!</v>
      </c>
      <c r="DC63" s="75" t="e">
        <f>$CU63/$CW63-$DB63</f>
        <v>#DIV/0!</v>
      </c>
      <c r="DD63" s="75" t="e">
        <f>$CV63/$CW63-$DC63-$DB63</f>
        <v>#DIV/0!</v>
      </c>
      <c r="DE63" s="75" t="e">
        <f>$CW63/$CW63-$DD63-$DC63-$DB63</f>
        <v>#DIV/0!</v>
      </c>
    </row>
    <row r="64" spans="1:109">
      <c r="A64" s="1">
        <f t="shared" si="46"/>
        <v>0</v>
      </c>
      <c r="B64" s="1"/>
      <c r="C64" s="1"/>
      <c r="J64" s="59"/>
      <c r="K64" s="59"/>
      <c r="L64" s="59"/>
      <c r="M64" s="59"/>
      <c r="N64" s="59"/>
      <c r="O64" s="59"/>
      <c r="P64" s="59"/>
      <c r="Q64" s="59"/>
      <c r="R64" s="59"/>
      <c r="S64" s="59"/>
      <c r="T64" s="59"/>
      <c r="U64" s="59"/>
      <c r="V64" s="59"/>
      <c r="W64" s="59"/>
      <c r="X64" s="60"/>
      <c r="Y64" s="60"/>
      <c r="Z64" s="60"/>
      <c r="AB64" s="59"/>
      <c r="AC64" s="59"/>
      <c r="AD64" s="59"/>
      <c r="AE64" s="59"/>
      <c r="AF64" s="59"/>
      <c r="AG64" s="59"/>
      <c r="AH64" s="59"/>
      <c r="AI64" s="59"/>
      <c r="AJ64" s="59"/>
      <c r="AK64" s="59"/>
      <c r="AL64" s="59"/>
      <c r="AM64" s="59"/>
      <c r="AN64" s="60"/>
      <c r="AO64" s="60"/>
      <c r="AP64" s="60"/>
      <c r="AQ64" s="1"/>
      <c r="AR64" s="1">
        <f>Constants!B$25</f>
        <v>2.3944420000000002E-6</v>
      </c>
      <c r="AS64" s="1">
        <f t="shared" si="31"/>
        <v>0</v>
      </c>
      <c r="AT64" s="1">
        <f t="shared" si="32"/>
        <v>9.9999999999999995E-7</v>
      </c>
      <c r="AU64" s="1" t="e">
        <f t="shared" si="42"/>
        <v>#NUM!</v>
      </c>
      <c r="AV64" s="1" t="e">
        <f t="shared" si="33"/>
        <v>#DIV/0!</v>
      </c>
      <c r="AW64" s="1" t="e">
        <f t="shared" si="43"/>
        <v>#NUM!</v>
      </c>
      <c r="AX64" s="1">
        <f t="shared" si="34"/>
        <v>0</v>
      </c>
      <c r="AY64" t="e">
        <f t="shared" si="26"/>
        <v>#DIV/0!</v>
      </c>
      <c r="AZ64" s="1" t="e">
        <f t="shared" si="35"/>
        <v>#DIV/0!</v>
      </c>
      <c r="BA64" s="1" t="e">
        <f t="shared" si="44"/>
        <v>#NUM!</v>
      </c>
      <c r="BB64" s="1" t="e">
        <f t="shared" si="36"/>
        <v>#NUM!</v>
      </c>
      <c r="BC64" s="1" t="e">
        <f t="shared" si="45"/>
        <v>#NUM!</v>
      </c>
      <c r="BD64" t="e">
        <f t="shared" si="37"/>
        <v>#NUM!</v>
      </c>
      <c r="BE64" s="1"/>
      <c r="BF64" s="32" t="e">
        <f t="shared" si="47"/>
        <v>#DIV/0!</v>
      </c>
      <c r="BG64" s="1" t="e">
        <f t="shared" si="48"/>
        <v>#DIV/0!</v>
      </c>
      <c r="BH64" s="1" t="e">
        <f t="shared" si="49"/>
        <v>#DIV/0!</v>
      </c>
      <c r="BI64" s="1" t="e">
        <f t="shared" si="50"/>
        <v>#NUM!</v>
      </c>
      <c r="BJ64" s="1" t="e">
        <f t="shared" si="51"/>
        <v>#NUM!</v>
      </c>
      <c r="BK64" s="1"/>
      <c r="BL64" s="1"/>
      <c r="BM64" s="1"/>
      <c r="BN64" s="1"/>
      <c r="BO64" s="1" t="e">
        <f t="shared" si="38"/>
        <v>#NUM!</v>
      </c>
      <c r="BP64" s="33"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3" t="e">
        <f>CK64*SQRT((BT64/BS64)^2+((BS64*($CC64+$CD64)^(LN(Constants!$B$2/Constants!$B$5))-CK64)/CK64)^2)</f>
        <v>#DIV/0!</v>
      </c>
    </row>
    <row r="65" spans="1:109">
      <c r="A65" s="66">
        <f t="shared" si="46"/>
        <v>0</v>
      </c>
      <c r="B65" t="str">
        <f>IF(NOT(ISBLANK($J65)),IF($T65&lt;Constants!$B$32,"low spike","OK"),"")</f>
        <v/>
      </c>
      <c r="C65" t="str">
        <f>IF(NOT(ISBLANK($J65)), IF((ABS($L64-$L66)/$L64)&gt;Constants!$B$33,"variable mass bias","OK"), "")</f>
        <v/>
      </c>
      <c r="D65" t="str">
        <f>IF(NOT(ISBLANK($J65)), IF((ABS($P64-$P66)/$P64)&gt;Constants!$B$34,"variable IC yield","OK"),"")</f>
        <v/>
      </c>
      <c r="E65" s="34" t="e">
        <f>CE65</f>
        <v>#DIV/0!</v>
      </c>
      <c r="F65" s="34" t="e">
        <f>CF65</f>
        <v>#DIV/0!</v>
      </c>
      <c r="G65" s="34" t="e">
        <f>CM65</f>
        <v>#DIV/0!</v>
      </c>
      <c r="H65" s="47" t="e">
        <f>CN65</f>
        <v>#DIV/0!</v>
      </c>
      <c r="I65" s="33"/>
      <c r="J65" s="59"/>
      <c r="K65" s="59"/>
      <c r="L65" s="59"/>
      <c r="M65" s="59"/>
      <c r="N65" s="59"/>
      <c r="O65" s="59"/>
      <c r="P65" s="59"/>
      <c r="Q65" s="59"/>
      <c r="R65" s="59"/>
      <c r="S65" s="59"/>
      <c r="T65" s="59"/>
      <c r="U65" s="59"/>
      <c r="V65" s="59"/>
      <c r="W65" s="59"/>
      <c r="X65" s="60"/>
      <c r="Y65" s="60"/>
      <c r="Z65" s="60"/>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2.3944420000000002E-6</v>
      </c>
      <c r="AS65" s="1">
        <f t="shared" si="31"/>
        <v>0</v>
      </c>
      <c r="AT65" s="1">
        <f t="shared" si="32"/>
        <v>9.9999999999999995E-7</v>
      </c>
      <c r="AU65" s="1" t="e">
        <f t="shared" si="42"/>
        <v>#DIV/0!</v>
      </c>
      <c r="AV65" s="1" t="e">
        <f t="shared" si="33"/>
        <v>#DIV/0!</v>
      </c>
      <c r="AW65" s="1" t="e">
        <f t="shared" si="43"/>
        <v>#DIV/0!</v>
      </c>
      <c r="AX65" s="1">
        <f t="shared" si="34"/>
        <v>0</v>
      </c>
      <c r="AY65" t="e">
        <f t="shared" si="26"/>
        <v>#DIV/0!</v>
      </c>
      <c r="AZ65" s="1" t="e">
        <f t="shared" si="35"/>
        <v>#DIV/0!</v>
      </c>
      <c r="BA65" s="1" t="e">
        <f t="shared" si="44"/>
        <v>#DIV/0!</v>
      </c>
      <c r="BB65" s="1" t="e">
        <f t="shared" si="36"/>
        <v>#DIV/0!</v>
      </c>
      <c r="BC65" s="1" t="e">
        <f t="shared" si="17"/>
        <v>#DIV/0!</v>
      </c>
      <c r="BD65" t="e">
        <f t="shared" si="37"/>
        <v>#DIV/0!</v>
      </c>
      <c r="BF65" s="32"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3" t="e">
        <f>SQRT((K65/(1-BK65))^2+(BL65*J65/(1-BK65)^2)^2)</f>
        <v>#DIV/0!</v>
      </c>
      <c r="BO65" s="1" t="e">
        <f t="shared" si="38"/>
        <v>#DIV/0!</v>
      </c>
      <c r="BP65" s="33"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3" t="e">
        <f>BW65*SQRT((BN65/BM65)^2+(((BM65*($BU65+$BV65)^LN(Constants!$B$2/Constants!$B$3))-BW65)/BW65)^2)</f>
        <v>#DIV/0!</v>
      </c>
      <c r="BY65" t="e">
        <f>BO65*BU65^(LN(Constants!$B$2/Constants!$B$4))</f>
        <v>#DIV/0!</v>
      </c>
      <c r="BZ65" s="33" t="e">
        <f>BY65*SQRT((BP65/BO65)^2+(((BO65*($BU65+$BV65)^LN(Constants!$B$2/Constants!$B$4))-BY65)/BY65)^2)</f>
        <v>#DIV/0!</v>
      </c>
      <c r="CA65" t="e">
        <f>BS65*BU65^(LN(Constants!$B$2/Constants!$B$5))</f>
        <v>#DIV/0!</v>
      </c>
      <c r="CB65" s="33"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3" t="e">
        <f>CE65*SQRT((BN65/BM65)^2+(($BM65*($CC65+$CD65)^(LN(Constants!$B$2/Constants!$B$3))-CE65)/CE65)^2)</f>
        <v>#DIV/0!</v>
      </c>
      <c r="CG65" t="e">
        <f>BO65*CC65^(LN(Constants!$B$2/Constants!$B$4))</f>
        <v>#DIV/0!</v>
      </c>
      <c r="CH65" s="33" t="e">
        <f>CG65*SQRT((BP65/BO65)^2+((BO65*($CC65+$CD65)^(LN(Constants!$B$2/Constants!$B$4))-CG65)/CG65)^2)</f>
        <v>#DIV/0!</v>
      </c>
      <c r="CI65" t="e">
        <f>BQ65*$CC65^(LN(Constants!$B$3/Constants!$B$6))</f>
        <v>#DIV/0!</v>
      </c>
      <c r="CJ65" s="33" t="e">
        <f>CI65*SQRT((BR65/BQ65)^2+((BQ65*($CC65+$CD65)^(LN(Constants!$B$3/Constants!$B$6))-CI65)/CI65)^2)</f>
        <v>#DIV/0!</v>
      </c>
      <c r="CK65" t="e">
        <f>BS65*CC65^(LN(Constants!$B$2/Constants!$B$5))</f>
        <v>#DIV/0!</v>
      </c>
      <c r="CL65" s="33"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75" t="e">
        <f>$CQ65/$CS65</f>
        <v>#DIV/0!</v>
      </c>
      <c r="CZ65" s="75" t="e">
        <f>$CR65/$CS65-$CY65</f>
        <v>#DIV/0!</v>
      </c>
      <c r="DA65" s="75" t="e">
        <f>$CS65/$CS65-$CZ65-$CY65</f>
        <v>#DIV/0!</v>
      </c>
      <c r="DB65" s="75" t="e">
        <f>$CT65/$CW65</f>
        <v>#DIV/0!</v>
      </c>
      <c r="DC65" s="75" t="e">
        <f>$CU65/$CW65-$DB65</f>
        <v>#DIV/0!</v>
      </c>
      <c r="DD65" s="75" t="e">
        <f>$CV65/$CW65-$DC65-$DB65</f>
        <v>#DIV/0!</v>
      </c>
      <c r="DE65" s="75" t="e">
        <f>$CW65/$CW65-$DD65-$DC65-$DB65</f>
        <v>#DIV/0!</v>
      </c>
    </row>
    <row r="66" spans="1:109">
      <c r="A66" s="66">
        <f t="shared" si="46"/>
        <v>0</v>
      </c>
      <c r="B66" s="66"/>
      <c r="C66" s="66"/>
      <c r="J66" s="59"/>
      <c r="K66" s="59"/>
      <c r="L66" s="59"/>
      <c r="M66" s="59"/>
      <c r="N66" s="59"/>
      <c r="O66" s="59"/>
      <c r="P66" s="59"/>
      <c r="Q66" s="59"/>
      <c r="R66" s="59"/>
      <c r="S66" s="59"/>
      <c r="T66" s="59"/>
      <c r="U66" s="59"/>
      <c r="V66" s="59"/>
      <c r="W66" s="59"/>
      <c r="X66" s="60"/>
      <c r="Y66" s="60"/>
      <c r="Z66" s="60"/>
      <c r="AB66" s="59"/>
      <c r="AC66" s="59"/>
      <c r="AD66" s="59"/>
      <c r="AE66" s="59"/>
      <c r="AF66" s="59"/>
      <c r="AG66" s="59"/>
      <c r="AH66" s="59"/>
      <c r="AI66" s="59"/>
      <c r="AJ66" s="59"/>
      <c r="AK66" s="59"/>
      <c r="AL66" s="59"/>
      <c r="AM66" s="59"/>
      <c r="AN66" s="60"/>
      <c r="AO66" s="60"/>
      <c r="AP66" s="60"/>
      <c r="AQ66" s="1"/>
      <c r="AR66" s="1">
        <f>Constants!B$25</f>
        <v>2.3944420000000002E-6</v>
      </c>
      <c r="AS66" s="1">
        <f t="shared" si="31"/>
        <v>0</v>
      </c>
      <c r="AT66" s="1">
        <f t="shared" si="32"/>
        <v>9.9999999999999995E-7</v>
      </c>
      <c r="AU66" s="1" t="e">
        <f t="shared" si="42"/>
        <v>#NUM!</v>
      </c>
      <c r="AV66" s="1" t="e">
        <f t="shared" si="33"/>
        <v>#DIV/0!</v>
      </c>
      <c r="AW66" s="1" t="e">
        <f t="shared" si="43"/>
        <v>#NUM!</v>
      </c>
      <c r="AX66" s="1">
        <f t="shared" si="34"/>
        <v>0</v>
      </c>
      <c r="AY66" t="e">
        <f t="shared" si="26"/>
        <v>#DIV/0!</v>
      </c>
      <c r="AZ66" s="1" t="e">
        <f t="shared" si="35"/>
        <v>#DIV/0!</v>
      </c>
      <c r="BA66" s="1" t="e">
        <f t="shared" si="44"/>
        <v>#NUM!</v>
      </c>
      <c r="BB66" s="1" t="e">
        <f t="shared" si="36"/>
        <v>#NUM!</v>
      </c>
      <c r="BC66" s="1" t="e">
        <f t="shared" si="45"/>
        <v>#NUM!</v>
      </c>
      <c r="BD66" t="e">
        <f t="shared" si="37"/>
        <v>#NUM!</v>
      </c>
      <c r="BE66" s="1"/>
      <c r="BF66" s="32" t="e">
        <f t="shared" si="47"/>
        <v>#DIV/0!</v>
      </c>
      <c r="BG66" s="1" t="e">
        <f t="shared" si="48"/>
        <v>#DIV/0!</v>
      </c>
      <c r="BH66" s="1" t="e">
        <f t="shared" si="49"/>
        <v>#DIV/0!</v>
      </c>
      <c r="BI66" s="1" t="e">
        <f t="shared" si="50"/>
        <v>#NUM!</v>
      </c>
      <c r="BJ66" s="1" t="e">
        <f t="shared" si="51"/>
        <v>#NUM!</v>
      </c>
      <c r="BK66" s="1"/>
      <c r="BL66" s="1"/>
      <c r="BM66" s="1"/>
      <c r="BN66" s="1"/>
      <c r="BO66" s="1" t="e">
        <f t="shared" si="38"/>
        <v>#NUM!</v>
      </c>
      <c r="BP66" s="33"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3" t="e">
        <f>CK66*SQRT((BT66/BS66)^2+((BS66*($CC66+$CD66)^(LN(Constants!$B$2/Constants!$B$5))-CK66)/CK66)^2)</f>
        <v>#DIV/0!</v>
      </c>
    </row>
    <row r="67" spans="1:109">
      <c r="A67" s="66">
        <f t="shared" si="46"/>
        <v>0</v>
      </c>
      <c r="B67" t="str">
        <f>IF(NOT(ISBLANK($J67)),IF($T67&lt;Constants!$B$32,"low spike","OK"),"")</f>
        <v/>
      </c>
      <c r="C67" t="str">
        <f>IF(NOT(ISBLANK($J67)), IF((ABS($L66-$L68)/$L66)&gt;Constants!$B$33,"variable mass bias","OK"), "")</f>
        <v/>
      </c>
      <c r="D67" t="str">
        <f>IF(NOT(ISBLANK($J67)), IF((ABS($P66-$P68)/$P66)&gt;Constants!$B$34,"variable IC yield","OK"),"")</f>
        <v/>
      </c>
      <c r="E67" s="34" t="e">
        <f>CE67</f>
        <v>#DIV/0!</v>
      </c>
      <c r="F67" s="34" t="e">
        <f>CF67</f>
        <v>#DIV/0!</v>
      </c>
      <c r="G67" s="34" t="e">
        <f>CM67</f>
        <v>#DIV/0!</v>
      </c>
      <c r="H67" s="47" t="e">
        <f>CN67</f>
        <v>#DIV/0!</v>
      </c>
      <c r="I67" s="33"/>
      <c r="J67" s="59"/>
      <c r="K67" s="59"/>
      <c r="L67" s="59"/>
      <c r="M67" s="59"/>
      <c r="N67" s="59"/>
      <c r="O67" s="59"/>
      <c r="P67" s="59"/>
      <c r="Q67" s="59"/>
      <c r="R67" s="59"/>
      <c r="S67" s="59"/>
      <c r="T67" s="59"/>
      <c r="U67" s="59"/>
      <c r="V67" s="59"/>
      <c r="W67" s="59"/>
      <c r="X67" s="60"/>
      <c r="Y67" s="60"/>
      <c r="Z67" s="60"/>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2.3944420000000002E-6</v>
      </c>
      <c r="AS67" s="1">
        <f t="shared" si="31"/>
        <v>0</v>
      </c>
      <c r="AT67" s="1">
        <f t="shared" si="32"/>
        <v>9.9999999999999995E-7</v>
      </c>
      <c r="AU67" s="1" t="e">
        <f t="shared" si="42"/>
        <v>#DIV/0!</v>
      </c>
      <c r="AV67" s="1" t="e">
        <f t="shared" si="33"/>
        <v>#DIV/0!</v>
      </c>
      <c r="AW67" s="1" t="e">
        <f t="shared" si="43"/>
        <v>#DIV/0!</v>
      </c>
      <c r="AX67" s="1">
        <f t="shared" si="34"/>
        <v>0</v>
      </c>
      <c r="AY67" t="e">
        <f t="shared" si="26"/>
        <v>#DIV/0!</v>
      </c>
      <c r="AZ67" s="1" t="e">
        <f t="shared" si="35"/>
        <v>#DIV/0!</v>
      </c>
      <c r="BA67" s="1" t="e">
        <f t="shared" si="44"/>
        <v>#DIV/0!</v>
      </c>
      <c r="BB67" s="1" t="e">
        <f t="shared" si="36"/>
        <v>#DIV/0!</v>
      </c>
      <c r="BC67" s="1" t="e">
        <f t="shared" si="17"/>
        <v>#DIV/0!</v>
      </c>
      <c r="BD67" t="e">
        <f t="shared" si="37"/>
        <v>#DIV/0!</v>
      </c>
      <c r="BF67" s="32"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3" t="e">
        <f>SQRT((K67/(1-BK67))^2+(BL67*J67/(1-BK67)^2)^2)</f>
        <v>#DIV/0!</v>
      </c>
      <c r="BO67" s="1" t="e">
        <f t="shared" si="38"/>
        <v>#DIV/0!</v>
      </c>
      <c r="BP67" s="33"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3" t="e">
        <f>BW67*SQRT((BN67/BM67)^2+(((BM67*($BU67+$BV67)^LN(Constants!$B$2/Constants!$B$3))-BW67)/BW67)^2)</f>
        <v>#DIV/0!</v>
      </c>
      <c r="BY67" t="e">
        <f>BO67*BU67^(LN(Constants!$B$2/Constants!$B$4))</f>
        <v>#DIV/0!</v>
      </c>
      <c r="BZ67" s="33" t="e">
        <f>BY67*SQRT((BP67/BO67)^2+(((BO67*($BU67+$BV67)^LN(Constants!$B$2/Constants!$B$4))-BY67)/BY67)^2)</f>
        <v>#DIV/0!</v>
      </c>
      <c r="CA67" t="e">
        <f>BS67*BU67^(LN(Constants!$B$2/Constants!$B$5))</f>
        <v>#DIV/0!</v>
      </c>
      <c r="CB67" s="33"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3" t="e">
        <f>CE67*SQRT((BN67/BM67)^2+(($BM67*($CC67+$CD67)^(LN(Constants!$B$2/Constants!$B$3))-CE67)/CE67)^2)</f>
        <v>#DIV/0!</v>
      </c>
      <c r="CG67" t="e">
        <f>BO67*CC67^(LN(Constants!$B$2/Constants!$B$4))</f>
        <v>#DIV/0!</v>
      </c>
      <c r="CH67" s="33" t="e">
        <f>CG67*SQRT((BP67/BO67)^2+((BO67*($CC67+$CD67)^(LN(Constants!$B$2/Constants!$B$4))-CG67)/CG67)^2)</f>
        <v>#DIV/0!</v>
      </c>
      <c r="CI67" t="e">
        <f>BQ67*$CC67^(LN(Constants!$B$3/Constants!$B$6))</f>
        <v>#DIV/0!</v>
      </c>
      <c r="CJ67" s="33" t="e">
        <f>CI67*SQRT((BR67/BQ67)^2+((BQ67*($CC67+$CD67)^(LN(Constants!$B$3/Constants!$B$6))-CI67)/CI67)^2)</f>
        <v>#DIV/0!</v>
      </c>
      <c r="CK67" t="e">
        <f>BS67*CC67^(LN(Constants!$B$2/Constants!$B$5))</f>
        <v>#DIV/0!</v>
      </c>
      <c r="CL67" s="33"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75" t="e">
        <f>$CQ67/$CS67</f>
        <v>#DIV/0!</v>
      </c>
      <c r="CZ67" s="75" t="e">
        <f>$CR67/$CS67-$CY67</f>
        <v>#DIV/0!</v>
      </c>
      <c r="DA67" s="75" t="e">
        <f>$CS67/$CS67-$CZ67-$CY67</f>
        <v>#DIV/0!</v>
      </c>
      <c r="DB67" s="75" t="e">
        <f>$CT67/$CW67</f>
        <v>#DIV/0!</v>
      </c>
      <c r="DC67" s="75" t="e">
        <f>$CU67/$CW67-$DB67</f>
        <v>#DIV/0!</v>
      </c>
      <c r="DD67" s="75" t="e">
        <f>$CV67/$CW67-$DC67-$DB67</f>
        <v>#DIV/0!</v>
      </c>
      <c r="DE67" s="75" t="e">
        <f>$CW67/$CW67-$DD67-$DC67-$DB67</f>
        <v>#DIV/0!</v>
      </c>
    </row>
    <row r="68" spans="1:109">
      <c r="A68" s="66">
        <f t="shared" si="46"/>
        <v>0</v>
      </c>
      <c r="B68" s="66"/>
      <c r="C68" s="66"/>
      <c r="J68" s="59"/>
      <c r="K68" s="59"/>
      <c r="L68" s="59"/>
      <c r="M68" s="59"/>
      <c r="N68" s="59"/>
      <c r="O68" s="59"/>
      <c r="P68" s="59"/>
      <c r="Q68" s="59"/>
      <c r="R68" s="59"/>
      <c r="S68" s="59"/>
      <c r="T68" s="59"/>
      <c r="U68" s="59"/>
      <c r="V68" s="59"/>
      <c r="W68" s="59"/>
      <c r="X68" s="60"/>
      <c r="Y68" s="60"/>
      <c r="Z68" s="60"/>
      <c r="AB68" s="59"/>
      <c r="AC68" s="59"/>
      <c r="AD68" s="59"/>
      <c r="AE68" s="59"/>
      <c r="AF68" s="59"/>
      <c r="AG68" s="59"/>
      <c r="AH68" s="59"/>
      <c r="AI68" s="59"/>
      <c r="AJ68" s="59"/>
      <c r="AK68" s="59"/>
      <c r="AL68" s="59"/>
      <c r="AM68" s="59"/>
      <c r="AN68" s="60"/>
      <c r="AO68" s="60"/>
      <c r="AP68" s="60"/>
      <c r="AQ68" s="1"/>
      <c r="AR68" s="1">
        <f>Constants!B$25</f>
        <v>2.3944420000000002E-6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6"/>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2"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3"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3" t="e">
        <f>CK68*SQRT((BT68/BS68)^2+((BS68*($CC68+$CD68)^(LN(Constants!$B$2/Constants!$B$5))-CK68)/CK68)^2)</f>
        <v>#DIV/0!</v>
      </c>
      <c r="CR68" s="1"/>
      <c r="CS68" s="1"/>
      <c r="CU68" s="1"/>
      <c r="CV68" s="1"/>
      <c r="CW68" s="1"/>
    </row>
    <row r="69" spans="1:109">
      <c r="A69" s="66">
        <f t="shared" si="46"/>
        <v>0</v>
      </c>
      <c r="B69" t="str">
        <f>IF(NOT(ISBLANK($J69)),IF($T69&lt;Constants!$B$32,"low spike","OK"),"")</f>
        <v/>
      </c>
      <c r="C69" t="str">
        <f>IF(NOT(ISBLANK($J69)), IF((ABS($L68-$L70)/$L68)&gt;Constants!$B$33,"variable mass bias","OK"), "")</f>
        <v/>
      </c>
      <c r="D69" t="str">
        <f>IF(NOT(ISBLANK($J69)), IF((ABS($P68-$P70)/$P68)&gt;Constants!$B$34,"variable IC yield","OK"),"")</f>
        <v/>
      </c>
      <c r="E69" s="34" t="e">
        <f>CE69</f>
        <v>#DIV/0!</v>
      </c>
      <c r="F69" s="34" t="e">
        <f>CF69</f>
        <v>#DIV/0!</v>
      </c>
      <c r="G69" s="34" t="e">
        <f>CM69</f>
        <v>#DIV/0!</v>
      </c>
      <c r="H69" s="47" t="e">
        <f>CN69</f>
        <v>#DIV/0!</v>
      </c>
      <c r="I69" s="33"/>
      <c r="J69" s="59"/>
      <c r="K69" s="59"/>
      <c r="L69" s="59"/>
      <c r="M69" s="59"/>
      <c r="N69" s="59"/>
      <c r="O69" s="59"/>
      <c r="P69" s="59"/>
      <c r="Q69" s="59"/>
      <c r="R69" s="59"/>
      <c r="S69" s="59"/>
      <c r="T69" s="59"/>
      <c r="U69" s="59"/>
      <c r="V69" s="59"/>
      <c r="W69" s="59"/>
      <c r="X69" s="60"/>
      <c r="Y69" s="60"/>
      <c r="Z69" s="60"/>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2.3944420000000002E-6</v>
      </c>
      <c r="AS69" s="1">
        <f t="shared" si="52"/>
        <v>0</v>
      </c>
      <c r="AT69" s="1">
        <f t="shared" si="53"/>
        <v>9.9999999999999995E-7</v>
      </c>
      <c r="AU69" s="1" t="e">
        <f t="shared" si="42"/>
        <v>#DIV/0!</v>
      </c>
      <c r="AV69" s="1" t="e">
        <f t="shared" si="54"/>
        <v>#DIV/0!</v>
      </c>
      <c r="AW69" s="1" t="e">
        <f t="shared" si="43"/>
        <v>#DIV/0!</v>
      </c>
      <c r="AX69" s="1">
        <f t="shared" si="55"/>
        <v>0</v>
      </c>
      <c r="AY69" t="e">
        <f t="shared" si="26"/>
        <v>#DIV/0!</v>
      </c>
      <c r="AZ69" s="1" t="e">
        <f t="shared" si="56"/>
        <v>#DIV/0!</v>
      </c>
      <c r="BA69" s="1" t="e">
        <f t="shared" si="44"/>
        <v>#DIV/0!</v>
      </c>
      <c r="BB69" s="1" t="e">
        <f t="shared" si="57"/>
        <v>#DIV/0!</v>
      </c>
      <c r="BC69" s="1" t="e">
        <f t="shared" si="17"/>
        <v>#DIV/0!</v>
      </c>
      <c r="BD69" t="e">
        <f t="shared" si="58"/>
        <v>#DIV/0!</v>
      </c>
      <c r="BF69" s="32"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3" t="e">
        <f>SQRT((K69/(1-BK69))^2+(BL69*J69/(1-BK69)^2)^2)</f>
        <v>#DIV/0!</v>
      </c>
      <c r="BO69" s="1" t="e">
        <f t="shared" si="59"/>
        <v>#DIV/0!</v>
      </c>
      <c r="BP69" s="33"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3" t="e">
        <f>BW69*SQRT((BN69/BM69)^2+(((BM69*($BU69+$BV69)^LN(Constants!$B$2/Constants!$B$3))-BW69)/BW69)^2)</f>
        <v>#DIV/0!</v>
      </c>
      <c r="BY69" t="e">
        <f>BO69*BU69^(LN(Constants!$B$2/Constants!$B$4))</f>
        <v>#DIV/0!</v>
      </c>
      <c r="BZ69" s="33" t="e">
        <f>BY69*SQRT((BP69/BO69)^2+(((BO69*($BU69+$BV69)^LN(Constants!$B$2/Constants!$B$4))-BY69)/BY69)^2)</f>
        <v>#DIV/0!</v>
      </c>
      <c r="CA69" t="e">
        <f>BS69*BU69^(LN(Constants!$B$2/Constants!$B$5))</f>
        <v>#DIV/0!</v>
      </c>
      <c r="CB69" s="33"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3" t="e">
        <f>CE69*SQRT((BN69/BM69)^2+(($BM69*($CC69+$CD69)^(LN(Constants!$B$2/Constants!$B$3))-CE69)/CE69)^2)</f>
        <v>#DIV/0!</v>
      </c>
      <c r="CG69" t="e">
        <f>BO69*CC69^(LN(Constants!$B$2/Constants!$B$4))</f>
        <v>#DIV/0!</v>
      </c>
      <c r="CH69" s="33" t="e">
        <f>CG69*SQRT((BP69/BO69)^2+((BO69*($CC69+$CD69)^(LN(Constants!$B$2/Constants!$B$4))-CG69)/CG69)^2)</f>
        <v>#DIV/0!</v>
      </c>
      <c r="CI69" t="e">
        <f>BQ69*$CC69^(LN(Constants!$B$3/Constants!$B$6))</f>
        <v>#DIV/0!</v>
      </c>
      <c r="CJ69" s="33" t="e">
        <f>CI69*SQRT((BR69/BQ69)^2+((BQ69*($CC69+$CD69)^(LN(Constants!$B$3/Constants!$B$6))-CI69)/CI69)^2)</f>
        <v>#DIV/0!</v>
      </c>
      <c r="CK69" t="e">
        <f>BS69*CC69^(LN(Constants!$B$2/Constants!$B$5))</f>
        <v>#DIV/0!</v>
      </c>
      <c r="CL69" s="33"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75" t="e">
        <f>$CQ69/$CS69</f>
        <v>#DIV/0!</v>
      </c>
      <c r="CZ69" s="75" t="e">
        <f>$CR69/$CS69-$CY69</f>
        <v>#DIV/0!</v>
      </c>
      <c r="DA69" s="75" t="e">
        <f>$CS69/$CS69-$CZ69-$CY69</f>
        <v>#DIV/0!</v>
      </c>
      <c r="DB69" s="75" t="e">
        <f>$CT69/$CW69</f>
        <v>#DIV/0!</v>
      </c>
      <c r="DC69" s="75" t="e">
        <f>$CU69/$CW69-$DB69</f>
        <v>#DIV/0!</v>
      </c>
      <c r="DD69" s="75" t="e">
        <f>$CV69/$CW69-$DC69-$DB69</f>
        <v>#DIV/0!</v>
      </c>
      <c r="DE69" s="75" t="e">
        <f>$CW69/$CW69-$DD69-$DC69-$DB69</f>
        <v>#DIV/0!</v>
      </c>
    </row>
    <row r="70" spans="1:109">
      <c r="A70" s="66">
        <f t="shared" ref="A70:A90" si="63">X70</f>
        <v>0</v>
      </c>
      <c r="B70" s="66"/>
      <c r="C70" s="66"/>
      <c r="J70" s="59"/>
      <c r="K70" s="59"/>
      <c r="L70" s="59"/>
      <c r="M70" s="59"/>
      <c r="N70" s="59"/>
      <c r="O70" s="59"/>
      <c r="P70" s="59"/>
      <c r="Q70" s="59"/>
      <c r="R70" s="59"/>
      <c r="S70" s="59"/>
      <c r="T70" s="59"/>
      <c r="U70" s="59"/>
      <c r="V70" s="59"/>
      <c r="W70" s="59"/>
      <c r="X70" s="60"/>
      <c r="Y70" s="60"/>
      <c r="Z70" s="60"/>
      <c r="AB70" s="1"/>
      <c r="AC70" s="1"/>
      <c r="AD70" s="1"/>
      <c r="AE70" s="1"/>
      <c r="AF70" s="1"/>
      <c r="AG70" s="1"/>
      <c r="AH70" s="1"/>
      <c r="AI70" s="1"/>
      <c r="AJ70" s="1"/>
      <c r="AK70" s="1"/>
      <c r="AL70" s="1"/>
      <c r="AM70" s="1"/>
      <c r="AQ70" s="1"/>
      <c r="AR70" s="1">
        <f>Constants!B$25</f>
        <v>2.3944420000000002E-6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6"/>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2" t="e">
        <f t="shared" si="47"/>
        <v>#DIV/0!</v>
      </c>
      <c r="BG70" s="1" t="e">
        <f t="shared" si="48"/>
        <v>#DIV/0!</v>
      </c>
      <c r="BH70" s="1" t="e">
        <f t="shared" si="49"/>
        <v>#DIV/0!</v>
      </c>
      <c r="BI70" s="1" t="e">
        <f t="shared" si="50"/>
        <v>#NUM!</v>
      </c>
      <c r="BJ70" s="1" t="e">
        <f t="shared" si="51"/>
        <v>#NUM!</v>
      </c>
      <c r="BK70" s="1"/>
      <c r="BL70" s="1"/>
      <c r="BM70" s="1"/>
      <c r="BN70" s="1"/>
      <c r="BO70" s="1" t="e">
        <f t="shared" si="59"/>
        <v>#NUM!</v>
      </c>
      <c r="BP70" s="33"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3" t="e">
        <f>CK70*SQRT((BT70/BS70)^2+((BS70*($CC70+$CD70)^(LN(Constants!$B$2/Constants!$B$5))-CK70)/CK70)^2)</f>
        <v>#DIV/0!</v>
      </c>
    </row>
    <row r="71" spans="1:109">
      <c r="A71" s="66">
        <f t="shared" si="63"/>
        <v>0</v>
      </c>
      <c r="B71" t="str">
        <f>IF(NOT(ISBLANK($J71)),IF($T71&lt;Constants!$B$32,"low spike","OK"),"")</f>
        <v/>
      </c>
      <c r="C71" t="str">
        <f>IF(NOT(ISBLANK($J71)), IF((ABS($L70-$L72)/$L70)&gt;Constants!$B$33,"variable mass bias","OK"), "")</f>
        <v/>
      </c>
      <c r="D71" t="str">
        <f>IF(NOT(ISBLANK($J71)), IF((ABS($P70-$P72)/$P70)&gt;Constants!$B$34,"variable IC yield","OK"),"")</f>
        <v/>
      </c>
      <c r="E71" s="34" t="e">
        <f>CE71</f>
        <v>#DIV/0!</v>
      </c>
      <c r="F71" s="34" t="e">
        <f>CF71</f>
        <v>#DIV/0!</v>
      </c>
      <c r="G71" s="34" t="e">
        <f>CM71</f>
        <v>#DIV/0!</v>
      </c>
      <c r="H71" s="47" t="e">
        <f>CN71</f>
        <v>#DIV/0!</v>
      </c>
      <c r="I71" s="33"/>
      <c r="J71" s="59"/>
      <c r="K71" s="59"/>
      <c r="L71" s="59"/>
      <c r="M71" s="59"/>
      <c r="N71" s="59"/>
      <c r="O71" s="59"/>
      <c r="P71" s="59"/>
      <c r="Q71" s="59"/>
      <c r="R71" s="59"/>
      <c r="S71" s="59"/>
      <c r="T71" s="59"/>
      <c r="U71" s="59"/>
      <c r="V71" s="59"/>
      <c r="W71" s="59"/>
      <c r="X71" s="60"/>
      <c r="Y71" s="60"/>
      <c r="Z71" s="60"/>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2.3944420000000002E-6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17"/>
        <v>#DIV/0!</v>
      </c>
      <c r="BD71" t="e">
        <f t="shared" si="58"/>
        <v>#DIV/0!</v>
      </c>
      <c r="BF71" s="32"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3" t="e">
        <f>SQRT((K71/(1-BK71))^2+(BL71*J71/(1-BK71)^2)^2)</f>
        <v>#DIV/0!</v>
      </c>
      <c r="BO71" s="1" t="e">
        <f t="shared" si="59"/>
        <v>#DIV/0!</v>
      </c>
      <c r="BP71" s="33"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3" t="e">
        <f>BW71*SQRT((BN71/BM71)^2+(((BM71*($BU71+$BV71)^LN(Constants!$B$2/Constants!$B$3))-BW71)/BW71)^2)</f>
        <v>#DIV/0!</v>
      </c>
      <c r="BY71" t="e">
        <f>BO71*BU71^(LN(Constants!$B$2/Constants!$B$4))</f>
        <v>#DIV/0!</v>
      </c>
      <c r="BZ71" s="33" t="e">
        <f>BY71*SQRT((BP71/BO71)^2+(((BO71*($BU71+$BV71)^LN(Constants!$B$2/Constants!$B$4))-BY71)/BY71)^2)</f>
        <v>#DIV/0!</v>
      </c>
      <c r="CA71" t="e">
        <f>BS71*BU71^(LN(Constants!$B$2/Constants!$B$5))</f>
        <v>#DIV/0!</v>
      </c>
      <c r="CB71" s="33"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3" t="e">
        <f>CE71*SQRT((BN71/BM71)^2+(($BM71*($CC71+$CD71)^(LN(Constants!$B$2/Constants!$B$3))-CE71)/CE71)^2)</f>
        <v>#DIV/0!</v>
      </c>
      <c r="CG71" t="e">
        <f>BO71*CC71^(LN(Constants!$B$2/Constants!$B$4))</f>
        <v>#DIV/0!</v>
      </c>
      <c r="CH71" s="33" t="e">
        <f>CG71*SQRT((BP71/BO71)^2+((BO71*($CC71+$CD71)^(LN(Constants!$B$2/Constants!$B$4))-CG71)/CG71)^2)</f>
        <v>#DIV/0!</v>
      </c>
      <c r="CI71" t="e">
        <f>BQ71*$CC71^(LN(Constants!$B$3/Constants!$B$6))</f>
        <v>#DIV/0!</v>
      </c>
      <c r="CJ71" s="33" t="e">
        <f>CI71*SQRT((BR71/BQ71)^2+((BQ71*($CC71+$CD71)^(LN(Constants!$B$3/Constants!$B$6))-CI71)/CI71)^2)</f>
        <v>#DIV/0!</v>
      </c>
      <c r="CK71" t="e">
        <f>BS71*CC71^(LN(Constants!$B$2/Constants!$B$5))</f>
        <v>#DIV/0!</v>
      </c>
      <c r="CL71" s="33"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75" t="e">
        <f>$CQ71/$CS71</f>
        <v>#DIV/0!</v>
      </c>
      <c r="CZ71" s="75" t="e">
        <f>$CR71/$CS71-$CY71</f>
        <v>#DIV/0!</v>
      </c>
      <c r="DA71" s="75" t="e">
        <f>$CS71/$CS71-$CZ71-$CY71</f>
        <v>#DIV/0!</v>
      </c>
      <c r="DB71" s="75" t="e">
        <f>$CT71/$CW71</f>
        <v>#DIV/0!</v>
      </c>
      <c r="DC71" s="75" t="e">
        <f>$CU71/$CW71-$DB71</f>
        <v>#DIV/0!</v>
      </c>
      <c r="DD71" s="75" t="e">
        <f>$CV71/$CW71-$DC71-$DB71</f>
        <v>#DIV/0!</v>
      </c>
      <c r="DE71" s="75" t="e">
        <f>$CW71/$CW71-$DD71-$DC71-$DB71</f>
        <v>#DIV/0!</v>
      </c>
    </row>
    <row r="72" spans="1:109">
      <c r="A72" s="66">
        <f t="shared" si="63"/>
        <v>0</v>
      </c>
      <c r="B72" s="66"/>
      <c r="C72" s="66"/>
      <c r="J72" s="59"/>
      <c r="K72" s="59"/>
      <c r="L72" s="59"/>
      <c r="M72" s="59"/>
      <c r="N72" s="59"/>
      <c r="O72" s="59"/>
      <c r="P72" s="59"/>
      <c r="Q72" s="59"/>
      <c r="R72" s="59"/>
      <c r="S72" s="59"/>
      <c r="T72" s="59"/>
      <c r="U72" s="59"/>
      <c r="V72" s="59"/>
      <c r="W72" s="59"/>
      <c r="X72" s="60"/>
      <c r="Y72" s="60"/>
      <c r="Z72" s="60"/>
      <c r="AB72" s="1"/>
      <c r="AC72" s="1"/>
      <c r="AD72" s="1"/>
      <c r="AE72" s="1"/>
      <c r="AF72" s="1"/>
      <c r="AG72" s="1"/>
      <c r="AH72" s="1"/>
      <c r="AI72" s="1"/>
      <c r="AJ72" s="1"/>
      <c r="AK72" s="1"/>
      <c r="AL72" s="1"/>
      <c r="AM72" s="1"/>
      <c r="AQ72" s="1"/>
      <c r="AR72" s="1">
        <f>Constants!B$25</f>
        <v>2.3944420000000002E-6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2" t="e">
        <f t="shared" si="47"/>
        <v>#DIV/0!</v>
      </c>
      <c r="BG72" s="1" t="e">
        <f t="shared" si="48"/>
        <v>#DIV/0!</v>
      </c>
      <c r="BH72" s="1" t="e">
        <f t="shared" si="49"/>
        <v>#DIV/0!</v>
      </c>
      <c r="BI72" s="1" t="e">
        <f t="shared" si="50"/>
        <v>#NUM!</v>
      </c>
      <c r="BJ72" s="1" t="e">
        <f t="shared" si="51"/>
        <v>#NUM!</v>
      </c>
      <c r="BK72" s="1"/>
      <c r="BL72" s="1"/>
      <c r="BM72" s="1"/>
      <c r="BN72" s="1"/>
      <c r="BO72" s="1" t="e">
        <f t="shared" si="59"/>
        <v>#NUM!</v>
      </c>
      <c r="BP72" s="33"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3" t="e">
        <f>CK72*SQRT((BT72/BS72)^2+((BS72*($CC72+$CD72)^(LN(Constants!$B$2/Constants!$B$5))-CK72)/CK72)^2)</f>
        <v>#DIV/0!</v>
      </c>
    </row>
    <row r="73" spans="1:109">
      <c r="A73" s="66">
        <f t="shared" si="63"/>
        <v>0</v>
      </c>
      <c r="B73" t="str">
        <f>IF(NOT(ISBLANK($J73)),IF($T73&lt;Constants!$B$32,"low spike","OK"),"")</f>
        <v/>
      </c>
      <c r="C73" t="str">
        <f>IF(NOT(ISBLANK($J73)), IF((ABS($L72-$L74)/$L72)&gt;Constants!$B$33,"variable mass bias","OK"), "")</f>
        <v/>
      </c>
      <c r="D73" t="str">
        <f>IF(NOT(ISBLANK($J73)), IF((ABS($P72-$P74)/$P72)&gt;Constants!$B$34,"variable IC yield","OK"),"")</f>
        <v/>
      </c>
      <c r="E73" s="34" t="e">
        <f>CE73</f>
        <v>#DIV/0!</v>
      </c>
      <c r="F73" s="34" t="e">
        <f>CF73</f>
        <v>#DIV/0!</v>
      </c>
      <c r="G73" s="34" t="e">
        <f>CM73</f>
        <v>#DIV/0!</v>
      </c>
      <c r="H73" s="47" t="e">
        <f>CN73</f>
        <v>#DIV/0!</v>
      </c>
      <c r="I73" s="33"/>
      <c r="J73" s="59"/>
      <c r="K73" s="59"/>
      <c r="L73" s="59"/>
      <c r="M73" s="59"/>
      <c r="N73" s="59"/>
      <c r="O73" s="59"/>
      <c r="P73" s="59"/>
      <c r="Q73" s="59"/>
      <c r="R73" s="59"/>
      <c r="S73" s="59"/>
      <c r="T73" s="59"/>
      <c r="U73" s="59"/>
      <c r="V73" s="59"/>
      <c r="W73" s="59"/>
      <c r="X73" s="60"/>
      <c r="Y73" s="60"/>
      <c r="Z73" s="60"/>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2.3944420000000002E-6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17"/>
        <v>#DIV/0!</v>
      </c>
      <c r="BD73" t="e">
        <f t="shared" si="58"/>
        <v>#DIV/0!</v>
      </c>
      <c r="BF73" s="32"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3" t="e">
        <f>SQRT((K73/(1-BK73))^2+(BL73*J73/(1-BK73)^2)^2)</f>
        <v>#DIV/0!</v>
      </c>
      <c r="BO73" s="1" t="e">
        <f t="shared" si="59"/>
        <v>#DIV/0!</v>
      </c>
      <c r="BP73" s="33"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3" t="e">
        <f>BW73*SQRT((BN73/BM73)^2+(((BM73*($BU73+$BV73)^LN(Constants!$B$2/Constants!$B$3))-BW73)/BW73)^2)</f>
        <v>#DIV/0!</v>
      </c>
      <c r="BY73" t="e">
        <f>BO73*BU73^(LN(Constants!$B$2/Constants!$B$4))</f>
        <v>#DIV/0!</v>
      </c>
      <c r="BZ73" s="33" t="e">
        <f>BY73*SQRT((BP73/BO73)^2+(((BO73*($BU73+$BV73)^LN(Constants!$B$2/Constants!$B$4))-BY73)/BY73)^2)</f>
        <v>#DIV/0!</v>
      </c>
      <c r="CA73" t="e">
        <f>BS73*BU73^(LN(Constants!$B$2/Constants!$B$5))</f>
        <v>#DIV/0!</v>
      </c>
      <c r="CB73" s="33"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3" t="e">
        <f>CE73*SQRT((BN73/BM73)^2+(($BM73*($CC73+$CD73)^(LN(Constants!$B$2/Constants!$B$3))-CE73)/CE73)^2)</f>
        <v>#DIV/0!</v>
      </c>
      <c r="CG73" t="e">
        <f>BO73*CC73^(LN(Constants!$B$2/Constants!$B$4))</f>
        <v>#DIV/0!</v>
      </c>
      <c r="CH73" s="33" t="e">
        <f>CG73*SQRT((BP73/BO73)^2+((BO73*($CC73+$CD73)^(LN(Constants!$B$2/Constants!$B$4))-CG73)/CG73)^2)</f>
        <v>#DIV/0!</v>
      </c>
      <c r="CI73" t="e">
        <f>BQ73*$CC73^(LN(Constants!$B$3/Constants!$B$6))</f>
        <v>#DIV/0!</v>
      </c>
      <c r="CJ73" s="33" t="e">
        <f>CI73*SQRT((BR73/BQ73)^2+((BQ73*($CC73+$CD73)^(LN(Constants!$B$3/Constants!$B$6))-CI73)/CI73)^2)</f>
        <v>#DIV/0!</v>
      </c>
      <c r="CK73" t="e">
        <f>BS73*CC73^(LN(Constants!$B$2/Constants!$B$5))</f>
        <v>#DIV/0!</v>
      </c>
      <c r="CL73" s="33"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75" t="e">
        <f>$CQ73/$CS73</f>
        <v>#DIV/0!</v>
      </c>
      <c r="CZ73" s="75" t="e">
        <f>$CR73/$CS73-$CY73</f>
        <v>#DIV/0!</v>
      </c>
      <c r="DA73" s="75" t="e">
        <f>$CS73/$CS73-$CZ73-$CY73</f>
        <v>#DIV/0!</v>
      </c>
      <c r="DB73" s="75" t="e">
        <f>$CT73/$CW73</f>
        <v>#DIV/0!</v>
      </c>
      <c r="DC73" s="75" t="e">
        <f>$CU73/$CW73-$DB73</f>
        <v>#DIV/0!</v>
      </c>
      <c r="DD73" s="75" t="e">
        <f>$CV73/$CW73-$DC73-$DB73</f>
        <v>#DIV/0!</v>
      </c>
      <c r="DE73" s="75" t="e">
        <f>$CW73/$CW73-$DD73-$DC73-$DB73</f>
        <v>#DIV/0!</v>
      </c>
    </row>
    <row r="74" spans="1:109">
      <c r="A74" s="66">
        <f t="shared" si="63"/>
        <v>0</v>
      </c>
      <c r="B74" s="66"/>
      <c r="C74" s="66"/>
      <c r="J74" s="59"/>
      <c r="K74" s="59"/>
      <c r="L74" s="59"/>
      <c r="M74" s="59"/>
      <c r="N74" s="59"/>
      <c r="O74" s="59"/>
      <c r="P74" s="59"/>
      <c r="Q74" s="59"/>
      <c r="R74" s="59"/>
      <c r="S74" s="59"/>
      <c r="T74" s="59"/>
      <c r="U74" s="59"/>
      <c r="V74" s="59"/>
      <c r="W74" s="59"/>
      <c r="X74" s="60"/>
      <c r="Y74" s="60"/>
      <c r="Z74" s="60"/>
      <c r="AB74" s="1"/>
      <c r="AC74" s="1"/>
      <c r="AD74" s="1"/>
      <c r="AE74" s="1"/>
      <c r="AF74" s="1"/>
      <c r="AG74" s="1"/>
      <c r="AH74" s="1"/>
      <c r="AI74" s="1"/>
      <c r="AJ74" s="1"/>
      <c r="AK74" s="1"/>
      <c r="AL74" s="1"/>
      <c r="AM74" s="1"/>
      <c r="AQ74" s="1"/>
      <c r="AR74" s="1">
        <f>Constants!B$25</f>
        <v>2.3944420000000002E-6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2" t="e">
        <f t="shared" si="47"/>
        <v>#DIV/0!</v>
      </c>
      <c r="BG74" s="1" t="e">
        <f t="shared" si="48"/>
        <v>#DIV/0!</v>
      </c>
      <c r="BH74" s="1" t="e">
        <f t="shared" si="49"/>
        <v>#DIV/0!</v>
      </c>
      <c r="BI74" s="1" t="e">
        <f t="shared" si="50"/>
        <v>#NUM!</v>
      </c>
      <c r="BJ74" s="1" t="e">
        <f t="shared" si="51"/>
        <v>#NUM!</v>
      </c>
      <c r="BK74" s="1"/>
      <c r="BL74" s="1"/>
      <c r="BM74" s="1"/>
      <c r="BN74" s="1"/>
      <c r="BO74" s="1" t="e">
        <f t="shared" si="59"/>
        <v>#NUM!</v>
      </c>
      <c r="BP74" s="33"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3" t="e">
        <f>CK74*SQRT((BT74/BS74)^2+((BS74*($CC74+$CD74)^(LN(Constants!$B$2/Constants!$B$5))-CK74)/CK74)^2)</f>
        <v>#DIV/0!</v>
      </c>
    </row>
    <row r="75" spans="1:109">
      <c r="A75" s="66">
        <f t="shared" si="63"/>
        <v>0</v>
      </c>
      <c r="B75" t="str">
        <f>IF(NOT(ISBLANK($J75)),IF($T75&lt;Constants!$B$32,"low spike","OK"),"")</f>
        <v/>
      </c>
      <c r="C75" t="str">
        <f>IF(NOT(ISBLANK($J75)), IF((ABS($L74-$L76)/$L74)&gt;Constants!$B$33,"variable mass bias","OK"), "")</f>
        <v/>
      </c>
      <c r="D75" t="str">
        <f>IF(NOT(ISBLANK($J75)), IF((ABS($P74-$P76)/$P74)&gt;Constants!$B$34,"variable IC yield","OK"),"")</f>
        <v/>
      </c>
      <c r="E75" s="34" t="e">
        <f>CE75</f>
        <v>#DIV/0!</v>
      </c>
      <c r="F75" s="34" t="e">
        <f>CF75</f>
        <v>#DIV/0!</v>
      </c>
      <c r="G75" s="34" t="e">
        <f>CM75</f>
        <v>#DIV/0!</v>
      </c>
      <c r="H75" s="47" t="e">
        <f>CN75</f>
        <v>#DIV/0!</v>
      </c>
      <c r="I75" s="33"/>
      <c r="J75" s="59"/>
      <c r="K75" s="59"/>
      <c r="L75" s="59"/>
      <c r="M75" s="59"/>
      <c r="N75" s="59"/>
      <c r="O75" s="59"/>
      <c r="P75" s="59"/>
      <c r="Q75" s="59"/>
      <c r="R75" s="59"/>
      <c r="S75" s="59"/>
      <c r="T75" s="59"/>
      <c r="U75" s="59"/>
      <c r="V75" s="59"/>
      <c r="W75" s="59"/>
      <c r="X75" s="60"/>
      <c r="Y75" s="60"/>
      <c r="Z75" s="60"/>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2.3944420000000002E-6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17"/>
        <v>#DIV/0!</v>
      </c>
      <c r="BD75" t="e">
        <f t="shared" si="58"/>
        <v>#DIV/0!</v>
      </c>
      <c r="BF75" s="32"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3" t="e">
        <f>SQRT((K75/(1-BK75))^2+(BL75*J75/(1-BK75)^2)^2)</f>
        <v>#DIV/0!</v>
      </c>
      <c r="BO75" s="1" t="e">
        <f t="shared" si="59"/>
        <v>#DIV/0!</v>
      </c>
      <c r="BP75" s="33"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3" t="e">
        <f>BW75*SQRT((BN75/BM75)^2+(((BM75*($BU75+$BV75)^LN(Constants!$B$2/Constants!$B$3))-BW75)/BW75)^2)</f>
        <v>#DIV/0!</v>
      </c>
      <c r="BY75" t="e">
        <f>BO75*BU75^(LN(Constants!$B$2/Constants!$B$4))</f>
        <v>#DIV/0!</v>
      </c>
      <c r="BZ75" s="33" t="e">
        <f>BY75*SQRT((BP75/BO75)^2+(((BO75*($BU75+$BV75)^LN(Constants!$B$2/Constants!$B$4))-BY75)/BY75)^2)</f>
        <v>#DIV/0!</v>
      </c>
      <c r="CA75" t="e">
        <f>BS75*BU75^(LN(Constants!$B$2/Constants!$B$5))</f>
        <v>#DIV/0!</v>
      </c>
      <c r="CB75" s="33"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3" t="e">
        <f>CE75*SQRT((BN75/BM75)^2+(($BM75*($CC75+$CD75)^(LN(Constants!$B$2/Constants!$B$3))-CE75)/CE75)^2)</f>
        <v>#DIV/0!</v>
      </c>
      <c r="CG75" t="e">
        <f>BO75*CC75^(LN(Constants!$B$2/Constants!$B$4))</f>
        <v>#DIV/0!</v>
      </c>
      <c r="CH75" s="33" t="e">
        <f>CG75*SQRT((BP75/BO75)^2+((BO75*($CC75+$CD75)^(LN(Constants!$B$2/Constants!$B$4))-CG75)/CG75)^2)</f>
        <v>#DIV/0!</v>
      </c>
      <c r="CI75" t="e">
        <f>BQ75*$CC75^(LN(Constants!$B$3/Constants!$B$6))</f>
        <v>#DIV/0!</v>
      </c>
      <c r="CJ75" s="33" t="e">
        <f>CI75*SQRT((BR75/BQ75)^2+((BQ75*($CC75+$CD75)^(LN(Constants!$B$3/Constants!$B$6))-CI75)/CI75)^2)</f>
        <v>#DIV/0!</v>
      </c>
      <c r="CK75" t="e">
        <f>BS75*CC75^(LN(Constants!$B$2/Constants!$B$5))</f>
        <v>#DIV/0!</v>
      </c>
      <c r="CL75" s="33"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75" t="e">
        <f>$CQ75/$CS75</f>
        <v>#DIV/0!</v>
      </c>
      <c r="CZ75" s="75" t="e">
        <f>$CR75/$CS75-$CY75</f>
        <v>#DIV/0!</v>
      </c>
      <c r="DA75" s="75" t="e">
        <f>$CS75/$CS75-$CZ75-$CY75</f>
        <v>#DIV/0!</v>
      </c>
      <c r="DB75" s="75" t="e">
        <f>$CT75/$CW75</f>
        <v>#DIV/0!</v>
      </c>
      <c r="DC75" s="75" t="e">
        <f>$CU75/$CW75-$DB75</f>
        <v>#DIV/0!</v>
      </c>
      <c r="DD75" s="75" t="e">
        <f>$CV75/$CW75-$DC75-$DB75</f>
        <v>#DIV/0!</v>
      </c>
      <c r="DE75" s="75" t="e">
        <f>$CW75/$CW75-$DD75-$DC75-$DB75</f>
        <v>#DIV/0!</v>
      </c>
    </row>
    <row r="76" spans="1:109">
      <c r="A76" s="66">
        <f t="shared" si="63"/>
        <v>0</v>
      </c>
      <c r="B76" s="66"/>
      <c r="C76" s="66"/>
      <c r="J76" s="59"/>
      <c r="K76" s="59"/>
      <c r="L76" s="59"/>
      <c r="M76" s="59"/>
      <c r="N76" s="59"/>
      <c r="O76" s="59"/>
      <c r="P76" s="59"/>
      <c r="Q76" s="59"/>
      <c r="R76" s="59"/>
      <c r="S76" s="59"/>
      <c r="T76" s="59"/>
      <c r="U76" s="59"/>
      <c r="V76" s="59"/>
      <c r="W76" s="59"/>
      <c r="X76" s="60"/>
      <c r="Y76" s="60"/>
      <c r="Z76" s="60"/>
      <c r="AB76" s="1"/>
      <c r="AC76" s="1"/>
      <c r="AD76" s="1"/>
      <c r="AE76" s="1"/>
      <c r="AF76" s="1"/>
      <c r="AG76" s="1"/>
      <c r="AH76" s="1"/>
      <c r="AI76" s="1"/>
      <c r="AJ76" s="1"/>
      <c r="AK76" s="1"/>
      <c r="AL76" s="1"/>
      <c r="AM76" s="1"/>
      <c r="AQ76" s="1"/>
      <c r="AR76" s="1">
        <f>Constants!B$25</f>
        <v>2.3944420000000002E-6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2" t="e">
        <f t="shared" si="47"/>
        <v>#DIV/0!</v>
      </c>
      <c r="BG76" s="1" t="e">
        <f t="shared" si="48"/>
        <v>#DIV/0!</v>
      </c>
      <c r="BH76" s="1" t="e">
        <f t="shared" si="49"/>
        <v>#DIV/0!</v>
      </c>
      <c r="BI76" s="1" t="e">
        <f t="shared" si="50"/>
        <v>#NUM!</v>
      </c>
      <c r="BJ76" s="1" t="e">
        <f t="shared" si="51"/>
        <v>#NUM!</v>
      </c>
      <c r="BK76" s="1"/>
      <c r="BL76" s="1"/>
      <c r="BM76" s="1"/>
      <c r="BN76" s="1"/>
      <c r="BO76" s="1" t="e">
        <f t="shared" si="59"/>
        <v>#NUM!</v>
      </c>
      <c r="BP76" s="33"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3" t="e">
        <f>CK76*SQRT((BT76/BS76)^2+((BS76*($CC76+$CD76)^(LN(Constants!$B$2/Constants!$B$5))-CK76)/CK76)^2)</f>
        <v>#DIV/0!</v>
      </c>
      <c r="CR76" s="1"/>
      <c r="CS76" s="1"/>
      <c r="CU76" s="1"/>
      <c r="CV76" s="1"/>
      <c r="CW76" s="1"/>
    </row>
    <row r="77" spans="1:109">
      <c r="A77" s="66">
        <f t="shared" si="63"/>
        <v>0</v>
      </c>
      <c r="B77" t="str">
        <f>IF(NOT(ISBLANK($J77)),IF($T77&lt;Constants!$B$32,"low spike","OK"),"")</f>
        <v/>
      </c>
      <c r="C77" t="str">
        <f>IF(NOT(ISBLANK($J77)), IF((ABS($L76-$L78)/$L76)&gt;Constants!$B$33,"variable mass bias","OK"), "")</f>
        <v/>
      </c>
      <c r="D77" t="str">
        <f>IF(NOT(ISBLANK($J77)), IF((ABS($P76-$P78)/$P76)&gt;Constants!$B$34,"variable IC yield","OK"),"")</f>
        <v/>
      </c>
      <c r="E77" s="34" t="e">
        <f>CE77</f>
        <v>#DIV/0!</v>
      </c>
      <c r="F77" s="34" t="e">
        <f>CF77</f>
        <v>#DIV/0!</v>
      </c>
      <c r="G77" s="34" t="e">
        <f>CM77</f>
        <v>#DIV/0!</v>
      </c>
      <c r="H77" s="47" t="e">
        <f>CN77</f>
        <v>#DIV/0!</v>
      </c>
      <c r="I77" s="33"/>
      <c r="J77" s="59"/>
      <c r="K77" s="59"/>
      <c r="L77" s="59"/>
      <c r="M77" s="59"/>
      <c r="N77" s="59"/>
      <c r="O77" s="59"/>
      <c r="P77" s="59"/>
      <c r="Q77" s="59"/>
      <c r="R77" s="59"/>
      <c r="S77" s="59"/>
      <c r="T77" s="59"/>
      <c r="U77" s="59"/>
      <c r="V77" s="59"/>
      <c r="W77" s="59"/>
      <c r="X77" s="60"/>
      <c r="Y77" s="60"/>
      <c r="Z77" s="60"/>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2.3944420000000002E-6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17"/>
        <v>#DIV/0!</v>
      </c>
      <c r="BD77" t="e">
        <f t="shared" si="58"/>
        <v>#DIV/0!</v>
      </c>
      <c r="BF77" s="32"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3" t="e">
        <f>SQRT((K77/(1-BK77))^2+(BL77*J77/(1-BK77)^2)^2)</f>
        <v>#DIV/0!</v>
      </c>
      <c r="BO77" s="1" t="e">
        <f t="shared" si="59"/>
        <v>#DIV/0!</v>
      </c>
      <c r="BP77" s="33"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3" t="e">
        <f>BW77*SQRT((BN77/BM77)^2+(((BM77*($BU77+$BV77)^LN(Constants!$B$2/Constants!$B$3))-BW77)/BW77)^2)</f>
        <v>#DIV/0!</v>
      </c>
      <c r="BY77" t="e">
        <f>BO77*BU77^(LN(Constants!$B$2/Constants!$B$4))</f>
        <v>#DIV/0!</v>
      </c>
      <c r="BZ77" s="33" t="e">
        <f>BY77*SQRT((BP77/BO77)^2+(((BO77*($BU77+$BV77)^LN(Constants!$B$2/Constants!$B$4))-BY77)/BY77)^2)</f>
        <v>#DIV/0!</v>
      </c>
      <c r="CA77" t="e">
        <f>BS77*BU77^(LN(Constants!$B$2/Constants!$B$5))</f>
        <v>#DIV/0!</v>
      </c>
      <c r="CB77" s="33"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3" t="e">
        <f>CE77*SQRT((BN77/BM77)^2+(($BM77*($CC77+$CD77)^(LN(Constants!$B$2/Constants!$B$3))-CE77)/CE77)^2)</f>
        <v>#DIV/0!</v>
      </c>
      <c r="CG77" t="e">
        <f>BO77*CC77^(LN(Constants!$B$2/Constants!$B$4))</f>
        <v>#DIV/0!</v>
      </c>
      <c r="CH77" s="33" t="e">
        <f>CG77*SQRT((BP77/BO77)^2+((BO77*($CC77+$CD77)^(LN(Constants!$B$2/Constants!$B$4))-CG77)/CG77)^2)</f>
        <v>#DIV/0!</v>
      </c>
      <c r="CI77" t="e">
        <f>BQ77*$CC77^(LN(Constants!$B$3/Constants!$B$6))</f>
        <v>#DIV/0!</v>
      </c>
      <c r="CJ77" s="33" t="e">
        <f>CI77*SQRT((BR77/BQ77)^2+((BQ77*($CC77+$CD77)^(LN(Constants!$B$3/Constants!$B$6))-CI77)/CI77)^2)</f>
        <v>#DIV/0!</v>
      </c>
      <c r="CK77" t="e">
        <f>BS77*CC77^(LN(Constants!$B$2/Constants!$B$5))</f>
        <v>#DIV/0!</v>
      </c>
      <c r="CL77" s="33"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75" t="e">
        <f>$CQ77/$CS77</f>
        <v>#DIV/0!</v>
      </c>
      <c r="CZ77" s="75" t="e">
        <f>$CR77/$CS77-$CY77</f>
        <v>#DIV/0!</v>
      </c>
      <c r="DA77" s="75" t="e">
        <f>$CS77/$CS77-$CZ77-$CY77</f>
        <v>#DIV/0!</v>
      </c>
      <c r="DB77" s="75" t="e">
        <f>$CT77/$CW77</f>
        <v>#DIV/0!</v>
      </c>
      <c r="DC77" s="75" t="e">
        <f>$CU77/$CW77-$DB77</f>
        <v>#DIV/0!</v>
      </c>
      <c r="DD77" s="75" t="e">
        <f>$CV77/$CW77-$DC77-$DB77</f>
        <v>#DIV/0!</v>
      </c>
      <c r="DE77" s="75" t="e">
        <f>$CW77/$CW77-$DD77-$DC77-$DB77</f>
        <v>#DIV/0!</v>
      </c>
    </row>
    <row r="78" spans="1:109">
      <c r="A78" s="66">
        <f t="shared" si="63"/>
        <v>0</v>
      </c>
      <c r="B78" s="66"/>
      <c r="C78" s="66"/>
      <c r="J78" s="59"/>
      <c r="K78" s="59"/>
      <c r="L78" s="59"/>
      <c r="M78" s="59"/>
      <c r="N78" s="59"/>
      <c r="O78" s="59"/>
      <c r="P78" s="59"/>
      <c r="Q78" s="59"/>
      <c r="R78" s="59"/>
      <c r="S78" s="59"/>
      <c r="T78" s="59"/>
      <c r="U78" s="59"/>
      <c r="V78" s="59"/>
      <c r="W78" s="59"/>
      <c r="X78" s="60"/>
      <c r="Y78" s="60"/>
      <c r="Z78" s="60"/>
      <c r="AB78" s="1"/>
      <c r="AC78" s="1"/>
      <c r="AD78" s="1"/>
      <c r="AE78" s="1"/>
      <c r="AF78" s="1"/>
      <c r="AG78" s="1"/>
      <c r="AH78" s="1"/>
      <c r="AI78" s="1"/>
      <c r="AJ78" s="1"/>
      <c r="AK78" s="1"/>
      <c r="AL78" s="1"/>
      <c r="AM78" s="1"/>
      <c r="AQ78" s="1"/>
      <c r="AR78" s="1">
        <f>Constants!B$25</f>
        <v>2.3944420000000002E-6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2" t="e">
        <f t="shared" si="47"/>
        <v>#DIV/0!</v>
      </c>
      <c r="BG78" s="1" t="e">
        <f t="shared" si="48"/>
        <v>#DIV/0!</v>
      </c>
      <c r="BH78" s="1" t="e">
        <f t="shared" si="49"/>
        <v>#DIV/0!</v>
      </c>
      <c r="BI78" s="1" t="e">
        <f t="shared" si="50"/>
        <v>#NUM!</v>
      </c>
      <c r="BJ78" s="1" t="e">
        <f t="shared" si="51"/>
        <v>#NUM!</v>
      </c>
      <c r="BK78" s="1"/>
      <c r="BL78" s="1"/>
      <c r="BM78" s="1"/>
      <c r="BN78" s="1"/>
      <c r="BO78" s="1" t="e">
        <f t="shared" si="59"/>
        <v>#NUM!</v>
      </c>
      <c r="BP78" s="33"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3" t="e">
        <f>CK78*SQRT((BT78/BS78)^2+((BS78*($CC78+$CD78)^(LN(Constants!$B$2/Constants!$B$5))-CK78)/CK78)^2)</f>
        <v>#DIV/0!</v>
      </c>
    </row>
    <row r="79" spans="1:109">
      <c r="A79" s="66">
        <f t="shared" si="63"/>
        <v>0</v>
      </c>
      <c r="B79" t="str">
        <f>IF(NOT(ISBLANK($J79)),IF($T79&lt;Constants!$B$32,"low spike","OK"),"")</f>
        <v/>
      </c>
      <c r="C79" t="str">
        <f>IF(NOT(ISBLANK($J79)), IF((ABS($L78-$L80)/$L78)&gt;Constants!$B$33,"variable mass bias","OK"), "")</f>
        <v/>
      </c>
      <c r="D79" t="str">
        <f>IF(NOT(ISBLANK($J79)), IF((ABS($P78-$P80)/$P78)&gt;Constants!$B$34,"variable IC yield","OK"),"")</f>
        <v/>
      </c>
      <c r="E79" s="34" t="e">
        <f>CE79</f>
        <v>#DIV/0!</v>
      </c>
      <c r="F79" s="34" t="e">
        <f>CF79</f>
        <v>#DIV/0!</v>
      </c>
      <c r="G79" s="34" t="e">
        <f>CM79</f>
        <v>#DIV/0!</v>
      </c>
      <c r="H79" s="47" t="e">
        <f>CN79</f>
        <v>#DIV/0!</v>
      </c>
      <c r="I79" s="33"/>
      <c r="J79" s="59"/>
      <c r="K79" s="59"/>
      <c r="L79" s="59"/>
      <c r="M79" s="59"/>
      <c r="N79" s="59"/>
      <c r="O79" s="59"/>
      <c r="P79" s="59"/>
      <c r="Q79" s="59"/>
      <c r="R79" s="59"/>
      <c r="S79" s="59"/>
      <c r="T79" s="59"/>
      <c r="U79" s="59"/>
      <c r="V79" s="59"/>
      <c r="W79" s="59"/>
      <c r="X79" s="60"/>
      <c r="Y79" s="60"/>
      <c r="Z79" s="60"/>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2.3944420000000002E-6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17"/>
        <v>#DIV/0!</v>
      </c>
      <c r="BD79" t="e">
        <f t="shared" si="58"/>
        <v>#DIV/0!</v>
      </c>
      <c r="BF79" s="32"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3" t="e">
        <f>SQRT((K79/(1-BK79))^2+(BL79*J79/(1-BK79)^2)^2)</f>
        <v>#DIV/0!</v>
      </c>
      <c r="BO79" s="1" t="e">
        <f t="shared" si="59"/>
        <v>#DIV/0!</v>
      </c>
      <c r="BP79" s="33"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3" t="e">
        <f>BW79*SQRT((BN79/BM79)^2+(((BM79*($BU79+$BV79)^LN(Constants!$B$2/Constants!$B$3))-BW79)/BW79)^2)</f>
        <v>#DIV/0!</v>
      </c>
      <c r="BY79" t="e">
        <f>BO79*BU79^(LN(Constants!$B$2/Constants!$B$4))</f>
        <v>#DIV/0!</v>
      </c>
      <c r="BZ79" s="33" t="e">
        <f>BY79*SQRT((BP79/BO79)^2+(((BO79*($BU79+$BV79)^LN(Constants!$B$2/Constants!$B$4))-BY79)/BY79)^2)</f>
        <v>#DIV/0!</v>
      </c>
      <c r="CA79" t="e">
        <f>BS79*BU79^(LN(Constants!$B$2/Constants!$B$5))</f>
        <v>#DIV/0!</v>
      </c>
      <c r="CB79" s="33"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3" t="e">
        <f>CE79*SQRT((BN79/BM79)^2+(($BM79*($CC79+$CD79)^(LN(Constants!$B$2/Constants!$B$3))-CE79)/CE79)^2)</f>
        <v>#DIV/0!</v>
      </c>
      <c r="CG79" t="e">
        <f>BO79*CC79^(LN(Constants!$B$2/Constants!$B$4))</f>
        <v>#DIV/0!</v>
      </c>
      <c r="CH79" s="33" t="e">
        <f>CG79*SQRT((BP79/BO79)^2+((BO79*($CC79+$CD79)^(LN(Constants!$B$2/Constants!$B$4))-CG79)/CG79)^2)</f>
        <v>#DIV/0!</v>
      </c>
      <c r="CI79" t="e">
        <f>BQ79*$CC79^(LN(Constants!$B$3/Constants!$B$6))</f>
        <v>#DIV/0!</v>
      </c>
      <c r="CJ79" s="33" t="e">
        <f>CI79*SQRT((BR79/BQ79)^2+((BQ79*($CC79+$CD79)^(LN(Constants!$B$3/Constants!$B$6))-CI79)/CI79)^2)</f>
        <v>#DIV/0!</v>
      </c>
      <c r="CK79" t="e">
        <f>BS79*CC79^(LN(Constants!$B$2/Constants!$B$5))</f>
        <v>#DIV/0!</v>
      </c>
      <c r="CL79" s="33"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75" t="e">
        <f>$CQ79/$CS79</f>
        <v>#DIV/0!</v>
      </c>
      <c r="CZ79" s="75" t="e">
        <f>$CR79/$CS79-$CY79</f>
        <v>#DIV/0!</v>
      </c>
      <c r="DA79" s="75" t="e">
        <f>$CS79/$CS79-$CZ79-$CY79</f>
        <v>#DIV/0!</v>
      </c>
      <c r="DB79" s="75" t="e">
        <f>$CT79/$CW79</f>
        <v>#DIV/0!</v>
      </c>
      <c r="DC79" s="75" t="e">
        <f>$CU79/$CW79-$DB79</f>
        <v>#DIV/0!</v>
      </c>
      <c r="DD79" s="75" t="e">
        <f>$CV79/$CW79-$DC79-$DB79</f>
        <v>#DIV/0!</v>
      </c>
      <c r="DE79" s="75" t="e">
        <f>$CW79/$CW79-$DD79-$DC79-$DB79</f>
        <v>#DIV/0!</v>
      </c>
    </row>
    <row r="80" spans="1:109">
      <c r="A80" s="66">
        <f t="shared" si="63"/>
        <v>0</v>
      </c>
      <c r="B80" s="66"/>
      <c r="C80" s="66"/>
      <c r="J80" s="59"/>
      <c r="K80" s="59"/>
      <c r="L80" s="59"/>
      <c r="M80" s="59"/>
      <c r="N80" s="59"/>
      <c r="O80" s="59"/>
      <c r="P80" s="59"/>
      <c r="Q80" s="59"/>
      <c r="R80" s="59"/>
      <c r="S80" s="59"/>
      <c r="T80" s="59"/>
      <c r="U80" s="59"/>
      <c r="V80" s="59"/>
      <c r="W80" s="59"/>
      <c r="X80" s="60"/>
      <c r="Y80" s="60"/>
      <c r="Z80" s="60"/>
      <c r="AB80" s="1"/>
      <c r="AC80" s="1"/>
      <c r="AD80" s="1"/>
      <c r="AE80" s="1"/>
      <c r="AF80" s="1"/>
      <c r="AG80" s="1"/>
      <c r="AH80" s="1"/>
      <c r="AI80" s="1"/>
      <c r="AJ80" s="1"/>
      <c r="AK80" s="1"/>
      <c r="AL80" s="1"/>
      <c r="AM80" s="1"/>
      <c r="AQ80" s="1"/>
      <c r="AR80" s="1">
        <f>Constants!B$25</f>
        <v>2.3944420000000002E-6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2" t="e">
        <f t="shared" si="47"/>
        <v>#DIV/0!</v>
      </c>
      <c r="BG80" s="1" t="e">
        <f t="shared" si="48"/>
        <v>#DIV/0!</v>
      </c>
      <c r="BH80" s="1" t="e">
        <f t="shared" si="49"/>
        <v>#DIV/0!</v>
      </c>
      <c r="BI80" s="1" t="e">
        <f t="shared" si="50"/>
        <v>#NUM!</v>
      </c>
      <c r="BJ80" s="1" t="e">
        <f t="shared" si="51"/>
        <v>#NUM!</v>
      </c>
      <c r="BK80" s="1"/>
      <c r="BL80" s="1"/>
      <c r="BM80" s="1"/>
      <c r="BN80" s="1"/>
      <c r="BO80" s="1" t="e">
        <f t="shared" si="59"/>
        <v>#NUM!</v>
      </c>
      <c r="BP80" s="33"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3" t="e">
        <f>CK80*SQRT((BT80/BS80)^2+((BS80*($CC80+$CD80)^(LN(Constants!$B$2/Constants!$B$5))-CK80)/CK80)^2)</f>
        <v>#DIV/0!</v>
      </c>
    </row>
    <row r="81" spans="1:109">
      <c r="A81" s="66">
        <f t="shared" si="63"/>
        <v>0</v>
      </c>
      <c r="B81" t="str">
        <f>IF(NOT(ISBLANK($J81)),IF($T81&lt;Constants!$B$32,"low spike","OK"),"")</f>
        <v/>
      </c>
      <c r="C81" t="str">
        <f>IF(NOT(ISBLANK($J81)), IF((ABS($L80-$L82)/$L80)&gt;Constants!$B$33,"variable mass bias","OK"), "")</f>
        <v/>
      </c>
      <c r="D81" t="str">
        <f>IF(NOT(ISBLANK($J81)), IF((ABS($P80-$P82)/$P80)&gt;Constants!$B$34,"variable IC yield","OK"),"")</f>
        <v/>
      </c>
      <c r="E81" s="34" t="e">
        <f>CE81</f>
        <v>#DIV/0!</v>
      </c>
      <c r="F81" s="34" t="e">
        <f>CF81</f>
        <v>#DIV/0!</v>
      </c>
      <c r="G81" s="34" t="e">
        <f>CM81</f>
        <v>#DIV/0!</v>
      </c>
      <c r="H81" s="47" t="e">
        <f>CN81</f>
        <v>#DIV/0!</v>
      </c>
      <c r="I81" s="33"/>
      <c r="J81" s="59"/>
      <c r="K81" s="59"/>
      <c r="L81" s="59"/>
      <c r="M81" s="59"/>
      <c r="N81" s="59"/>
      <c r="O81" s="59"/>
      <c r="P81" s="59"/>
      <c r="Q81" s="59"/>
      <c r="R81" s="59"/>
      <c r="S81" s="59"/>
      <c r="T81" s="59"/>
      <c r="U81" s="59"/>
      <c r="V81" s="59"/>
      <c r="W81" s="59"/>
      <c r="X81" s="60"/>
      <c r="Y81" s="60"/>
      <c r="Z81" s="60"/>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2.3944420000000002E-6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17"/>
        <v>#DIV/0!</v>
      </c>
      <c r="BD81" t="e">
        <f t="shared" si="58"/>
        <v>#DIV/0!</v>
      </c>
      <c r="BF81" s="32"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3" t="e">
        <f>SQRT((K81/(1-BK81))^2+(BL81*J81/(1-BK81)^2)^2)</f>
        <v>#DIV/0!</v>
      </c>
      <c r="BO81" s="1" t="e">
        <f t="shared" si="59"/>
        <v>#DIV/0!</v>
      </c>
      <c r="BP81" s="33"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3" t="e">
        <f>BW81*SQRT((BN81/BM81)^2+(((BM81*($BU81+$BV81)^LN(Constants!$B$2/Constants!$B$3))-BW81)/BW81)^2)</f>
        <v>#DIV/0!</v>
      </c>
      <c r="BY81" t="e">
        <f>BO81*BU81^(LN(Constants!$B$2/Constants!$B$4))</f>
        <v>#DIV/0!</v>
      </c>
      <c r="BZ81" s="33" t="e">
        <f>BY81*SQRT((BP81/BO81)^2+(((BO81*($BU81+$BV81)^LN(Constants!$B$2/Constants!$B$4))-BY81)/BY81)^2)</f>
        <v>#DIV/0!</v>
      </c>
      <c r="CA81" t="e">
        <f>BS81*BU81^(LN(Constants!$B$2/Constants!$B$5))</f>
        <v>#DIV/0!</v>
      </c>
      <c r="CB81" s="33"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3" t="e">
        <f>CE81*SQRT((BN81/BM81)^2+(($BM81*($CC81+$CD81)^(LN(Constants!$B$2/Constants!$B$3))-CE81)/CE81)^2)</f>
        <v>#DIV/0!</v>
      </c>
      <c r="CG81" t="e">
        <f>BO81*CC81^(LN(Constants!$B$2/Constants!$B$4))</f>
        <v>#DIV/0!</v>
      </c>
      <c r="CH81" s="33" t="e">
        <f>CG81*SQRT((BP81/BO81)^2+((BO81*($CC81+$CD81)^(LN(Constants!$B$2/Constants!$B$4))-CG81)/CG81)^2)</f>
        <v>#DIV/0!</v>
      </c>
      <c r="CI81" t="e">
        <f>BQ81*$CC81^(LN(Constants!$B$3/Constants!$B$6))</f>
        <v>#DIV/0!</v>
      </c>
      <c r="CJ81" s="33" t="e">
        <f>CI81*SQRT((BR81/BQ81)^2+((BQ81*($CC81+$CD81)^(LN(Constants!$B$3/Constants!$B$6))-CI81)/CI81)^2)</f>
        <v>#DIV/0!</v>
      </c>
      <c r="CK81" t="e">
        <f>BS81*CC81^(LN(Constants!$B$2/Constants!$B$5))</f>
        <v>#DIV/0!</v>
      </c>
      <c r="CL81" s="33"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75" t="e">
        <f>$CQ81/$CS81</f>
        <v>#DIV/0!</v>
      </c>
      <c r="CZ81" s="75" t="e">
        <f>$CR81/$CS81-$CY81</f>
        <v>#DIV/0!</v>
      </c>
      <c r="DA81" s="75" t="e">
        <f>$CS81/$CS81-$CZ81-$CY81</f>
        <v>#DIV/0!</v>
      </c>
      <c r="DB81" s="75" t="e">
        <f>$CT81/$CW81</f>
        <v>#DIV/0!</v>
      </c>
      <c r="DC81" s="75" t="e">
        <f>$CU81/$CW81-$DB81</f>
        <v>#DIV/0!</v>
      </c>
      <c r="DD81" s="75" t="e">
        <f>$CV81/$CW81-$DC81-$DB81</f>
        <v>#DIV/0!</v>
      </c>
      <c r="DE81" s="75" t="e">
        <f>$CW81/$CW81-$DD81-$DC81-$DB81</f>
        <v>#DIV/0!</v>
      </c>
    </row>
    <row r="82" spans="1:109">
      <c r="A82" s="66">
        <f t="shared" si="63"/>
        <v>0</v>
      </c>
      <c r="B82" s="66"/>
      <c r="C82" s="66"/>
      <c r="J82" s="59"/>
      <c r="K82" s="59"/>
      <c r="L82" s="59"/>
      <c r="M82" s="59"/>
      <c r="N82" s="59"/>
      <c r="O82" s="59"/>
      <c r="P82" s="59"/>
      <c r="Q82" s="59"/>
      <c r="R82" s="59"/>
      <c r="S82" s="59"/>
      <c r="T82" s="59"/>
      <c r="U82" s="59"/>
      <c r="V82" s="59"/>
      <c r="W82" s="59"/>
      <c r="X82" s="60"/>
      <c r="Y82" s="60"/>
      <c r="Z82" s="60"/>
      <c r="AB82" s="1"/>
      <c r="AC82" s="1"/>
      <c r="AD82" s="1"/>
      <c r="AE82" s="1"/>
      <c r="AF82" s="1"/>
      <c r="AG82" s="1"/>
      <c r="AH82" s="1"/>
      <c r="AI82" s="1"/>
      <c r="AJ82" s="1"/>
      <c r="AK82" s="1"/>
      <c r="AL82" s="1"/>
      <c r="AM82" s="1"/>
      <c r="AQ82" s="1"/>
      <c r="AR82" s="1">
        <f>Constants!B$25</f>
        <v>2.3944420000000002E-6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2" t="e">
        <f t="shared" si="47"/>
        <v>#DIV/0!</v>
      </c>
      <c r="BG82" s="1" t="e">
        <f t="shared" si="48"/>
        <v>#DIV/0!</v>
      </c>
      <c r="BH82" s="1" t="e">
        <f t="shared" si="49"/>
        <v>#DIV/0!</v>
      </c>
      <c r="BI82" s="1" t="e">
        <f t="shared" si="50"/>
        <v>#NUM!</v>
      </c>
      <c r="BJ82" s="1" t="e">
        <f t="shared" si="51"/>
        <v>#NUM!</v>
      </c>
      <c r="BK82" s="1"/>
      <c r="BL82" s="1"/>
      <c r="BM82" s="1"/>
      <c r="BN82" s="1"/>
      <c r="BO82" s="1" t="e">
        <f t="shared" si="59"/>
        <v>#NUM!</v>
      </c>
      <c r="BP82" s="33"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3" t="e">
        <f>CK82*SQRT((BT82/BS82)^2+((BS82*($CC82+$CD82)^(LN(Constants!$B$2/Constants!$B$5))-CK82)/CK82)^2)</f>
        <v>#DIV/0!</v>
      </c>
    </row>
    <row r="83" spans="1:109">
      <c r="A83" s="66">
        <f t="shared" si="63"/>
        <v>0</v>
      </c>
      <c r="B83" t="str">
        <f>IF(NOT(ISBLANK($J83)),IF($T83&lt;Constants!$B$32,"low spike","OK"),"")</f>
        <v/>
      </c>
      <c r="C83" t="str">
        <f>IF(NOT(ISBLANK($J83)), IF((ABS($L82-$L84)/$L82)&gt;Constants!$B$33,"variable mass bias","OK"), "")</f>
        <v/>
      </c>
      <c r="D83" t="str">
        <f>IF(NOT(ISBLANK($J83)), IF((ABS($P82-$P84)/$P82)&gt;Constants!$B$34,"variable IC yield","OK"),"")</f>
        <v/>
      </c>
      <c r="E83" s="34" t="e">
        <f>CE83</f>
        <v>#DIV/0!</v>
      </c>
      <c r="F83" s="34" t="e">
        <f>CF83</f>
        <v>#DIV/0!</v>
      </c>
      <c r="G83" s="34" t="e">
        <f>CM83</f>
        <v>#DIV/0!</v>
      </c>
      <c r="H83" s="47" t="e">
        <f>CN83</f>
        <v>#DIV/0!</v>
      </c>
      <c r="I83" s="33"/>
      <c r="J83" s="59"/>
      <c r="K83" s="59"/>
      <c r="L83" s="59"/>
      <c r="M83" s="59"/>
      <c r="N83" s="59"/>
      <c r="O83" s="59"/>
      <c r="P83" s="59"/>
      <c r="Q83" s="59"/>
      <c r="R83" s="59"/>
      <c r="S83" s="59"/>
      <c r="T83" s="59"/>
      <c r="U83" s="59"/>
      <c r="V83" s="59"/>
      <c r="W83" s="59"/>
      <c r="X83" s="60"/>
      <c r="Y83" s="60"/>
      <c r="Z83" s="60"/>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2.3944420000000002E-6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17"/>
        <v>#DIV/0!</v>
      </c>
      <c r="BD83" t="e">
        <f t="shared" si="58"/>
        <v>#DIV/0!</v>
      </c>
      <c r="BF83" s="32"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3" t="e">
        <f>SQRT((K83/(1-BK83))^2+(BL83*J83/(1-BK83)^2)^2)</f>
        <v>#DIV/0!</v>
      </c>
      <c r="BO83" s="1" t="e">
        <f t="shared" si="59"/>
        <v>#DIV/0!</v>
      </c>
      <c r="BP83" s="33"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3" t="e">
        <f>BW83*SQRT((BN83/BM83)^2+(((BM83*($BU83+$BV83)^LN(Constants!$B$2/Constants!$B$3))-BW83)/BW83)^2)</f>
        <v>#DIV/0!</v>
      </c>
      <c r="BY83" t="e">
        <f>BO83*BU83^(LN(Constants!$B$2/Constants!$B$4))</f>
        <v>#DIV/0!</v>
      </c>
      <c r="BZ83" s="33" t="e">
        <f>BY83*SQRT((BP83/BO83)^2+(((BO83*($BU83+$BV83)^LN(Constants!$B$2/Constants!$B$4))-BY83)/BY83)^2)</f>
        <v>#DIV/0!</v>
      </c>
      <c r="CA83" t="e">
        <f>BS83*BU83^(LN(Constants!$B$2/Constants!$B$5))</f>
        <v>#DIV/0!</v>
      </c>
      <c r="CB83" s="33"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3" t="e">
        <f>CE83*SQRT((BN83/BM83)^2+(($BM83*($CC83+$CD83)^(LN(Constants!$B$2/Constants!$B$3))-CE83)/CE83)^2)</f>
        <v>#DIV/0!</v>
      </c>
      <c r="CG83" t="e">
        <f>BO83*CC83^(LN(Constants!$B$2/Constants!$B$4))</f>
        <v>#DIV/0!</v>
      </c>
      <c r="CH83" s="33" t="e">
        <f>CG83*SQRT((BP83/BO83)^2+((BO83*($CC83+$CD83)^(LN(Constants!$B$2/Constants!$B$4))-CG83)/CG83)^2)</f>
        <v>#DIV/0!</v>
      </c>
      <c r="CI83" t="e">
        <f>BQ83*$CC83^(LN(Constants!$B$3/Constants!$B$6))</f>
        <v>#DIV/0!</v>
      </c>
      <c r="CJ83" s="33" t="e">
        <f>CI83*SQRT((BR83/BQ83)^2+((BQ83*($CC83+$CD83)^(LN(Constants!$B$3/Constants!$B$6))-CI83)/CI83)^2)</f>
        <v>#DIV/0!</v>
      </c>
      <c r="CK83" t="e">
        <f>BS83*CC83^(LN(Constants!$B$2/Constants!$B$5))</f>
        <v>#DIV/0!</v>
      </c>
      <c r="CL83" s="33"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75" t="e">
        <f>$CQ83/$CS83</f>
        <v>#DIV/0!</v>
      </c>
      <c r="CZ83" s="75" t="e">
        <f>$CR83/$CS83-$CY83</f>
        <v>#DIV/0!</v>
      </c>
      <c r="DA83" s="75" t="e">
        <f>$CS83/$CS83-$CZ83-$CY83</f>
        <v>#DIV/0!</v>
      </c>
      <c r="DB83" s="75" t="e">
        <f>$CT83/$CW83</f>
        <v>#DIV/0!</v>
      </c>
      <c r="DC83" s="75" t="e">
        <f>$CU83/$CW83-$DB83</f>
        <v>#DIV/0!</v>
      </c>
      <c r="DD83" s="75" t="e">
        <f>$CV83/$CW83-$DC83-$DB83</f>
        <v>#DIV/0!</v>
      </c>
      <c r="DE83" s="75" t="e">
        <f>$CW83/$CW83-$DD83-$DC83-$DB83</f>
        <v>#DIV/0!</v>
      </c>
    </row>
    <row r="84" spans="1:109">
      <c r="A84" s="66">
        <f t="shared" si="63"/>
        <v>0</v>
      </c>
      <c r="B84" s="66"/>
      <c r="C84" s="66"/>
      <c r="J84" s="59"/>
      <c r="K84" s="59"/>
      <c r="L84" s="59"/>
      <c r="M84" s="59"/>
      <c r="N84" s="59"/>
      <c r="O84" s="59"/>
      <c r="P84" s="59"/>
      <c r="Q84" s="59"/>
      <c r="R84" s="59"/>
      <c r="S84" s="59"/>
      <c r="T84" s="59"/>
      <c r="U84" s="59"/>
      <c r="V84" s="59"/>
      <c r="W84" s="59"/>
      <c r="X84" s="60"/>
      <c r="Y84" s="60"/>
      <c r="Z84" s="60"/>
      <c r="AB84" s="1"/>
      <c r="AC84" s="1"/>
      <c r="AD84" s="1"/>
      <c r="AE84" s="1"/>
      <c r="AF84" s="1"/>
      <c r="AG84" s="1"/>
      <c r="AH84" s="1"/>
      <c r="AI84" s="1"/>
      <c r="AJ84" s="1"/>
      <c r="AK84" s="1"/>
      <c r="AL84" s="1"/>
      <c r="AM84" s="1"/>
      <c r="AQ84" s="1"/>
      <c r="AR84" s="1">
        <f>Constants!B$25</f>
        <v>2.3944420000000002E-6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2" t="e">
        <f t="shared" si="47"/>
        <v>#DIV/0!</v>
      </c>
      <c r="BG84" s="1" t="e">
        <f t="shared" si="48"/>
        <v>#DIV/0!</v>
      </c>
      <c r="BH84" s="1" t="e">
        <f t="shared" si="49"/>
        <v>#DIV/0!</v>
      </c>
      <c r="BI84" s="1" t="e">
        <f t="shared" si="50"/>
        <v>#NUM!</v>
      </c>
      <c r="BJ84" s="1" t="e">
        <f t="shared" si="51"/>
        <v>#NUM!</v>
      </c>
      <c r="BK84" s="1"/>
      <c r="BL84" s="1"/>
      <c r="BM84" s="1"/>
      <c r="BN84" s="1"/>
      <c r="BO84" s="1" t="e">
        <f t="shared" si="59"/>
        <v>#NUM!</v>
      </c>
      <c r="BP84" s="33"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3" t="e">
        <f>CK84*SQRT((BT84/BS84)^2+((BS84*($CC84+$CD84)^(LN(Constants!$B$2/Constants!$B$5))-CK84)/CK84)^2)</f>
        <v>#DIV/0!</v>
      </c>
    </row>
    <row r="85" spans="1:109">
      <c r="A85" s="66">
        <f t="shared" si="63"/>
        <v>0</v>
      </c>
      <c r="B85" t="str">
        <f>IF(NOT(ISBLANK($J85)),IF($T85&lt;Constants!$B$32,"low spike","OK"),"")</f>
        <v/>
      </c>
      <c r="C85" t="str">
        <f>IF(NOT(ISBLANK($J85)), IF((ABS($L84-$L86)/$L84)&gt;Constants!$B$33,"variable mass bias","OK"), "")</f>
        <v/>
      </c>
      <c r="D85" t="str">
        <f>IF(NOT(ISBLANK($J85)), IF((ABS($P84-$P86)/$P84)&gt;Constants!$B$34,"variable IC yield","OK"),"")</f>
        <v/>
      </c>
      <c r="E85" s="34" t="e">
        <f>CE85</f>
        <v>#DIV/0!</v>
      </c>
      <c r="F85" s="34" t="e">
        <f>CF85</f>
        <v>#DIV/0!</v>
      </c>
      <c r="G85" s="34" t="e">
        <f>CM85</f>
        <v>#DIV/0!</v>
      </c>
      <c r="H85" s="47" t="e">
        <f>CN85</f>
        <v>#DIV/0!</v>
      </c>
      <c r="I85" s="33"/>
      <c r="J85" s="59"/>
      <c r="K85" s="59"/>
      <c r="L85" s="59"/>
      <c r="M85" s="59"/>
      <c r="N85" s="59"/>
      <c r="O85" s="59"/>
      <c r="P85" s="59"/>
      <c r="Q85" s="59"/>
      <c r="R85" s="59"/>
      <c r="S85" s="59"/>
      <c r="T85" s="59"/>
      <c r="U85" s="59"/>
      <c r="V85" s="59"/>
      <c r="W85" s="59"/>
      <c r="X85" s="60"/>
      <c r="Y85" s="60"/>
      <c r="Z85" s="60"/>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2.3944420000000002E-6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17"/>
        <v>#DIV/0!</v>
      </c>
      <c r="BD85" t="e">
        <f t="shared" si="58"/>
        <v>#DIV/0!</v>
      </c>
      <c r="BF85" s="32"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3" t="e">
        <f>SQRT((K85/(1-BK85))^2+(BL85*J85/(1-BK85)^2)^2)</f>
        <v>#DIV/0!</v>
      </c>
      <c r="BO85" s="1" t="e">
        <f t="shared" si="59"/>
        <v>#DIV/0!</v>
      </c>
      <c r="BP85" s="33"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3" t="e">
        <f>BW85*SQRT((BN85/BM85)^2+(((BM85*($BU85+$BV85)^LN(Constants!$B$2/Constants!$B$3))-BW85)/BW85)^2)</f>
        <v>#DIV/0!</v>
      </c>
      <c r="BY85" t="e">
        <f>BO85*BU85^(LN(Constants!$B$2/Constants!$B$4))</f>
        <v>#DIV/0!</v>
      </c>
      <c r="BZ85" s="33" t="e">
        <f>BY85*SQRT((BP85/BO85)^2+(((BO85*($BU85+$BV85)^LN(Constants!$B$2/Constants!$B$4))-BY85)/BY85)^2)</f>
        <v>#DIV/0!</v>
      </c>
      <c r="CA85" t="e">
        <f>BS85*BU85^(LN(Constants!$B$2/Constants!$B$5))</f>
        <v>#DIV/0!</v>
      </c>
      <c r="CB85" s="33"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3" t="e">
        <f>CE85*SQRT((BN85/BM85)^2+(($BM85*($CC85+$CD85)^(LN(Constants!$B$2/Constants!$B$3))-CE85)/CE85)^2)</f>
        <v>#DIV/0!</v>
      </c>
      <c r="CG85" t="e">
        <f>BO85*CC85^(LN(Constants!$B$2/Constants!$B$4))</f>
        <v>#DIV/0!</v>
      </c>
      <c r="CH85" s="33" t="e">
        <f>CG85*SQRT((BP85/BO85)^2+((BO85*($CC85+$CD85)^(LN(Constants!$B$2/Constants!$B$4))-CG85)/CG85)^2)</f>
        <v>#DIV/0!</v>
      </c>
      <c r="CI85" t="e">
        <f>BQ85*$CC85^(LN(Constants!$B$3/Constants!$B$6))</f>
        <v>#DIV/0!</v>
      </c>
      <c r="CJ85" s="33" t="e">
        <f>CI85*SQRT((BR85/BQ85)^2+((BQ85*($CC85+$CD85)^(LN(Constants!$B$3/Constants!$B$6))-CI85)/CI85)^2)</f>
        <v>#DIV/0!</v>
      </c>
      <c r="CK85" t="e">
        <f>BS85*CC85^(LN(Constants!$B$2/Constants!$B$5))</f>
        <v>#DIV/0!</v>
      </c>
      <c r="CL85" s="33"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75" t="e">
        <f>$CQ85/$CS85</f>
        <v>#DIV/0!</v>
      </c>
      <c r="CZ85" s="75" t="e">
        <f>$CR85/$CS85-$CY85</f>
        <v>#DIV/0!</v>
      </c>
      <c r="DA85" s="75" t="e">
        <f>$CS85/$CS85-$CZ85-$CY85</f>
        <v>#DIV/0!</v>
      </c>
      <c r="DB85" s="75" t="e">
        <f>$CT85/$CW85</f>
        <v>#DIV/0!</v>
      </c>
      <c r="DC85" s="75" t="e">
        <f>$CU85/$CW85-$DB85</f>
        <v>#DIV/0!</v>
      </c>
      <c r="DD85" s="75" t="e">
        <f>$CV85/$CW85-$DC85-$DB85</f>
        <v>#DIV/0!</v>
      </c>
      <c r="DE85" s="75" t="e">
        <f>$CW85/$CW85-$DD85-$DC85-$DB85</f>
        <v>#DIV/0!</v>
      </c>
    </row>
    <row r="86" spans="1:109">
      <c r="A86" s="66">
        <f t="shared" si="63"/>
        <v>0</v>
      </c>
      <c r="B86" s="66"/>
      <c r="C86" s="66"/>
      <c r="J86" s="59"/>
      <c r="K86" s="59"/>
      <c r="L86" s="59"/>
      <c r="M86" s="59"/>
      <c r="N86" s="59"/>
      <c r="O86" s="59"/>
      <c r="P86" s="59"/>
      <c r="Q86" s="59"/>
      <c r="R86" s="59"/>
      <c r="S86" s="59"/>
      <c r="T86" s="59"/>
      <c r="U86" s="59"/>
      <c r="V86" s="59"/>
      <c r="W86" s="59"/>
      <c r="X86" s="60"/>
      <c r="Y86" s="60"/>
      <c r="Z86" s="60"/>
      <c r="AB86" s="1"/>
      <c r="AC86" s="1"/>
      <c r="AD86" s="1"/>
      <c r="AE86" s="1"/>
      <c r="AF86" s="1"/>
      <c r="AG86" s="1"/>
      <c r="AH86" s="1"/>
      <c r="AI86" s="1"/>
      <c r="AJ86" s="1"/>
      <c r="AK86" s="1"/>
      <c r="AL86" s="1"/>
      <c r="AM86" s="1"/>
      <c r="AQ86" s="1"/>
      <c r="AR86" s="1">
        <f>Constants!B$25</f>
        <v>2.3944420000000002E-6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2" t="e">
        <f t="shared" si="47"/>
        <v>#DIV/0!</v>
      </c>
      <c r="BG86" s="1" t="e">
        <f t="shared" si="48"/>
        <v>#DIV/0!</v>
      </c>
      <c r="BH86" s="1" t="e">
        <f t="shared" si="49"/>
        <v>#DIV/0!</v>
      </c>
      <c r="BI86" s="1" t="e">
        <f t="shared" si="50"/>
        <v>#NUM!</v>
      </c>
      <c r="BJ86" s="1" t="e">
        <f t="shared" si="51"/>
        <v>#NUM!</v>
      </c>
      <c r="BK86" s="1"/>
      <c r="BL86" s="1"/>
      <c r="BM86" s="1"/>
      <c r="BN86" s="1"/>
      <c r="BO86" s="1" t="e">
        <f t="shared" si="59"/>
        <v>#NUM!</v>
      </c>
      <c r="BP86" s="33"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3" t="e">
        <f>CK86*SQRT((BT86/BS86)^2+((BS86*($CC86+$CD86)^(LN(Constants!$B$2/Constants!$B$5))-CK86)/CK86)^2)</f>
        <v>#DIV/0!</v>
      </c>
    </row>
    <row r="87" spans="1:109">
      <c r="A87" s="66">
        <f t="shared" si="63"/>
        <v>0</v>
      </c>
      <c r="B87" t="str">
        <f>IF(NOT(ISBLANK($J87)),IF($T87&lt;Constants!$B$32,"low spike","OK"),"")</f>
        <v/>
      </c>
      <c r="C87" t="str">
        <f>IF(NOT(ISBLANK($J87)), IF((ABS($L86-$L88)/$L86)&gt;Constants!$B$33,"variable mass bias","OK"), "")</f>
        <v/>
      </c>
      <c r="D87" t="str">
        <f>IF(NOT(ISBLANK($J87)), IF((ABS($P86-$P88)/$P86)&gt;Constants!$B$34,"variable IC yield","OK"),"")</f>
        <v/>
      </c>
      <c r="E87" s="34" t="e">
        <f>CE87</f>
        <v>#DIV/0!</v>
      </c>
      <c r="F87" s="34" t="e">
        <f>CF87</f>
        <v>#DIV/0!</v>
      </c>
      <c r="G87" s="34" t="e">
        <f>CM87</f>
        <v>#DIV/0!</v>
      </c>
      <c r="H87" s="47" t="e">
        <f>CN87</f>
        <v>#DIV/0!</v>
      </c>
      <c r="I87" s="33"/>
      <c r="J87" s="59"/>
      <c r="K87" s="59"/>
      <c r="L87" s="59"/>
      <c r="M87" s="59"/>
      <c r="N87" s="59"/>
      <c r="O87" s="59"/>
      <c r="P87" s="59"/>
      <c r="Q87" s="59"/>
      <c r="R87" s="59"/>
      <c r="S87" s="59"/>
      <c r="T87" s="59"/>
      <c r="U87" s="59"/>
      <c r="V87" s="59"/>
      <c r="W87" s="59"/>
      <c r="X87" s="60"/>
      <c r="Y87" s="60"/>
      <c r="Z87" s="60"/>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2.3944420000000002E-6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17"/>
        <v>#DIV/0!</v>
      </c>
      <c r="BD87" t="e">
        <f t="shared" si="58"/>
        <v>#DIV/0!</v>
      </c>
      <c r="BF87" s="32"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3" t="e">
        <f>SQRT((K87/(1-BK87))^2+(BL87*J87/(1-BK87)^2)^2)</f>
        <v>#DIV/0!</v>
      </c>
      <c r="BO87" s="1" t="e">
        <f t="shared" si="59"/>
        <v>#DIV/0!</v>
      </c>
      <c r="BP87" s="33"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3" t="e">
        <f>BW87*SQRT((BN87/BM87)^2+(((BM87*($BU87+$BV87)^LN(Constants!$B$2/Constants!$B$3))-BW87)/BW87)^2)</f>
        <v>#DIV/0!</v>
      </c>
      <c r="BY87" t="e">
        <f>BO87*BU87^(LN(Constants!$B$2/Constants!$B$4))</f>
        <v>#DIV/0!</v>
      </c>
      <c r="BZ87" s="33" t="e">
        <f>BY87*SQRT((BP87/BO87)^2+(((BO87*($BU87+$BV87)^LN(Constants!$B$2/Constants!$B$4))-BY87)/BY87)^2)</f>
        <v>#DIV/0!</v>
      </c>
      <c r="CA87" t="e">
        <f>BS87*BU87^(LN(Constants!$B$2/Constants!$B$5))</f>
        <v>#DIV/0!</v>
      </c>
      <c r="CB87" s="33"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3" t="e">
        <f>CE87*SQRT((BN87/BM87)^2+(($BM87*($CC87+$CD87)^(LN(Constants!$B$2/Constants!$B$3))-CE87)/CE87)^2)</f>
        <v>#DIV/0!</v>
      </c>
      <c r="CG87" t="e">
        <f>BO87*CC87^(LN(Constants!$B$2/Constants!$B$4))</f>
        <v>#DIV/0!</v>
      </c>
      <c r="CH87" s="33" t="e">
        <f>CG87*SQRT((BP87/BO87)^2+((BO87*($CC87+$CD87)^(LN(Constants!$B$2/Constants!$B$4))-CG87)/CG87)^2)</f>
        <v>#DIV/0!</v>
      </c>
      <c r="CI87" t="e">
        <f>BQ87*$CC87^(LN(Constants!$B$3/Constants!$B$6))</f>
        <v>#DIV/0!</v>
      </c>
      <c r="CJ87" s="33" t="e">
        <f>CI87*SQRT((BR87/BQ87)^2+((BQ87*($CC87+$CD87)^(LN(Constants!$B$3/Constants!$B$6))-CI87)/CI87)^2)</f>
        <v>#DIV/0!</v>
      </c>
      <c r="CK87" t="e">
        <f>BS87*CC87^(LN(Constants!$B$2/Constants!$B$5))</f>
        <v>#DIV/0!</v>
      </c>
      <c r="CL87" s="33"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75" t="e">
        <f>$CQ87/$CS87</f>
        <v>#DIV/0!</v>
      </c>
      <c r="CZ87" s="75" t="e">
        <f>$CR87/$CS87-$CY87</f>
        <v>#DIV/0!</v>
      </c>
      <c r="DA87" s="75" t="e">
        <f>$CS87/$CS87-$CZ87-$CY87</f>
        <v>#DIV/0!</v>
      </c>
      <c r="DB87" s="75" t="e">
        <f>$CT87/$CW87</f>
        <v>#DIV/0!</v>
      </c>
      <c r="DC87" s="75" t="e">
        <f>$CU87/$CW87-$DB87</f>
        <v>#DIV/0!</v>
      </c>
      <c r="DD87" s="75" t="e">
        <f>$CV87/$CW87-$DC87-$DB87</f>
        <v>#DIV/0!</v>
      </c>
      <c r="DE87" s="75" t="e">
        <f>$CW87/$CW87-$DD87-$DC87-$DB87</f>
        <v>#DIV/0!</v>
      </c>
    </row>
    <row r="88" spans="1:109">
      <c r="A88" s="66">
        <f t="shared" si="63"/>
        <v>0</v>
      </c>
      <c r="B88" s="66"/>
      <c r="C88" s="66"/>
      <c r="J88" s="59"/>
      <c r="K88" s="59"/>
      <c r="L88" s="59"/>
      <c r="M88" s="59"/>
      <c r="N88" s="59"/>
      <c r="O88" s="59"/>
      <c r="P88" s="59"/>
      <c r="Q88" s="59"/>
      <c r="R88" s="59"/>
      <c r="S88" s="59"/>
      <c r="T88" s="59"/>
      <c r="U88" s="59"/>
      <c r="V88" s="59"/>
      <c r="W88" s="59"/>
      <c r="X88" s="60"/>
      <c r="Y88" s="60"/>
      <c r="Z88" s="60"/>
      <c r="AB88" s="1"/>
      <c r="AC88" s="1"/>
      <c r="AD88" s="1"/>
      <c r="AE88" s="1"/>
      <c r="AF88" s="1"/>
      <c r="AG88" s="1"/>
      <c r="AH88" s="1"/>
      <c r="AI88" s="1"/>
      <c r="AJ88" s="1"/>
      <c r="AK88" s="1"/>
      <c r="AL88" s="1"/>
      <c r="AM88" s="1"/>
      <c r="AQ88" s="1"/>
      <c r="AR88" s="1">
        <f>Constants!B$25</f>
        <v>2.3944420000000002E-6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2" t="e">
        <f t="shared" si="47"/>
        <v>#DIV/0!</v>
      </c>
      <c r="BG88" s="1" t="e">
        <f t="shared" si="48"/>
        <v>#DIV/0!</v>
      </c>
      <c r="BH88" s="1" t="e">
        <f t="shared" si="49"/>
        <v>#DIV/0!</v>
      </c>
      <c r="BI88" s="1" t="e">
        <f t="shared" si="50"/>
        <v>#NUM!</v>
      </c>
      <c r="BJ88" s="1" t="e">
        <f t="shared" si="51"/>
        <v>#NUM!</v>
      </c>
      <c r="BK88" s="1"/>
      <c r="BL88" s="1"/>
      <c r="BM88" s="1"/>
      <c r="BN88" s="1"/>
      <c r="BO88" s="1" t="e">
        <f t="shared" si="59"/>
        <v>#NUM!</v>
      </c>
      <c r="BP88" s="33"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3" t="e">
        <f>CK88*SQRT((BT88/BS88)^2+((BS88*($CC88+$CD88)^(LN(Constants!$B$2/Constants!$B$5))-CK88)/CK88)^2)</f>
        <v>#DIV/0!</v>
      </c>
    </row>
    <row r="89" spans="1:109">
      <c r="A89" s="66">
        <f t="shared" si="63"/>
        <v>0</v>
      </c>
      <c r="B89" t="str">
        <f>IF(NOT(ISBLANK($J89)),IF($T89&lt;Constants!$B$32,"low spike","OK"),"")</f>
        <v/>
      </c>
      <c r="C89" t="str">
        <f>IF(NOT(ISBLANK($J89)), IF((ABS($L88-$L90)/$L88)&gt;Constants!$B$33,"variable mass bias","OK"), "")</f>
        <v/>
      </c>
      <c r="D89" t="str">
        <f>IF(NOT(ISBLANK($J89)), IF((ABS($P88-$P90)/$P88)&gt;Constants!$B$34,"variable IC yield","OK"),"")</f>
        <v/>
      </c>
      <c r="E89" s="34" t="e">
        <f>CE89</f>
        <v>#DIV/0!</v>
      </c>
      <c r="F89" s="34" t="e">
        <f>CF89</f>
        <v>#DIV/0!</v>
      </c>
      <c r="G89" s="34" t="e">
        <f>CM89</f>
        <v>#DIV/0!</v>
      </c>
      <c r="H89" s="47" t="e">
        <f>CN89</f>
        <v>#DIV/0!</v>
      </c>
      <c r="I89" s="33"/>
      <c r="J89" s="59"/>
      <c r="K89" s="59"/>
      <c r="L89" s="59"/>
      <c r="M89" s="59"/>
      <c r="N89" s="59"/>
      <c r="O89" s="59"/>
      <c r="P89" s="59"/>
      <c r="Q89" s="59"/>
      <c r="R89" s="59"/>
      <c r="S89" s="59"/>
      <c r="T89" s="59"/>
      <c r="U89" s="59"/>
      <c r="V89" s="59"/>
      <c r="W89" s="59"/>
      <c r="X89" s="60"/>
      <c r="Y89" s="60"/>
      <c r="Z89" s="60"/>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2.3944420000000002E-6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17"/>
        <v>#DIV/0!</v>
      </c>
      <c r="BD89" t="e">
        <f t="shared" si="58"/>
        <v>#DIV/0!</v>
      </c>
      <c r="BF89" s="32"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3" t="e">
        <f>SQRT((K89/(1-BK89))^2+(BL89*J89/(1-BK89)^2)^2)</f>
        <v>#DIV/0!</v>
      </c>
      <c r="BO89" s="1" t="e">
        <f t="shared" si="59"/>
        <v>#DIV/0!</v>
      </c>
      <c r="BP89" s="33"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3" t="e">
        <f>BW89*SQRT((BN89/BM89)^2+(((BM89*($BU89+$BV89)^LN(Constants!$B$2/Constants!$B$3))-BW89)/BW89)^2)</f>
        <v>#DIV/0!</v>
      </c>
      <c r="BY89" t="e">
        <f>BO89*BU89^(LN(Constants!$B$2/Constants!$B$4))</f>
        <v>#DIV/0!</v>
      </c>
      <c r="BZ89" s="33" t="e">
        <f>BY89*SQRT((BP89/BO89)^2+(((BO89*($BU89+$BV89)^LN(Constants!$B$2/Constants!$B$4))-BY89)/BY89)^2)</f>
        <v>#DIV/0!</v>
      </c>
      <c r="CA89" t="e">
        <f>BS89*BU89^(LN(Constants!$B$2/Constants!$B$5))</f>
        <v>#DIV/0!</v>
      </c>
      <c r="CB89" s="33"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3" t="e">
        <f>CE89*SQRT((BN89/BM89)^2+(($BM89*($CC89+$CD89)^(LN(Constants!$B$2/Constants!$B$3))-CE89)/CE89)^2)</f>
        <v>#DIV/0!</v>
      </c>
      <c r="CG89" t="e">
        <f>BO89*CC89^(LN(Constants!$B$2/Constants!$B$4))</f>
        <v>#DIV/0!</v>
      </c>
      <c r="CH89" s="33" t="e">
        <f>CG89*SQRT((BP89/BO89)^2+((BO89*($CC89+$CD89)^(LN(Constants!$B$2/Constants!$B$4))-CG89)/CG89)^2)</f>
        <v>#DIV/0!</v>
      </c>
      <c r="CI89" t="e">
        <f>BQ89*$CC89^(LN(Constants!$B$3/Constants!$B$6))</f>
        <v>#DIV/0!</v>
      </c>
      <c r="CJ89" s="33" t="e">
        <f>CI89*SQRT((BR89/BQ89)^2+((BQ89*($CC89+$CD89)^(LN(Constants!$B$3/Constants!$B$6))-CI89)/CI89)^2)</f>
        <v>#DIV/0!</v>
      </c>
      <c r="CK89" t="e">
        <f>BS89*CC89^(LN(Constants!$B$2/Constants!$B$5))</f>
        <v>#DIV/0!</v>
      </c>
      <c r="CL89" s="33"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75" t="e">
        <f>$CQ89/$CS89</f>
        <v>#DIV/0!</v>
      </c>
      <c r="CZ89" s="75" t="e">
        <f>$CR89/$CS89-$CY89</f>
        <v>#DIV/0!</v>
      </c>
      <c r="DA89" s="75" t="e">
        <f>$CS89/$CS89-$CZ89-$CY89</f>
        <v>#DIV/0!</v>
      </c>
      <c r="DB89" s="75" t="e">
        <f>$CT89/$CW89</f>
        <v>#DIV/0!</v>
      </c>
      <c r="DC89" s="75" t="e">
        <f>$CU89/$CW89-$DB89</f>
        <v>#DIV/0!</v>
      </c>
      <c r="DD89" s="75" t="e">
        <f>$CV89/$CW89-$DC89-$DB89</f>
        <v>#DIV/0!</v>
      </c>
      <c r="DE89" s="75" t="e">
        <f>$CW89/$CW89-$DD89-$DC89-$DB89</f>
        <v>#DIV/0!</v>
      </c>
    </row>
    <row r="90" spans="1:109">
      <c r="A90" s="66">
        <f t="shared" si="63"/>
        <v>0</v>
      </c>
      <c r="B90" s="66"/>
      <c r="C90" s="66"/>
      <c r="J90" s="59"/>
      <c r="K90" s="59"/>
      <c r="L90" s="59"/>
      <c r="M90" s="59"/>
      <c r="N90" s="59"/>
      <c r="O90" s="59"/>
      <c r="P90" s="59"/>
      <c r="Q90" s="59"/>
      <c r="R90" s="59"/>
      <c r="S90" s="59"/>
      <c r="T90" s="59"/>
      <c r="U90" s="59"/>
      <c r="V90" s="59"/>
      <c r="W90" s="59"/>
      <c r="X90" s="60"/>
      <c r="Y90" s="60"/>
      <c r="Z90" s="60"/>
      <c r="AB90" s="1"/>
      <c r="AC90" s="1"/>
      <c r="AD90" s="1"/>
      <c r="AE90" s="1"/>
      <c r="AF90" s="1"/>
      <c r="AG90" s="1"/>
      <c r="AH90" s="1"/>
      <c r="AI90" s="1"/>
      <c r="AJ90" s="1"/>
      <c r="AK90" s="1"/>
      <c r="AL90" s="1"/>
      <c r="AM90" s="1"/>
      <c r="AQ90" s="1"/>
      <c r="AR90" s="1">
        <f>Constants!B$25</f>
        <v>2.3944420000000002E-6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2" t="e">
        <f t="shared" si="47"/>
        <v>#DIV/0!</v>
      </c>
      <c r="BG90" s="1" t="e">
        <f t="shared" si="48"/>
        <v>#DIV/0!</v>
      </c>
      <c r="BH90" s="1" t="e">
        <f t="shared" si="49"/>
        <v>#DIV/0!</v>
      </c>
      <c r="BI90" s="1" t="e">
        <f t="shared" si="50"/>
        <v>#NUM!</v>
      </c>
      <c r="BJ90" s="1" t="e">
        <f t="shared" si="51"/>
        <v>#NUM!</v>
      </c>
      <c r="BK90" s="1"/>
      <c r="BL90" s="1"/>
      <c r="BM90" s="1"/>
      <c r="BN90" s="1"/>
      <c r="BO90" s="1" t="e">
        <f t="shared" si="59"/>
        <v>#NUM!</v>
      </c>
      <c r="BP90" s="33"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3" t="e">
        <f>CK90*SQRT((BT90/BS90)^2+((BS90*($CC90+$CD90)^(LN(Constants!$B$2/Constants!$B$5))-CK90)/CK90)^2)</f>
        <v>#DIV/0!</v>
      </c>
    </row>
    <row r="91" spans="1:109">
      <c r="A91" s="1"/>
      <c r="B91" s="1"/>
      <c r="C91" s="1"/>
      <c r="H91" s="47"/>
      <c r="AR91" s="1"/>
      <c r="AS91" s="1"/>
      <c r="AT91" s="1"/>
      <c r="AU91" s="1"/>
      <c r="AV91" s="1"/>
      <c r="AW91" s="1"/>
      <c r="AX91" s="1"/>
      <c r="AZ91" s="1"/>
      <c r="BA91" s="1"/>
      <c r="BB91" s="1"/>
      <c r="BC91" s="1"/>
      <c r="BF91" s="32"/>
      <c r="BG91" s="1"/>
      <c r="BH91" s="1"/>
      <c r="BI91" s="1"/>
      <c r="BJ91" s="1"/>
      <c r="BK91" s="1"/>
      <c r="BL91" s="1"/>
      <c r="BM91" s="1"/>
      <c r="BN91" s="33"/>
      <c r="BO91" s="1"/>
      <c r="BP91" s="33"/>
      <c r="BQ91" s="1"/>
      <c r="BS91" s="1"/>
      <c r="BT91" s="1"/>
      <c r="BU91" s="1"/>
      <c r="BV91" s="1"/>
      <c r="BW91" s="1"/>
      <c r="BX91" s="1"/>
      <c r="BY91" s="1"/>
      <c r="BZ91" s="1"/>
      <c r="CA91" s="1"/>
      <c r="CB91" s="1"/>
      <c r="CF91" s="33"/>
      <c r="CH91" s="33"/>
      <c r="CJ91" s="33"/>
      <c r="CL91" s="33"/>
    </row>
    <row r="92" spans="1:109">
      <c r="A92" s="1"/>
      <c r="B92" s="1"/>
      <c r="C92" s="1"/>
    </row>
    <row r="93" spans="1:109">
      <c r="A93" s="1"/>
      <c r="B93" s="1"/>
      <c r="C93" s="1"/>
      <c r="H93" s="47"/>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N4" activePane="bottomRight" state="frozen"/>
      <selection activeCell="E9" sqref="E9"/>
      <selection pane="topRight" activeCell="E9" sqref="E9"/>
      <selection pane="bottomLeft" activeCell="E9" sqref="E9"/>
      <selection pane="bottomRight" activeCell="V17" sqref="V17"/>
    </sheetView>
  </sheetViews>
  <sheetFormatPr defaultColWidth="11" defaultRowHeight="15.75"/>
  <cols>
    <col min="1" max="4" width="22.8125" customWidth="1"/>
    <col min="5" max="8" width="22.8125" style="34" customWidth="1"/>
    <col min="9" max="9" width="22.8125" customWidth="1"/>
    <col min="10" max="10" width="13.8125" customWidth="1"/>
    <col min="12" max="12" width="15.8125" customWidth="1"/>
    <col min="14" max="14" width="16.1875" customWidth="1"/>
    <col min="40" max="40" width="12.1875" bestFit="1" customWidth="1"/>
    <col min="49" max="54" width="11" style="75"/>
  </cols>
  <sheetData>
    <row r="1" spans="1:54">
      <c r="J1" s="2" t="s">
        <v>15</v>
      </c>
      <c r="AD1" s="2" t="s">
        <v>14</v>
      </c>
      <c r="AI1" s="2" t="s">
        <v>109</v>
      </c>
      <c r="AP1" s="2" t="s">
        <v>241</v>
      </c>
      <c r="AW1" s="78" t="s">
        <v>239</v>
      </c>
    </row>
    <row r="2" spans="1:54">
      <c r="J2" s="2" t="s">
        <v>141</v>
      </c>
      <c r="O2" s="1"/>
      <c r="AD2" s="2" t="s">
        <v>114</v>
      </c>
      <c r="AE2" s="52">
        <f>Constants!B26</f>
        <v>5.1666610449267569E-7</v>
      </c>
      <c r="AP2" s="88" t="s">
        <v>213</v>
      </c>
      <c r="AQ2" s="88"/>
      <c r="AR2" s="88"/>
      <c r="AS2" s="89" t="s">
        <v>214</v>
      </c>
      <c r="AT2" s="89"/>
      <c r="AU2" s="89"/>
      <c r="AW2" s="91" t="s">
        <v>110</v>
      </c>
      <c r="AX2" s="91"/>
      <c r="AY2" s="91"/>
      <c r="AZ2" s="90" t="s">
        <v>101</v>
      </c>
      <c r="BA2" s="90"/>
      <c r="BB2" s="90"/>
    </row>
    <row r="3" spans="1:54">
      <c r="A3" t="str">
        <f>Z3</f>
        <v>Sample Name</v>
      </c>
      <c r="B3" t="s">
        <v>199</v>
      </c>
      <c r="C3" t="s">
        <v>200</v>
      </c>
      <c r="D3" t="s">
        <v>201</v>
      </c>
      <c r="E3" s="35" t="s">
        <v>100</v>
      </c>
      <c r="F3" s="35" t="s">
        <v>158</v>
      </c>
      <c r="G3" s="35" t="s">
        <v>101</v>
      </c>
      <c r="H3" s="35" t="s">
        <v>158</v>
      </c>
      <c r="J3" t="s">
        <v>99</v>
      </c>
      <c r="K3" t="s">
        <v>1</v>
      </c>
      <c r="L3" t="s">
        <v>100</v>
      </c>
      <c r="M3" t="s">
        <v>1</v>
      </c>
      <c r="N3" t="s">
        <v>101</v>
      </c>
      <c r="O3" t="s">
        <v>1</v>
      </c>
      <c r="P3" t="s">
        <v>102</v>
      </c>
      <c r="Q3" t="s">
        <v>1</v>
      </c>
      <c r="R3" t="s">
        <v>103</v>
      </c>
      <c r="S3" t="s">
        <v>1</v>
      </c>
      <c r="T3" t="s">
        <v>104</v>
      </c>
      <c r="U3" t="s">
        <v>1</v>
      </c>
      <c r="V3" t="s">
        <v>105</v>
      </c>
      <c r="W3" t="s">
        <v>1</v>
      </c>
      <c r="X3" t="s">
        <v>140</v>
      </c>
      <c r="Z3" t="s">
        <v>106</v>
      </c>
      <c r="AA3" t="s">
        <v>107</v>
      </c>
      <c r="AB3" t="s">
        <v>108</v>
      </c>
      <c r="AD3" t="s">
        <v>110</v>
      </c>
      <c r="AE3" t="s">
        <v>1</v>
      </c>
      <c r="AF3" t="s">
        <v>101</v>
      </c>
      <c r="AG3" t="s">
        <v>1</v>
      </c>
      <c r="AI3" t="s">
        <v>110</v>
      </c>
      <c r="AJ3" t="s">
        <v>1</v>
      </c>
      <c r="AK3" t="s">
        <v>100</v>
      </c>
      <c r="AL3" t="s">
        <v>1</v>
      </c>
      <c r="AM3" t="s">
        <v>101</v>
      </c>
      <c r="AN3" t="s">
        <v>1</v>
      </c>
      <c r="AP3" s="71" t="s">
        <v>207</v>
      </c>
      <c r="AQ3" s="71" t="s">
        <v>205</v>
      </c>
      <c r="AR3" t="s">
        <v>208</v>
      </c>
      <c r="AS3" t="s">
        <v>207</v>
      </c>
      <c r="AT3" s="71" t="s">
        <v>205</v>
      </c>
      <c r="AU3" t="s">
        <v>206</v>
      </c>
      <c r="AW3" s="79" t="s">
        <v>207</v>
      </c>
      <c r="AX3" s="79" t="s">
        <v>205</v>
      </c>
      <c r="AY3" s="80" t="s">
        <v>208</v>
      </c>
      <c r="AZ3" s="80" t="s">
        <v>207</v>
      </c>
      <c r="BA3" s="79" t="s">
        <v>205</v>
      </c>
      <c r="BB3" s="80" t="s">
        <v>206</v>
      </c>
    </row>
    <row r="4" spans="1:54">
      <c r="A4" t="str">
        <f>Z4</f>
        <v>MITh2 247 pg/g</v>
      </c>
      <c r="J4" s="1">
        <v>3.0871190000000001E-3</v>
      </c>
      <c r="K4" s="1">
        <v>2.2800000000000002E-6</v>
      </c>
      <c r="L4" s="1">
        <v>13.655989999999999</v>
      </c>
      <c r="M4" s="1">
        <v>6.1700000000000001E-3</v>
      </c>
      <c r="N4" s="1">
        <v>4.2157680000000003E-2</v>
      </c>
      <c r="O4" s="1">
        <v>3.7299999999999999E-5</v>
      </c>
      <c r="P4" s="1">
        <v>0.20882400000000001</v>
      </c>
      <c r="Q4" s="1">
        <v>3.7399999999999998E-4</v>
      </c>
      <c r="R4" s="1">
        <v>40241.49</v>
      </c>
      <c r="S4" s="1">
        <v>82.4</v>
      </c>
      <c r="T4" s="1">
        <v>1.5291799999999999E-2</v>
      </c>
      <c r="U4" s="1">
        <v>2.7399999999999999E-5</v>
      </c>
      <c r="V4" s="1">
        <v>3.9022130000000002E-5</v>
      </c>
      <c r="W4" s="1">
        <v>2.41E-5</v>
      </c>
      <c r="X4" s="1">
        <v>0.51672859999999998</v>
      </c>
      <c r="Y4" s="1">
        <v>0</v>
      </c>
      <c r="Z4" t="s">
        <v>373</v>
      </c>
      <c r="AA4" t="s">
        <v>375</v>
      </c>
      <c r="AB4">
        <v>3497</v>
      </c>
      <c r="AD4" s="1">
        <f>J4*(1-$AE$2*$P4*62415093/$R4)*(1-V4/R4)</f>
        <v>3.0866023911552739E-3</v>
      </c>
      <c r="AE4">
        <f>AD4*SQRT(((AD4-J4)/AD4/4)^2+(K4/J4)^2+((X4/R4)*0.25)^2)</f>
        <v>2.2832955968913598E-6</v>
      </c>
      <c r="AF4" s="1">
        <f>N4*(1-$AE$2*$P4*62415093/$R4)*(1-V4/R4)</f>
        <v>4.2150625192471973E-2</v>
      </c>
      <c r="AG4">
        <f>AF4*SQRT(((AF4-N4)/AF4/4)^2+(O4/N4)^2+((X4/R4)*0.25)^2)</f>
        <v>3.7335684619897944E-5</v>
      </c>
      <c r="AQ4" s="1"/>
      <c r="AR4" s="1"/>
      <c r="AS4" s="1"/>
      <c r="AT4" s="1"/>
      <c r="AU4" s="1"/>
      <c r="AV4" s="1"/>
    </row>
    <row r="5" spans="1:54">
      <c r="A5" t="str">
        <f t="shared" ref="A5:A24" si="0">Z5</f>
        <v>[BHT] AB12-6-TPB</v>
      </c>
      <c r="B5" t="str">
        <f>IF(NOT(ISBLANK($J5)), IF($T5&lt;Constants!$B$29,"low spike","OK"), "")</f>
        <v>low spike</v>
      </c>
      <c r="C5" t="str">
        <f>IF(NOT(ISBLANK($J5)), IF((ABS($L4-$L6)/$L4)&gt;Constants!$B$30,"variable mass bias","OK"), "")</f>
        <v>OK</v>
      </c>
      <c r="D5" t="str">
        <f>IF(NOT(ISBLANK($J5)), IF((ABS($J4-$J6)/$J4)&gt;Constants!$B$31,"variable IC yield","OK"), "")</f>
        <v>OK</v>
      </c>
      <c r="E5" s="48">
        <f>AK5</f>
        <v>0.17559133993643083</v>
      </c>
      <c r="F5" s="48">
        <f>AL5</f>
        <v>5.5442564961718259E-3</v>
      </c>
      <c r="G5" s="48">
        <f>AM5</f>
        <v>1.4524176758896128E-4</v>
      </c>
      <c r="H5" s="48">
        <f>AN5</f>
        <v>6.7041249405463457E-6</v>
      </c>
      <c r="I5" s="1"/>
      <c r="J5" s="1">
        <v>6.9978260000000002E-4</v>
      </c>
      <c r="K5" s="1">
        <v>3.3599999999999997E-5</v>
      </c>
      <c r="L5" s="1">
        <v>0.17895900000000001</v>
      </c>
      <c r="M5" s="1">
        <v>5.6499999999999996E-3</v>
      </c>
      <c r="N5" s="1">
        <v>1.2330150000000001E-4</v>
      </c>
      <c r="O5" s="1">
        <v>5.3199999999999999E-6</v>
      </c>
      <c r="P5" s="1">
        <v>2.011363E-4</v>
      </c>
      <c r="Q5" s="1">
        <v>6.37E-6</v>
      </c>
      <c r="R5" s="1">
        <v>8.6543720000000004</v>
      </c>
      <c r="S5" s="1">
        <v>0.378</v>
      </c>
      <c r="T5" s="1">
        <v>1.1240009999999999E-3</v>
      </c>
      <c r="U5" s="1">
        <v>2.8100000000000002E-6</v>
      </c>
      <c r="V5" s="1">
        <v>1.470135E-3</v>
      </c>
      <c r="W5" s="1">
        <v>1.8899999999999999E-5</v>
      </c>
      <c r="X5" s="1">
        <v>0.56673459999999998</v>
      </c>
      <c r="Y5" s="1">
        <v>0</v>
      </c>
      <c r="Z5" t="s">
        <v>303</v>
      </c>
      <c r="AA5" t="s">
        <v>360</v>
      </c>
      <c r="AB5">
        <v>3499</v>
      </c>
      <c r="AD5" s="1">
        <f t="shared" ref="AD5" si="1">J5*(1-$AE$2*$P5*62415093/$R5)*(1-V5/R5)</f>
        <v>6.9913934930946372E-4</v>
      </c>
      <c r="AE5">
        <f t="shared" ref="AE5:AE44" si="2">AD5*SQRT(((AD5-J5)/AD5/4)^2+(K5/J5)^2+((X5/R5)*0.25)^2)</f>
        <v>3.5467149680050924E-5</v>
      </c>
      <c r="AF5" s="1">
        <f t="shared" ref="AF5" si="3">N5*(1-$AE$2*$P5*62415093/$R5)*(1-V5/R5)</f>
        <v>1.2318815940676552E-4</v>
      </c>
      <c r="AG5">
        <f t="shared" ref="AG5:AG44" si="4">AF5*SQRT(((AF5-N5)/AF5/4)^2+(O5/N5)^2+((X5/R5)*0.25)^2)</f>
        <v>5.6849358456189972E-6</v>
      </c>
      <c r="AH5" s="1"/>
      <c r="AI5" s="1">
        <f>AD5*Constants!C$22/AVERAGE(AD4,AD6)</f>
        <v>8.4011108902538878E-4</v>
      </c>
      <c r="AJ5" s="1">
        <f>AI5*SQRT((AE5/AD5)^2+((AD4-AD6)/4/AD4)^2+AVERAGE(AE4/AD4,AE6/AD6)^2)</f>
        <v>4.2624784655781482E-5</v>
      </c>
      <c r="AK5" s="1">
        <f>L5*Constants!C$20/AVERAGE(L4,L6)</f>
        <v>0.17559133993643083</v>
      </c>
      <c r="AL5">
        <f>AK5*SQRT(((M5/L5)^2+((L4-L6)/4/L4)^2)+AVERAGE(M4/L4,M6/L6)^2)</f>
        <v>5.5442564961718259E-3</v>
      </c>
      <c r="AM5" s="1">
        <f>AF5*Constants!C$21/AVERAGE(AF4,AF6)</f>
        <v>1.4524176758896128E-4</v>
      </c>
      <c r="AN5" s="1">
        <f>AM5*SQRT(((AG5/AF5)^2+((AF4-AF6)/AF4/4)^2)+AVERAGE(AG4/AF4,AG6/AF6)^2)</f>
        <v>6.7041249405463457E-6</v>
      </c>
      <c r="AP5">
        <f>$K5/$J5</f>
        <v>4.8014912059831147E-2</v>
      </c>
      <c r="AQ5">
        <f>$AE5/$AD5</f>
        <v>5.072972893755965E-2</v>
      </c>
      <c r="AR5">
        <f>$AJ5/$AI5</f>
        <v>5.0737081336743706E-2</v>
      </c>
      <c r="AS5">
        <f>$O5/$N5</f>
        <v>4.314627153765363E-2</v>
      </c>
      <c r="AT5">
        <f>$AG5/$AF5</f>
        <v>4.614839504864604E-2</v>
      </c>
      <c r="AU5">
        <f>$AN5/$AM5</f>
        <v>4.615838165450608E-2</v>
      </c>
      <c r="AV5" s="1"/>
      <c r="AW5" s="75">
        <f>$AP5/$AR5</f>
        <v>0.94634753901499713</v>
      </c>
      <c r="AX5" s="75">
        <f>$AQ5/$AR5-$AW5</f>
        <v>5.3507549236231688E-2</v>
      </c>
      <c r="AY5" s="75">
        <f>$AR5/$AR5-$AX5-$AW5</f>
        <v>1.4491174877118151E-4</v>
      </c>
      <c r="AZ5" s="75">
        <f>$AS5/$AU5</f>
        <v>0.9347440267859044</v>
      </c>
      <c r="BA5" s="75">
        <f>$AT5/$AU5-$AZ5</f>
        <v>6.5039618014842926E-2</v>
      </c>
      <c r="BB5" s="75">
        <f>$AU5/$AU5-$BA5-$AZ5</f>
        <v>2.1635519925267133E-4</v>
      </c>
    </row>
    <row r="6" spans="1:54">
      <c r="A6" t="str">
        <f t="shared" si="0"/>
        <v>MITh2 247 pg/g</v>
      </c>
      <c r="I6" s="1"/>
      <c r="J6" s="1">
        <v>3.0837500000000001E-3</v>
      </c>
      <c r="K6" s="1">
        <v>2.7700000000000002E-6</v>
      </c>
      <c r="L6" s="1">
        <v>13.661049999999999</v>
      </c>
      <c r="M6" s="1">
        <v>6.0299999999999998E-3</v>
      </c>
      <c r="N6" s="1">
        <v>4.2127249999999998E-2</v>
      </c>
      <c r="O6" s="1">
        <v>4.21E-5</v>
      </c>
      <c r="P6" s="1">
        <v>0.20561789999999999</v>
      </c>
      <c r="Q6" s="1">
        <v>1.5300000000000001E-4</v>
      </c>
      <c r="R6" s="1">
        <v>39580.31</v>
      </c>
      <c r="S6" s="1">
        <v>50.6</v>
      </c>
      <c r="T6" s="1">
        <v>1.5051439999999999E-2</v>
      </c>
      <c r="U6" s="1">
        <v>1.11E-5</v>
      </c>
      <c r="V6" s="1">
        <v>7.8891739999999995E-6</v>
      </c>
      <c r="W6" s="1">
        <v>1.2799999999999999E-5</v>
      </c>
      <c r="X6" s="1">
        <v>0.43338529999999997</v>
      </c>
      <c r="Y6" s="1">
        <v>2.6599999999999999E-9</v>
      </c>
      <c r="Z6" t="s">
        <v>373</v>
      </c>
      <c r="AA6" t="s">
        <v>376</v>
      </c>
      <c r="AB6">
        <v>3501</v>
      </c>
      <c r="AD6" s="1">
        <f>J6*(1-$AE$2*$P6*62415093/$R6)*(1-V6/R6)</f>
        <v>3.0832333921513556E-3</v>
      </c>
      <c r="AE6">
        <f t="shared" si="2"/>
        <v>2.7725585403543692E-6</v>
      </c>
      <c r="AF6" s="1">
        <f>N6*(1-$AE$2*$P6*62415093/$R6)*(1-V6/R6)</f>
        <v>4.2120192596516642E-2</v>
      </c>
      <c r="AG6">
        <f t="shared" si="4"/>
        <v>4.213006561342623E-5</v>
      </c>
      <c r="AQ6" s="1"/>
      <c r="AR6" s="1"/>
      <c r="AS6" s="1"/>
      <c r="AT6" s="1"/>
      <c r="AU6" s="1"/>
      <c r="AV6" s="1"/>
    </row>
    <row r="7" spans="1:54">
      <c r="A7" t="str">
        <f t="shared" si="0"/>
        <v>[BHT] AB12-6A</v>
      </c>
      <c r="B7" t="str">
        <f>IF(NOT(ISBLANK($J7)), IF($T7&lt;Constants!$B$29,"low spike","OK"), "")</f>
        <v>low spike</v>
      </c>
      <c r="C7" t="str">
        <f>IF(NOT(ISBLANK($J7)), IF((ABS($L6-$L8)/$L6)&gt;Constants!$B$30,"variable mass bias","OK"), "")</f>
        <v>OK</v>
      </c>
      <c r="D7" t="str">
        <f>IF(NOT(ISBLANK($J7)), IF((ABS($J6-$J8)/$J6)&gt;Constants!$B$31,"variable IC yield","OK"), "")</f>
        <v>OK</v>
      </c>
      <c r="E7" s="48">
        <f>AK7</f>
        <v>131.00356701054517</v>
      </c>
      <c r="F7" s="48">
        <f>AL7</f>
        <v>0.15089266379281691</v>
      </c>
      <c r="G7" s="48">
        <f>AM7</f>
        <v>1.6467467911480283E-2</v>
      </c>
      <c r="H7" s="48">
        <f>AN7</f>
        <v>4.6824193831475831E-5</v>
      </c>
      <c r="I7" s="1"/>
      <c r="J7" s="1">
        <v>1.050834E-4</v>
      </c>
      <c r="K7" s="1">
        <v>2.1799999999999999E-7</v>
      </c>
      <c r="L7" s="1">
        <v>133.5239</v>
      </c>
      <c r="M7" s="1">
        <v>0.14000000000000001</v>
      </c>
      <c r="N7" s="1">
        <v>1.4031190000000001E-2</v>
      </c>
      <c r="O7" s="1">
        <v>3.3399999999999999E-5</v>
      </c>
      <c r="P7" s="1">
        <v>0.3881346</v>
      </c>
      <c r="Q7" s="1">
        <v>4.3100000000000001E-4</v>
      </c>
      <c r="R7" s="1">
        <v>2545.9520000000002</v>
      </c>
      <c r="S7" s="1">
        <v>5.62</v>
      </c>
      <c r="T7" s="1">
        <v>2.906952E-3</v>
      </c>
      <c r="U7" s="1">
        <v>4.9899999999999997E-6</v>
      </c>
      <c r="V7" s="1">
        <v>0.18971199999999999</v>
      </c>
      <c r="W7" s="1">
        <v>2.1800000000000001E-4</v>
      </c>
      <c r="X7" s="1">
        <v>0.47374090000000002</v>
      </c>
      <c r="Y7" s="1">
        <v>0</v>
      </c>
      <c r="Z7" t="s">
        <v>361</v>
      </c>
      <c r="AA7" t="s">
        <v>362</v>
      </c>
      <c r="AB7">
        <v>3503</v>
      </c>
      <c r="AD7" s="1">
        <f t="shared" ref="AD7" si="5">J7*(1-$AE$2*$P7*62415093/$R7)*(1-V7/R7)</f>
        <v>1.0455899456396287E-4</v>
      </c>
      <c r="AE7">
        <f t="shared" si="2"/>
        <v>2.5349967092205916E-7</v>
      </c>
      <c r="AF7" s="1">
        <f t="shared" ref="AF7" si="6">N7*(1-$AE$2*$P7*62415093/$R7)*(1-V7/R7)</f>
        <v>1.3961169118394819E-2</v>
      </c>
      <c r="AG7">
        <f t="shared" si="4"/>
        <v>3.7567382113218374E-5</v>
      </c>
      <c r="AH7" s="1"/>
      <c r="AI7" s="1">
        <f>AD7*Constants!C$22/AVERAGE(AD6,AD8)</f>
        <v>1.2570198627566867E-4</v>
      </c>
      <c r="AJ7" s="1">
        <f>AI7*SQRT((AE7/AD7)^2+((AD6-AD8)/4/AD6)^2+AVERAGE(AE6/AD6,AE8/AD8)^2)</f>
        <v>3.2115945424473898E-7</v>
      </c>
      <c r="AK7" s="1">
        <f>L7*Constants!C$20/AVERAGE(L6,L8)</f>
        <v>131.00356701054517</v>
      </c>
      <c r="AL7">
        <f>AK7*SQRT(((M7/L7)^2+((L6-L8)/4/L6)^2)+AVERAGE(M6/L6,M8/L8)^2)</f>
        <v>0.15089266379281691</v>
      </c>
      <c r="AM7" s="1">
        <f>AF7*Constants!C$21/AVERAGE(AF6,AF8)</f>
        <v>1.6467467911480283E-2</v>
      </c>
      <c r="AN7" s="1">
        <f>AM7*SQRT(((AG7/AF7)^2+((AF6-AF8)/AF6/4)^2)+AVERAGE(AG6/AF6,AG8/AF8)^2)</f>
        <v>4.6824193831475831E-5</v>
      </c>
      <c r="AP7">
        <f>$K7/$J7</f>
        <v>2.0745426965629206E-3</v>
      </c>
      <c r="AQ7">
        <f>$AE7/$AD7</f>
        <v>2.424465460663773E-3</v>
      </c>
      <c r="AR7">
        <f>$AJ7/$AI7</f>
        <v>2.5549274419612235E-3</v>
      </c>
      <c r="AS7">
        <f>$O7/$N7</f>
        <v>2.3804110699092518E-3</v>
      </c>
      <c r="AT7">
        <f>$AG7/$AF7</f>
        <v>2.6908478648626005E-3</v>
      </c>
      <c r="AU7">
        <f>$AN7/$AM7</f>
        <v>2.8434361665786142E-3</v>
      </c>
      <c r="AV7" s="1"/>
      <c r="AW7" s="75">
        <f>$AP7/$AR7</f>
        <v>0.8119771475664499</v>
      </c>
      <c r="AX7" s="75">
        <f>$AQ7/$AR7-$AW7</f>
        <v>0.13695996150569467</v>
      </c>
      <c r="AY7" s="75">
        <f>$AR7/$AR7-$AX7-$AW7</f>
        <v>5.1062890927855431E-2</v>
      </c>
      <c r="AZ7" s="75">
        <f>$AS7/$AU7</f>
        <v>0.8371600171258633</v>
      </c>
      <c r="BA7" s="75">
        <f>$AT7/$AU7-$AZ7</f>
        <v>0.10917663586128057</v>
      </c>
      <c r="BB7" s="75">
        <f>$AU7/$AU7-$BA7-$AZ7</f>
        <v>5.3663347012856133E-2</v>
      </c>
    </row>
    <row r="8" spans="1:54">
      <c r="A8" t="str">
        <f t="shared" si="0"/>
        <v>MITh2 247 pg/g</v>
      </c>
      <c r="I8" s="1"/>
      <c r="J8" s="1">
        <v>3.084168E-3</v>
      </c>
      <c r="K8" s="1">
        <v>2.1900000000000002E-6</v>
      </c>
      <c r="L8" s="1">
        <v>13.657590000000001</v>
      </c>
      <c r="M8" s="1">
        <v>6.8799999999999998E-3</v>
      </c>
      <c r="N8" s="1">
        <v>4.2122279999999998E-2</v>
      </c>
      <c r="O8" s="1">
        <v>3.5200000000000002E-5</v>
      </c>
      <c r="P8" s="1">
        <v>0.2048565</v>
      </c>
      <c r="Q8" s="1">
        <v>6.7900000000000002E-4</v>
      </c>
      <c r="R8" s="1">
        <v>39438.76</v>
      </c>
      <c r="S8" s="1">
        <v>132</v>
      </c>
      <c r="T8" s="1">
        <v>1.49994E-2</v>
      </c>
      <c r="U8" s="1">
        <v>4.85E-5</v>
      </c>
      <c r="V8" s="1">
        <v>-1.084279E-5</v>
      </c>
      <c r="W8" s="1">
        <v>3.1300000000000002E-5</v>
      </c>
      <c r="X8" s="1">
        <v>0.48339130000000002</v>
      </c>
      <c r="Y8" s="1">
        <v>0</v>
      </c>
      <c r="Z8" t="s">
        <v>373</v>
      </c>
      <c r="AA8" t="s">
        <v>377</v>
      </c>
      <c r="AB8">
        <v>3505</v>
      </c>
      <c r="AD8" s="1">
        <f>J8*(1-$AE$2*$P8*62415093/$R8)*(1-V8/R8)</f>
        <v>3.0836513892920723E-3</v>
      </c>
      <c r="AE8">
        <f t="shared" si="2"/>
        <v>2.1934591624876311E-6</v>
      </c>
      <c r="AF8" s="1">
        <f>N8*(1-$AE$2*$P8*62415093/$R8)*(1-V8/R8)</f>
        <v>4.2115224346452478E-2</v>
      </c>
      <c r="AG8">
        <f t="shared" si="4"/>
        <v>3.523851572288368E-5</v>
      </c>
      <c r="AQ8" s="1"/>
      <c r="AR8" s="1"/>
      <c r="AS8" s="1"/>
      <c r="AT8" s="1"/>
      <c r="AU8" s="1"/>
      <c r="AV8" s="1"/>
    </row>
    <row r="9" spans="1:54">
      <c r="A9" t="str">
        <f t="shared" si="0"/>
        <v>[BHT] AB12-6B</v>
      </c>
      <c r="B9" t="str">
        <f>IF(NOT(ISBLANK($J9)), IF($T9&lt;Constants!$B$29,"low spike","OK"), "")</f>
        <v>low spike</v>
      </c>
      <c r="C9" t="str">
        <f>IF(NOT(ISBLANK($J9)), IF((ABS($L8-$L10)/$L8)&gt;Constants!$B$30,"variable mass bias","OK"), "")</f>
        <v>variable mass bias</v>
      </c>
      <c r="D9" t="str">
        <f>IF(NOT(ISBLANK($J9)), IF((ABS($J8-$J10)/$J8)&gt;Constants!$B$31,"variable IC yield","OK"), "")</f>
        <v>OK</v>
      </c>
      <c r="E9" s="48">
        <f>AK9</f>
        <v>189.92281203805382</v>
      </c>
      <c r="F9" s="48">
        <f>AL9</f>
        <v>0.24671848876312624</v>
      </c>
      <c r="G9" s="48">
        <f>AM9</f>
        <v>2.1893220726090103E-2</v>
      </c>
      <c r="H9" s="48">
        <f>AN9</f>
        <v>5.5602682855662132E-5</v>
      </c>
      <c r="I9" s="1"/>
      <c r="J9" s="1">
        <v>9.6455450000000002E-5</v>
      </c>
      <c r="K9" s="1">
        <v>1.9500000000000001E-7</v>
      </c>
      <c r="L9" s="1">
        <v>193.4915</v>
      </c>
      <c r="M9" s="1">
        <v>0.23300000000000001</v>
      </c>
      <c r="N9" s="1">
        <v>1.8662829999999998E-2</v>
      </c>
      <c r="O9" s="1">
        <v>3.4499999999999998E-5</v>
      </c>
      <c r="P9" s="1">
        <v>0.646567</v>
      </c>
      <c r="Q9" s="1">
        <v>5.0799999999999999E-4</v>
      </c>
      <c r="R9" s="1">
        <v>3892.9690000000001</v>
      </c>
      <c r="S9" s="1">
        <v>8.99</v>
      </c>
      <c r="T9" s="1">
        <v>3.3416729999999999E-3</v>
      </c>
      <c r="U9" s="1">
        <v>4.1500000000000001E-6</v>
      </c>
      <c r="V9" s="1">
        <v>2.590957</v>
      </c>
      <c r="W9" s="1">
        <v>2.33E-3</v>
      </c>
      <c r="X9" s="1">
        <v>0.46672259999999999</v>
      </c>
      <c r="Y9" s="1">
        <v>2.57E-9</v>
      </c>
      <c r="Z9" t="s">
        <v>307</v>
      </c>
      <c r="AA9" t="s">
        <v>363</v>
      </c>
      <c r="AB9">
        <v>3507</v>
      </c>
      <c r="AD9" s="1">
        <f t="shared" ref="AD9" si="7">J9*(1-$AE$2*$P9*62415093/$R9)*(1-V9/R9)</f>
        <v>9.587499269708153E-5</v>
      </c>
      <c r="AE9">
        <f t="shared" si="2"/>
        <v>2.4214694362062544E-7</v>
      </c>
      <c r="AF9" s="1">
        <f t="shared" ref="AF9" si="8">N9*(1-$AE$2*$P9*62415093/$R9)*(1-V9/R9)</f>
        <v>1.8550519332571399E-2</v>
      </c>
      <c r="AG9">
        <f t="shared" si="4"/>
        <v>4.4324170075604307E-5</v>
      </c>
      <c r="AH9" s="1"/>
      <c r="AI9" s="1">
        <f>AD9*Constants!C$22/AVERAGE(AD8,AD10)</f>
        <v>1.152773296271758E-4</v>
      </c>
      <c r="AJ9" s="1">
        <f>AI9*SQRT((AE9/AD9)^2+((AD8-AD10)/4/AD8)^2+AVERAGE(AE8/AD8,AE10/AD10)^2)</f>
        <v>3.0137735974130367E-7</v>
      </c>
      <c r="AK9" s="1">
        <f>L9*Constants!C$20/AVERAGE(L8,L10)</f>
        <v>189.92281203805382</v>
      </c>
      <c r="AL9">
        <f>AK9*SQRT(((M9/L9)^2+((L8-L10)/4/L8)^2)+AVERAGE(M8/L8,M10/L10)^2)</f>
        <v>0.24671848876312624</v>
      </c>
      <c r="AM9" s="1">
        <f>AF9*Constants!C$21/AVERAGE(AF8,AF10)</f>
        <v>2.1893220726090103E-2</v>
      </c>
      <c r="AN9" s="1">
        <f>AM9*SQRT(((AG9/AF9)^2+((AF8-AF10)/AF8/4)^2)+AVERAGE(AG8/AF8,AG10/AF10)^2)</f>
        <v>5.5602682855662132E-5</v>
      </c>
      <c r="AP9">
        <f>$K9/$J9</f>
        <v>2.0216587035776622E-3</v>
      </c>
      <c r="AQ9">
        <f>$AE9/$AD9</f>
        <v>2.5256527985946485E-3</v>
      </c>
      <c r="AR9">
        <f>$AJ9/$AI9</f>
        <v>2.6143679829850612E-3</v>
      </c>
      <c r="AS9">
        <f>$O9/$N9</f>
        <v>1.8485942378513871E-3</v>
      </c>
      <c r="AT9">
        <f>$AG9/$AF9</f>
        <v>2.3893762369110055E-3</v>
      </c>
      <c r="AU9">
        <f>$AN9/$AM9</f>
        <v>2.5397214759453157E-3</v>
      </c>
      <c r="AW9" s="75">
        <f>$AP9/$AR9</f>
        <v>0.77328773789118666</v>
      </c>
      <c r="AX9" s="75">
        <f>$AQ9/$AR9-$AW9</f>
        <v>0.1927785599797357</v>
      </c>
      <c r="AY9" s="75">
        <f>$AR9/$AR9-$AX9-$AW9</f>
        <v>3.3933702129077647E-2</v>
      </c>
      <c r="AZ9" s="75">
        <f>$AS9/$AU9</f>
        <v>0.72787282202404402</v>
      </c>
      <c r="BA9" s="75">
        <f>$AT9/$AU9-$AZ9</f>
        <v>0.21292964767261835</v>
      </c>
      <c r="BB9" s="75">
        <f>$AU9/$AU9-$BA9-$AZ9</f>
        <v>5.9197530303337631E-2</v>
      </c>
    </row>
    <row r="10" spans="1:54">
      <c r="A10" t="str">
        <f t="shared" si="0"/>
        <v>MITh2 247 pg/g</v>
      </c>
      <c r="I10" s="1"/>
      <c r="J10" s="1">
        <v>3.0829289999999999E-3</v>
      </c>
      <c r="K10" s="1">
        <v>1.9199999999999998E-6</v>
      </c>
      <c r="L10" s="1">
        <v>13.64903</v>
      </c>
      <c r="M10" s="1">
        <v>5.7200000000000003E-3</v>
      </c>
      <c r="N10" s="1">
        <v>4.207905E-2</v>
      </c>
      <c r="O10" s="1">
        <v>3.3899999999999997E-5</v>
      </c>
      <c r="P10" s="1">
        <v>0.20116329999999999</v>
      </c>
      <c r="Q10" s="1">
        <v>1.35E-4</v>
      </c>
      <c r="R10" s="1">
        <v>38712.480000000003</v>
      </c>
      <c r="S10" s="1">
        <v>39.4</v>
      </c>
      <c r="T10" s="1">
        <v>1.4738340000000001E-2</v>
      </c>
      <c r="U10" s="1">
        <v>1.0900000000000001E-5</v>
      </c>
      <c r="V10" s="1">
        <v>4.7635780000000001E-5</v>
      </c>
      <c r="W10" s="1">
        <v>2.5299999999999998E-5</v>
      </c>
      <c r="X10" s="1">
        <v>0.68341510000000005</v>
      </c>
      <c r="Y10" s="1">
        <v>5.28E-9</v>
      </c>
      <c r="Z10" t="s">
        <v>373</v>
      </c>
      <c r="AA10" t="s">
        <v>378</v>
      </c>
      <c r="AB10">
        <v>3509</v>
      </c>
      <c r="AD10" s="1">
        <f>J10*(1-$AE$2*$P10*62415093/$R10)*(1-V10/R10)</f>
        <v>3.0824123885091078E-3</v>
      </c>
      <c r="AE10">
        <f t="shared" si="2"/>
        <v>1.9240660494549777E-6</v>
      </c>
      <c r="AF10" s="1">
        <f>N10*(1-$AE$2*$P10*62415093/$R10)*(1-V10/R10)</f>
        <v>4.2071998744276681E-2</v>
      </c>
      <c r="AG10">
        <f t="shared" si="4"/>
        <v>3.3940637479519588E-5</v>
      </c>
      <c r="AQ10" s="1"/>
      <c r="AR10" s="1"/>
      <c r="AS10" s="1"/>
      <c r="AT10" s="1"/>
      <c r="AU10" s="1"/>
      <c r="AV10" s="1"/>
    </row>
    <row r="11" spans="1:54">
      <c r="A11" t="str">
        <f t="shared" si="0"/>
        <v>[BHT] AB12-6C</v>
      </c>
      <c r="B11" t="str">
        <f>IF(NOT(ISBLANK($J11)), IF($T11&lt;Constants!$B$29,"low spike","OK"), "")</f>
        <v>low spike</v>
      </c>
      <c r="C11" t="str">
        <f>IF(NOT(ISBLANK($J11)), IF((ABS($L10-$L12)/$L10)&gt;Constants!$B$30,"variable mass bias","OK"), "")</f>
        <v>OK</v>
      </c>
      <c r="D11" t="str">
        <f>IF(NOT(ISBLANK($J11)), IF((ABS($J10-$J12)/$J10)&gt;Constants!$B$31,"variable IC yield","OK"), "")</f>
        <v>OK</v>
      </c>
      <c r="E11" s="48">
        <f>AK11</f>
        <v>178.5850197293307</v>
      </c>
      <c r="F11" s="48">
        <f>AL11</f>
        <v>0.14749186904282377</v>
      </c>
      <c r="G11" s="48">
        <f>AM11</f>
        <v>4.3111339316415295E-2</v>
      </c>
      <c r="H11" s="48">
        <f>AN11</f>
        <v>7.9892675738006647E-5</v>
      </c>
      <c r="I11" s="1"/>
      <c r="J11" s="1">
        <v>2.014486E-4</v>
      </c>
      <c r="K11" s="1">
        <v>2.4699999999999998E-7</v>
      </c>
      <c r="L11" s="1">
        <v>181.88489999999999</v>
      </c>
      <c r="M11" s="1">
        <v>0.13300000000000001</v>
      </c>
      <c r="N11" s="1">
        <v>3.6640529999999998E-2</v>
      </c>
      <c r="O11" s="1">
        <v>5.4400000000000001E-5</v>
      </c>
      <c r="P11" s="1">
        <v>0.68275050000000004</v>
      </c>
      <c r="Q11" s="1">
        <v>1.8799999999999999E-3</v>
      </c>
      <c r="R11" s="1">
        <v>8585.5920000000006</v>
      </c>
      <c r="S11" s="1">
        <v>27.6</v>
      </c>
      <c r="T11" s="1">
        <v>3.7537759999999999E-3</v>
      </c>
      <c r="U11" s="1">
        <v>1.03E-5</v>
      </c>
      <c r="V11" s="1">
        <v>2.1181209999999999</v>
      </c>
      <c r="W11" s="1">
        <v>6.8900000000000003E-3</v>
      </c>
      <c r="X11" s="1">
        <v>1.438769</v>
      </c>
      <c r="Y11" s="1">
        <v>5.2700000000000002E-9</v>
      </c>
      <c r="Z11" t="s">
        <v>309</v>
      </c>
      <c r="AA11" t="s">
        <v>364</v>
      </c>
      <c r="AB11">
        <v>3511</v>
      </c>
      <c r="AD11" s="1">
        <f t="shared" ref="AD11" si="9">J11*(1-$AE$2*$P11*62415093/$R11)*(1-V11/R11)</f>
        <v>2.0088242732088001E-4</v>
      </c>
      <c r="AE11">
        <f t="shared" si="2"/>
        <v>2.8420388189377584E-7</v>
      </c>
      <c r="AF11" s="1">
        <f t="shared" ref="AF11" si="10">N11*(1-$AE$2*$P11*62415093/$R11)*(1-V11/R11)</f>
        <v>3.6537551537829116E-2</v>
      </c>
      <c r="AG11">
        <f t="shared" si="4"/>
        <v>6.0065607084148707E-5</v>
      </c>
      <c r="AH11" s="1"/>
      <c r="AI11" s="1">
        <f>AD11*Constants!C$22/AVERAGE(AD10,AD12)</f>
        <v>2.4147623894117836E-4</v>
      </c>
      <c r="AJ11" s="1">
        <f>AI11*SQRT((AE11/AD11)^2+((AD10-AD12)/4/AD10)^2+AVERAGE(AE10/AD10,AE12/AD12)^2)</f>
        <v>3.7113543503892385E-7</v>
      </c>
      <c r="AK11" s="1">
        <f>L11*Constants!C$20/AVERAGE(L10,L12)</f>
        <v>178.5850197293307</v>
      </c>
      <c r="AL11">
        <f>AK11*SQRT(((M11/L11)^2+((L10-L12)/4/L10)^2)+AVERAGE(M10/L10,M12/L12)^2)</f>
        <v>0.14749186904282377</v>
      </c>
      <c r="AM11" s="1">
        <f>AF11*Constants!C$21/AVERAGE(AF10,AF12)</f>
        <v>4.3111339316415295E-2</v>
      </c>
      <c r="AN11" s="1">
        <f>AM11*SQRT(((AG11/AF11)^2+((AF10-AF12)/AF10/4)^2)+AVERAGE(AG10/AF10,AG12/AF12)^2)</f>
        <v>7.9892675738006647E-5</v>
      </c>
      <c r="AP11">
        <f>$K11/$J11</f>
        <v>1.2261192185004015E-3</v>
      </c>
      <c r="AQ11">
        <f>$AE11/$AD11</f>
        <v>1.4147772191133578E-3</v>
      </c>
      <c r="AR11">
        <f>$AJ11/$AI11</f>
        <v>1.5369439107809253E-3</v>
      </c>
      <c r="AS11">
        <f>$O11/$N11</f>
        <v>1.4846946809994289E-3</v>
      </c>
      <c r="AT11">
        <f>$AG11/$AF11</f>
        <v>1.6439417682917216E-3</v>
      </c>
      <c r="AU11">
        <f>$AN11/$AM11</f>
        <v>1.8531708131736538E-3</v>
      </c>
      <c r="AV11" s="1"/>
      <c r="AW11" s="75">
        <f>$AP11/$AR11</f>
        <v>0.79776445314611844</v>
      </c>
      <c r="AX11" s="75">
        <f>$AQ11/$AR11-$AW11</f>
        <v>0.12274878692033631</v>
      </c>
      <c r="AY11" s="75">
        <f>$AR11/$AR11-$AX11-$AW11</f>
        <v>7.9486759933545259E-2</v>
      </c>
      <c r="AZ11" s="75">
        <f>$AS11/$AU11</f>
        <v>0.80116450704121012</v>
      </c>
      <c r="BA11" s="75">
        <f>$AT11/$AU11-$AZ11</f>
        <v>8.593222284759261E-2</v>
      </c>
      <c r="BB11" s="75">
        <f>$AU11/$AU11-$BA11-$AZ11</f>
        <v>0.11290327011119727</v>
      </c>
    </row>
    <row r="12" spans="1:54">
      <c r="A12" t="str">
        <f t="shared" si="0"/>
        <v>MITh2 247 pg/g</v>
      </c>
      <c r="I12" s="1"/>
      <c r="J12" s="1">
        <v>3.0856740000000001E-3</v>
      </c>
      <c r="K12" s="1">
        <v>1.5099999999999999E-6</v>
      </c>
      <c r="L12" s="1">
        <v>13.64922</v>
      </c>
      <c r="M12" s="1">
        <v>4.7600000000000003E-3</v>
      </c>
      <c r="N12" s="1">
        <v>4.2141949999999997E-2</v>
      </c>
      <c r="O12" s="1">
        <v>3.0800000000000003E-5</v>
      </c>
      <c r="P12" s="1">
        <v>0.20312769999999999</v>
      </c>
      <c r="Q12" s="1">
        <v>3.0600000000000001E-4</v>
      </c>
      <c r="R12" s="1">
        <v>39178.050000000003</v>
      </c>
      <c r="S12" s="1">
        <v>73.3</v>
      </c>
      <c r="T12" s="1">
        <v>1.4876149999999999E-2</v>
      </c>
      <c r="U12" s="1">
        <v>2.26E-5</v>
      </c>
      <c r="V12" s="1">
        <v>2.9944759999999999E-5</v>
      </c>
      <c r="W12" s="1">
        <v>1.17E-5</v>
      </c>
      <c r="X12" s="1">
        <v>0.66674659999999997</v>
      </c>
      <c r="Y12" s="1">
        <v>0</v>
      </c>
      <c r="Z12" t="s">
        <v>373</v>
      </c>
      <c r="AA12" t="s">
        <v>379</v>
      </c>
      <c r="AB12">
        <v>3513</v>
      </c>
      <c r="AD12" s="1">
        <f>J12*(1-$AE$2*$P12*62415093/$R12)*(1-V12/R12)</f>
        <v>3.0851580852388439E-3</v>
      </c>
      <c r="AE12">
        <f t="shared" si="2"/>
        <v>1.5153037351639731E-6</v>
      </c>
      <c r="AF12" s="1">
        <f>N12*(1-$AE$2*$P12*62415093/$R12)*(1-V12/R12)</f>
        <v>4.2134904001599353E-2</v>
      </c>
      <c r="AG12">
        <f t="shared" si="4"/>
        <v>3.0845709991148454E-5</v>
      </c>
      <c r="AQ12" s="1"/>
      <c r="AR12" s="1"/>
      <c r="AS12" s="1"/>
      <c r="AT12" s="1"/>
      <c r="AU12" s="1"/>
      <c r="AV12" s="1"/>
    </row>
    <row r="13" spans="1:54">
      <c r="A13" t="str">
        <f t="shared" si="0"/>
        <v>[BHT] AB12-6D</v>
      </c>
      <c r="B13" t="str">
        <f>IF(NOT(ISBLANK($J13)), IF($T13&lt;Constants!$B$29,"low spike","OK"), "")</f>
        <v>low spike</v>
      </c>
      <c r="C13" t="str">
        <f>IF(NOT(ISBLANK($J13)), IF((ABS($L12-$L14)/$L12)&gt;Constants!$B$30,"variable mass bias","OK"), "")</f>
        <v>OK</v>
      </c>
      <c r="D13" t="str">
        <f>IF(NOT(ISBLANK($J13)), IF((ABS($J12-$J14)/$J12)&gt;Constants!$B$31,"variable IC yield","OK"), "")</f>
        <v>OK</v>
      </c>
      <c r="E13" s="48">
        <f>AK13</f>
        <v>89.608900355678855</v>
      </c>
      <c r="F13" s="48">
        <f>AL13</f>
        <v>6.694845856710363E-2</v>
      </c>
      <c r="G13" s="48">
        <f>AM13</f>
        <v>3.7447838171845452E-2</v>
      </c>
      <c r="H13" s="48">
        <f>AN13</f>
        <v>7.5777477789578968E-5</v>
      </c>
      <c r="I13" s="1"/>
      <c r="J13" s="1">
        <v>3.4867120000000001E-4</v>
      </c>
      <c r="K13" s="1">
        <v>5.8400000000000004E-7</v>
      </c>
      <c r="L13" s="1">
        <v>91.27816</v>
      </c>
      <c r="M13" s="1">
        <v>5.4600000000000003E-2</v>
      </c>
      <c r="N13" s="1">
        <v>3.1826149999999997E-2</v>
      </c>
      <c r="O13" s="1">
        <v>5.8499999999999999E-5</v>
      </c>
      <c r="P13" s="1">
        <v>0.37547550000000002</v>
      </c>
      <c r="Q13" s="1">
        <v>8.8199999999999997E-4</v>
      </c>
      <c r="R13" s="1">
        <v>8172.451</v>
      </c>
      <c r="S13" s="1">
        <v>27.8</v>
      </c>
      <c r="T13" s="1">
        <v>4.1135729999999997E-3</v>
      </c>
      <c r="U13" s="1">
        <v>1.01E-5</v>
      </c>
      <c r="V13" s="1">
        <v>2.8661889999999999</v>
      </c>
      <c r="W13" s="1">
        <v>8.1499999999999993E-3</v>
      </c>
      <c r="X13" s="1">
        <v>0.48339130000000002</v>
      </c>
      <c r="Y13" s="1">
        <v>0</v>
      </c>
      <c r="Z13" t="s">
        <v>311</v>
      </c>
      <c r="AA13" t="s">
        <v>365</v>
      </c>
      <c r="AB13">
        <v>3515</v>
      </c>
      <c r="AD13" s="1">
        <f t="shared" ref="AD13" si="11">J13*(1-$AE$2*$P13*62415093/$R13)*(1-V13/R13)</f>
        <v>3.480325087182912E-4</v>
      </c>
      <c r="AE13">
        <f t="shared" si="2"/>
        <v>6.0442497965527926E-7</v>
      </c>
      <c r="AF13" s="1">
        <f t="shared" ref="AF13" si="12">N13*(1-$AE$2*$P13*62415093/$R13)*(1-V13/R13)</f>
        <v>3.1767851280359957E-2</v>
      </c>
      <c r="AG13">
        <f t="shared" si="4"/>
        <v>6.0186092962022645E-5</v>
      </c>
      <c r="AH13" s="1"/>
      <c r="AI13" s="1">
        <f>AD13*Constants!C$22/AVERAGE(AD12,AD14)</f>
        <v>4.1802497648546667E-4</v>
      </c>
      <c r="AJ13" s="1">
        <f>AI13*SQRT((AE13/AD13)^2+((AD12-AD14)/4/AD12)^2+AVERAGE(AE12/AD12,AE14/AD14)^2)</f>
        <v>7.6432617224502884E-7</v>
      </c>
      <c r="AK13" s="1">
        <f>L13*Constants!C$20/AVERAGE(L12,L14)</f>
        <v>89.608900355678855</v>
      </c>
      <c r="AL13">
        <f>AK13*SQRT(((M13/L13)^2+((L12-L14)/4/L12)^2)+AVERAGE(M12/L12,M14/L14)^2)</f>
        <v>6.694845856710363E-2</v>
      </c>
      <c r="AM13" s="1">
        <f>AF13*Constants!C$21/AVERAGE(AF12,AF14)</f>
        <v>3.7447838171845452E-2</v>
      </c>
      <c r="AN13" s="1">
        <f>AM13*SQRT(((AG13/AF13)^2+((AF12-AF14)/AF12/4)^2)+AVERAGE(AG12/AF12,AG14/AF14)^2)</f>
        <v>7.5777477789578968E-5</v>
      </c>
      <c r="AP13">
        <f>$K13/$J13</f>
        <v>1.6749304215547484E-3</v>
      </c>
      <c r="AQ13">
        <f>$AE13/$AD13</f>
        <v>1.7366911553211267E-3</v>
      </c>
      <c r="AR13">
        <f>$AJ13/$AI13</f>
        <v>1.8284222600072363E-3</v>
      </c>
      <c r="AS13">
        <f>$O13/$N13</f>
        <v>1.8381111130312652E-3</v>
      </c>
      <c r="AT13">
        <f>$AG13/$AF13</f>
        <v>1.8945597683288034E-3</v>
      </c>
      <c r="AU13">
        <f>$AN13/$AM13</f>
        <v>2.0235474593177194E-3</v>
      </c>
      <c r="AV13" s="1"/>
      <c r="AW13" s="75">
        <f>$AP13/$AR13</f>
        <v>0.91605230268205085</v>
      </c>
      <c r="AX13" s="75">
        <f>$AQ13/$AR13-$AW13</f>
        <v>3.3778156784272539E-2</v>
      </c>
      <c r="AY13" s="75">
        <f>$AR13/$AR13-$AX13-$AW13</f>
        <v>5.0169540533676615E-2</v>
      </c>
      <c r="AZ13" s="75">
        <f>$AS13/$AU13</f>
        <v>0.90836076246564645</v>
      </c>
      <c r="BA13" s="75">
        <f>$AT13/$AU13-$AZ13</f>
        <v>2.7895888993169971E-2</v>
      </c>
      <c r="BB13" s="75">
        <f>$AU13/$AU13-$BA13-$AZ13</f>
        <v>6.3743348541183575E-2</v>
      </c>
    </row>
    <row r="14" spans="1:54">
      <c r="A14" t="str">
        <f t="shared" si="0"/>
        <v>MITh2 247 pg/g</v>
      </c>
      <c r="I14" s="1"/>
      <c r="J14" s="1">
        <v>3.087902E-3</v>
      </c>
      <c r="K14" s="1">
        <v>1.8300000000000001E-6</v>
      </c>
      <c r="L14" s="1">
        <v>13.65306</v>
      </c>
      <c r="M14" s="1">
        <v>7.3099999999999997E-3</v>
      </c>
      <c r="N14" s="1">
        <v>4.2159200000000001E-2</v>
      </c>
      <c r="O14" s="1">
        <v>2.8399999999999999E-5</v>
      </c>
      <c r="P14" s="1">
        <v>0.20328959999999999</v>
      </c>
      <c r="Q14" s="1">
        <v>5.7300000000000005E-4</v>
      </c>
      <c r="R14" s="1">
        <v>39184.480000000003</v>
      </c>
      <c r="S14" s="1">
        <v>111</v>
      </c>
      <c r="T14" s="1">
        <v>1.4889660000000001E-2</v>
      </c>
      <c r="U14" s="1">
        <v>4.1100000000000003E-5</v>
      </c>
      <c r="V14" s="1">
        <v>4.7431610000000002E-5</v>
      </c>
      <c r="W14" s="1">
        <v>1.9199999999999999E-5</v>
      </c>
      <c r="X14" s="1">
        <v>0.5000599</v>
      </c>
      <c r="Y14" s="1">
        <v>2.4699999999999999E-9</v>
      </c>
      <c r="Z14" t="s">
        <v>373</v>
      </c>
      <c r="AA14" t="s">
        <v>380</v>
      </c>
      <c r="AB14">
        <v>3517</v>
      </c>
      <c r="AD14" s="1">
        <f>J14*(1-$AE$2*$P14*62415093/$R14)*(1-V14/R14)</f>
        <v>3.087385384637157E-3</v>
      </c>
      <c r="AE14">
        <f t="shared" si="2"/>
        <v>1.8342729539831912E-6</v>
      </c>
      <c r="AF14" s="1">
        <f>N14*(1-$AE$2*$P14*62415093/$R14)*(1-V14/R14)</f>
        <v>4.2152146638071687E-2</v>
      </c>
      <c r="AG14">
        <f t="shared" si="4"/>
        <v>2.8450265342622962E-5</v>
      </c>
      <c r="AQ14" s="1"/>
      <c r="AR14" s="1"/>
      <c r="AS14" s="1"/>
      <c r="AT14" s="1"/>
      <c r="AU14" s="1"/>
      <c r="AV14" s="1"/>
    </row>
    <row r="15" spans="1:54">
      <c r="A15" t="str">
        <f t="shared" si="0"/>
        <v>[BHT] AB12-6E</v>
      </c>
      <c r="B15" t="str">
        <f>IF(NOT(ISBLANK($J15)), IF($T15&lt;Constants!$B$29,"low spike","OK"), "")</f>
        <v>low spike</v>
      </c>
      <c r="C15" t="str">
        <f>IF(NOT(ISBLANK($J15)), IF((ABS($L14-$L16)/$L14)&gt;Constants!$B$30,"variable mass bias","OK"), "")</f>
        <v>variable mass bias</v>
      </c>
      <c r="D15" t="str">
        <f>IF(NOT(ISBLANK($J15)), IF((ABS($J14-$J16)/$J14)&gt;Constants!$B$31,"variable IC yield","OK"), "")</f>
        <v>OK</v>
      </c>
      <c r="E15" s="48">
        <f>AK15</f>
        <v>87.19597328271982</v>
      </c>
      <c r="F15" s="48">
        <f>AL15</f>
        <v>0.1151975199252241</v>
      </c>
      <c r="G15" s="48">
        <f>AM15</f>
        <v>0.9811037151692934</v>
      </c>
      <c r="H15" s="48">
        <f>AN15</f>
        <v>1.4616862167927259E-3</v>
      </c>
      <c r="I15" s="1"/>
      <c r="J15" s="1">
        <v>9.3785069999999995E-3</v>
      </c>
      <c r="K15" s="1">
        <v>3.7299999999999999E-6</v>
      </c>
      <c r="L15" s="1">
        <v>88.800830000000005</v>
      </c>
      <c r="M15" s="1">
        <v>0.107</v>
      </c>
      <c r="N15" s="1">
        <v>0.83281919999999998</v>
      </c>
      <c r="O15" s="1">
        <v>1.06E-3</v>
      </c>
      <c r="P15" s="1">
        <v>0.20456750000000001</v>
      </c>
      <c r="Q15" s="1">
        <v>4.2299999999999998E-4</v>
      </c>
      <c r="R15" s="1">
        <v>119758.1</v>
      </c>
      <c r="S15" s="1">
        <v>237</v>
      </c>
      <c r="T15" s="1">
        <v>2.3037140000000001E-3</v>
      </c>
      <c r="U15" s="1">
        <v>4.8999999999999997E-6</v>
      </c>
      <c r="V15" s="1">
        <v>34.109009999999998</v>
      </c>
      <c r="W15" s="1">
        <v>8.6400000000000005E-2</v>
      </c>
      <c r="X15" s="1">
        <v>0.71675279999999997</v>
      </c>
      <c r="Y15" s="1">
        <v>3.4200000000000002E-9</v>
      </c>
      <c r="Z15" t="s">
        <v>366</v>
      </c>
      <c r="AA15" t="s">
        <v>367</v>
      </c>
      <c r="AB15">
        <v>3519</v>
      </c>
      <c r="AD15" s="1">
        <f t="shared" ref="AD15" si="13">J15*(1-$AE$2*$P15*62415093/$R15)*(1-V15/R15)</f>
        <v>9.3753193866537993E-3</v>
      </c>
      <c r="AE15">
        <f t="shared" si="2"/>
        <v>3.8129641677581854E-6</v>
      </c>
      <c r="AF15" s="1">
        <f t="shared" ref="AF15" si="14">N15*(1-$AE$2*$P15*62415093/$R15)*(1-V15/R15)</f>
        <v>0.83253613729109643</v>
      </c>
      <c r="AG15">
        <f t="shared" si="4"/>
        <v>1.0620007877347531E-3</v>
      </c>
      <c r="AH15" s="1"/>
      <c r="AI15" s="1">
        <f>AD15*Constants!C$22/AVERAGE(AD14,AD16)</f>
        <v>1.1251692912652883E-2</v>
      </c>
      <c r="AJ15" s="1">
        <f>AI15*SQRT((AE15/AD15)^2+((AD14-AD16)/4/AD14)^2+AVERAGE(AE14/AD14,AE16/AD16)^2)</f>
        <v>8.9742783701374632E-6</v>
      </c>
      <c r="AK15" s="1">
        <f>L15*Constants!C$20/AVERAGE(L14,L16)</f>
        <v>87.19597328271982</v>
      </c>
      <c r="AL15">
        <f>AK15*SQRT(((M15/L15)^2+((L14-L16)/4/L14)^2)+AVERAGE(M14/L14,M16/L16)^2)</f>
        <v>0.1151975199252241</v>
      </c>
      <c r="AM15" s="1">
        <f>AF15*Constants!C$21/AVERAGE(AF14,AF16)</f>
        <v>0.9811037151692934</v>
      </c>
      <c r="AN15" s="1">
        <f>AM15*SQRT(((AG15/AF15)^2+((AF14-AF16)/AF14/4)^2)+AVERAGE(AG14/AF14,AG16/AF16)^2)</f>
        <v>1.4616862167927259E-3</v>
      </c>
      <c r="AP15">
        <f>$K15/$J15</f>
        <v>3.9771788835898936E-4</v>
      </c>
      <c r="AQ15">
        <f>$AE15/$AD15</f>
        <v>4.067023223961966E-4</v>
      </c>
      <c r="AR15">
        <f>$AJ15/$AI15</f>
        <v>7.9759361011760323E-4</v>
      </c>
      <c r="AS15">
        <f>$O15/$N15</f>
        <v>1.2727852575925244E-3</v>
      </c>
      <c r="AT15">
        <f>$AG15/$AF15</f>
        <v>1.2756212495355313E-3</v>
      </c>
      <c r="AU15">
        <f>$AN15/$AM15</f>
        <v>1.4898386319335323E-3</v>
      </c>
      <c r="AV15" s="1"/>
      <c r="AW15" s="75">
        <f>$AP15/$AR15</f>
        <v>0.49864728517615231</v>
      </c>
      <c r="AX15" s="75">
        <f>$AQ15/$AR15-$AW15</f>
        <v>1.1264425796844724E-2</v>
      </c>
      <c r="AY15" s="75">
        <f>$AR15/$AR15-$AX15-$AW15</f>
        <v>0.49008828902700297</v>
      </c>
      <c r="AZ15" s="75">
        <f>$AS15/$AU15</f>
        <v>0.85431081615912108</v>
      </c>
      <c r="BA15" s="75">
        <f>$AT15/$AU15-$AZ15</f>
        <v>1.9035564538465444E-3</v>
      </c>
      <c r="BB15" s="75">
        <f>$AU15/$AU15-$BA15-$AZ15</f>
        <v>0.14378562738703238</v>
      </c>
    </row>
    <row r="16" spans="1:54">
      <c r="A16" t="str">
        <f t="shared" si="0"/>
        <v>MITh2 247 pg/g</v>
      </c>
      <c r="I16" s="1"/>
      <c r="J16" s="1">
        <v>3.0906599999999998E-3</v>
      </c>
      <c r="K16" s="1">
        <v>2.17E-6</v>
      </c>
      <c r="L16" s="1">
        <v>13.64324</v>
      </c>
      <c r="M16" s="1">
        <v>6.6400000000000001E-3</v>
      </c>
      <c r="N16" s="1">
        <v>4.2166620000000002E-2</v>
      </c>
      <c r="O16" s="1">
        <v>3.6300000000000001E-5</v>
      </c>
      <c r="P16" s="1">
        <v>0.20313519999999999</v>
      </c>
      <c r="Q16" s="1">
        <v>2.0100000000000001E-4</v>
      </c>
      <c r="R16" s="1">
        <v>39190.129999999997</v>
      </c>
      <c r="S16" s="1">
        <v>54.3</v>
      </c>
      <c r="T16" s="1">
        <v>1.488912E-2</v>
      </c>
      <c r="U16" s="1">
        <v>1.4399999999999999E-5</v>
      </c>
      <c r="V16" s="1">
        <v>1.868169E-5</v>
      </c>
      <c r="W16" s="1">
        <v>1.59E-5</v>
      </c>
      <c r="X16" s="1">
        <v>0.78342699999999998</v>
      </c>
      <c r="Y16" s="1">
        <v>0</v>
      </c>
      <c r="Z16" t="s">
        <v>373</v>
      </c>
      <c r="AA16" t="s">
        <v>381</v>
      </c>
      <c r="AB16">
        <v>3521</v>
      </c>
      <c r="AD16" s="1">
        <f>J16*(1-$AE$2*$P16*62415093/$R16)*(1-V16/R16)</f>
        <v>3.0901433926930465E-3</v>
      </c>
      <c r="AE16">
        <f t="shared" si="2"/>
        <v>2.1735327524402372E-6</v>
      </c>
      <c r="AF16" s="1">
        <f>N16*(1-$AE$2*$P16*62415093/$R16)*(1-V16/R16)</f>
        <v>4.2159571801880014E-2</v>
      </c>
      <c r="AG16">
        <f t="shared" si="4"/>
        <v>3.6337291337973536E-5</v>
      </c>
      <c r="AQ16" s="1"/>
      <c r="AR16" s="1"/>
      <c r="AS16" s="1"/>
      <c r="AT16" s="1"/>
      <c r="AU16" s="1"/>
      <c r="AV16" s="1"/>
    </row>
    <row r="17" spans="1:54">
      <c r="A17" t="str">
        <f t="shared" si="0"/>
        <v>[BHT] AB12-6F</v>
      </c>
      <c r="B17" t="str">
        <f>IF(NOT(ISBLANK($J17)), IF($T17&lt;Constants!$B$29,"low spike","OK"), "")</f>
        <v>low spike</v>
      </c>
      <c r="C17" t="str">
        <f>IF(NOT(ISBLANK($J17)), IF((ABS($L16-$L18)/$L16)&gt;Constants!$B$30,"variable mass bias","OK"), "")</f>
        <v>OK</v>
      </c>
      <c r="D17" t="str">
        <f>IF(NOT(ISBLANK($J17)), IF((ABS($J16-$J18)/$J16)&gt;Constants!$B$31,"variable IC yield","OK"), "")</f>
        <v>OK</v>
      </c>
      <c r="E17" s="48">
        <f>AK17</f>
        <v>181.60095302473422</v>
      </c>
      <c r="F17" s="48">
        <f>AL17</f>
        <v>0.21246249278753515</v>
      </c>
      <c r="G17" s="48">
        <f>AM17</f>
        <v>0.73995142762021937</v>
      </c>
      <c r="H17" s="48">
        <f>AN17</f>
        <v>1.046237562756528E-3</v>
      </c>
      <c r="I17" s="1"/>
      <c r="J17" s="1">
        <v>3.3970739999999999E-3</v>
      </c>
      <c r="K17" s="1">
        <v>1.24E-6</v>
      </c>
      <c r="L17" s="1">
        <v>184.8468</v>
      </c>
      <c r="M17" s="1">
        <v>0.19700000000000001</v>
      </c>
      <c r="N17" s="1">
        <v>0.62793750000000004</v>
      </c>
      <c r="O17" s="1">
        <v>6.8099999999999996E-4</v>
      </c>
      <c r="P17" s="1">
        <v>0.65544749999999996</v>
      </c>
      <c r="Q17" s="1">
        <v>5.3200000000000003E-4</v>
      </c>
      <c r="R17" s="1">
        <v>138989</v>
      </c>
      <c r="S17" s="1">
        <v>123</v>
      </c>
      <c r="T17" s="1">
        <v>3.5460040000000002E-3</v>
      </c>
      <c r="U17" s="1">
        <v>5.1000000000000003E-6</v>
      </c>
      <c r="V17" s="1">
        <v>33.666200000000003</v>
      </c>
      <c r="W17" s="1">
        <v>3.0599999999999999E-2</v>
      </c>
      <c r="X17" s="1">
        <v>0.71675279999999997</v>
      </c>
      <c r="Y17" s="1">
        <v>3.4200000000000002E-9</v>
      </c>
      <c r="Z17" t="s">
        <v>315</v>
      </c>
      <c r="AA17" t="s">
        <v>368</v>
      </c>
      <c r="AB17">
        <v>3523</v>
      </c>
      <c r="AD17" s="1">
        <f t="shared" ref="AD17" si="15">J17*(1-$AE$2*$P17*62415093/$R17)*(1-V17/R17)</f>
        <v>3.3957346697832931E-3</v>
      </c>
      <c r="AE17">
        <f t="shared" si="2"/>
        <v>1.2839469677076989E-6</v>
      </c>
      <c r="AF17" s="1">
        <f t="shared" ref="AF17" si="16">N17*(1-$AE$2*$P17*62415093/$R17)*(1-V17/R17)</f>
        <v>0.62768992939425128</v>
      </c>
      <c r="AG17">
        <f t="shared" si="4"/>
        <v>6.8353986165701911E-4</v>
      </c>
      <c r="AH17" s="1"/>
      <c r="AI17" s="1">
        <f>AD17*Constants!C$22/AVERAGE(AD16,AD18)</f>
        <v>4.0746132587672415E-3</v>
      </c>
      <c r="AJ17" s="1">
        <f>AI17*SQRT((AE17/AD17)^2+((AD16-AD18)/4/AD16)^2+AVERAGE(AE16/AD16,AE18/AD18)^2)</f>
        <v>3.06708736929742E-6</v>
      </c>
      <c r="AK17" s="1">
        <f>L17*Constants!C$20/AVERAGE(L16,L18)</f>
        <v>181.60095302473422</v>
      </c>
      <c r="AL17">
        <f>AK17*SQRT(((M17/L17)^2+((L16-L18)/4/L16)^2)+AVERAGE(M16/L16,M18/L18)^2)</f>
        <v>0.21246249278753515</v>
      </c>
      <c r="AM17" s="1">
        <f>AF17*Constants!C$21/AVERAGE(AF16,AF18)</f>
        <v>0.73995142762021937</v>
      </c>
      <c r="AN17" s="1">
        <f>AM17*SQRT(((AG17/AF17)^2+((AF16-AF18)/AF16/4)^2)+AVERAGE(AG16/AF16,AG18/AF18)^2)</f>
        <v>1.046237562756528E-3</v>
      </c>
      <c r="AP17">
        <f>$K17/$J17</f>
        <v>3.6502001428287992E-4</v>
      </c>
      <c r="AQ17">
        <f>$AE17/$AD17</f>
        <v>3.7810579817463684E-4</v>
      </c>
      <c r="AR17">
        <f>$AJ17/$AI17</f>
        <v>7.5273091567599603E-4</v>
      </c>
      <c r="AS17">
        <f>$O17/$N17</f>
        <v>1.0845028366676618E-3</v>
      </c>
      <c r="AT17">
        <f>$AG17/$AF17</f>
        <v>1.0889769449012278E-3</v>
      </c>
      <c r="AU17">
        <f>$AN17/$AM17</f>
        <v>1.4139273521254832E-3</v>
      </c>
      <c r="AV17" s="1"/>
      <c r="AW17" s="75">
        <f>$AP17/$AR17</f>
        <v>0.48492762377784199</v>
      </c>
      <c r="AX17" s="75">
        <f>$AQ17/$AR17-$AW17</f>
        <v>1.7384411373624953E-2</v>
      </c>
      <c r="AY17" s="75">
        <f>$AR17/$AR17-$AX17-$AW17</f>
        <v>0.497687964848533</v>
      </c>
      <c r="AZ17" s="75">
        <f>$AS17/$AU17</f>
        <v>0.7670145393519584</v>
      </c>
      <c r="BA17" s="75">
        <f>$AT17/$AU17-$AZ17</f>
        <v>3.164312669134195E-3</v>
      </c>
      <c r="BB17" s="75">
        <f>$AU17/$AU17-$BA17-$AZ17</f>
        <v>0.2298211479789074</v>
      </c>
    </row>
    <row r="18" spans="1:54">
      <c r="A18" t="str">
        <f t="shared" si="0"/>
        <v>MITh2 247 pg/g</v>
      </c>
      <c r="J18" s="1">
        <v>3.0890280000000002E-3</v>
      </c>
      <c r="K18" s="1">
        <v>1.7600000000000001E-6</v>
      </c>
      <c r="L18" s="1">
        <v>13.638809999999999</v>
      </c>
      <c r="M18" s="1">
        <v>6.3400000000000001E-3</v>
      </c>
      <c r="N18" s="1">
        <v>4.2130809999999998E-2</v>
      </c>
      <c r="O18" s="1">
        <v>3.7499999999999997E-5</v>
      </c>
      <c r="P18" s="1">
        <v>0.20900579999999999</v>
      </c>
      <c r="Q18" s="1">
        <v>1.76E-4</v>
      </c>
      <c r="R18" s="1">
        <v>40301.25</v>
      </c>
      <c r="S18" s="1">
        <v>43.4</v>
      </c>
      <c r="T18" s="1">
        <v>1.532442E-2</v>
      </c>
      <c r="U18" s="1">
        <v>1.3699999999999999E-5</v>
      </c>
      <c r="V18" s="1">
        <v>5.8417779999999999E-7</v>
      </c>
      <c r="W18" s="1">
        <v>1.2999999999999999E-5</v>
      </c>
      <c r="X18" s="1">
        <v>0.78342699999999998</v>
      </c>
      <c r="Y18" s="1">
        <v>0</v>
      </c>
      <c r="Z18" t="s">
        <v>373</v>
      </c>
      <c r="AA18" t="s">
        <v>382</v>
      </c>
      <c r="AB18">
        <v>3525</v>
      </c>
      <c r="AD18" s="1">
        <f>J18*(1-$AE$2*$P18*62415093/$R18)*(1-V18/R18)</f>
        <v>3.0885113917981035E-3</v>
      </c>
      <c r="AE18">
        <f t="shared" si="2"/>
        <v>1.7645026334436709E-6</v>
      </c>
      <c r="AF18" s="1">
        <f>N18*(1-$AE$2*$P18*62415093/$R18)*(1-V18/R18)</f>
        <v>4.2123764054803468E-2</v>
      </c>
      <c r="AG18">
        <f t="shared" si="4"/>
        <v>3.7535641986440692E-5</v>
      </c>
      <c r="AQ18" s="1"/>
      <c r="AR18" s="1"/>
      <c r="AS18" s="1"/>
      <c r="AT18" s="1"/>
      <c r="AU18" s="1"/>
      <c r="AV18" s="1"/>
    </row>
    <row r="19" spans="1:54">
      <c r="A19" t="str">
        <f t="shared" si="0"/>
        <v>[BHT] AB12-6G</v>
      </c>
      <c r="B19" t="str">
        <f>IF(NOT(ISBLANK($J19)), IF($T19&lt;Constants!$B$29,"low spike","OK"), "")</f>
        <v>low spike</v>
      </c>
      <c r="C19" t="str">
        <f>IF(NOT(ISBLANK($J19)), IF((ABS($L18-$L20)/$L18)&gt;Constants!$B$30,"variable mass bias","OK"), "")</f>
        <v>variable mass bias</v>
      </c>
      <c r="D19" t="str">
        <f>IF(NOT(ISBLANK($J19)), IF((ABS($J18-$J20)/$J18)&gt;Constants!$B$31,"variable IC yield","OK"), "")</f>
        <v>OK</v>
      </c>
      <c r="E19" s="48">
        <f>AK19</f>
        <v>420.91011187231442</v>
      </c>
      <c r="F19" s="48">
        <f>AL19</f>
        <v>0.51396958290082229</v>
      </c>
      <c r="G19" s="48">
        <f>AM19</f>
        <v>1.5361680682948258</v>
      </c>
      <c r="H19" s="48">
        <f>AN19</f>
        <v>2.6420221658194033E-3</v>
      </c>
      <c r="I19" s="1"/>
      <c r="J19" s="1">
        <v>3.039089E-3</v>
      </c>
      <c r="K19" s="1">
        <v>7.6599999999999995E-7</v>
      </c>
      <c r="L19" s="1">
        <v>428.57929999999999</v>
      </c>
      <c r="M19" s="1">
        <v>0.48099999999999998</v>
      </c>
      <c r="N19" s="1">
        <v>1.3033999999999999</v>
      </c>
      <c r="O19" s="1">
        <v>2E-3</v>
      </c>
      <c r="P19" s="1">
        <v>1.718969</v>
      </c>
      <c r="Q19" s="1">
        <v>2.4299999999999999E-2</v>
      </c>
      <c r="R19" s="1">
        <v>326098.90000000002</v>
      </c>
      <c r="S19" s="1">
        <v>4610</v>
      </c>
      <c r="T19" s="1">
        <v>3.9375759999999999E-3</v>
      </c>
      <c r="U19" s="1">
        <v>6.9E-6</v>
      </c>
      <c r="V19" s="1">
        <v>57.289659999999998</v>
      </c>
      <c r="W19" s="1">
        <v>8.2799999999999993E-5</v>
      </c>
      <c r="X19" s="1">
        <v>0.91239009999999998</v>
      </c>
      <c r="Y19" s="1">
        <v>0</v>
      </c>
      <c r="Z19" t="s">
        <v>369</v>
      </c>
      <c r="AA19" t="s">
        <v>370</v>
      </c>
      <c r="AB19">
        <v>3527</v>
      </c>
      <c r="AD19" s="1">
        <f t="shared" ref="AD19" si="17">J19*(1-$AE$2*$P19*62415093/$R19)*(1-V19/R19)</f>
        <v>3.0380385692547487E-3</v>
      </c>
      <c r="AE19">
        <f t="shared" si="2"/>
        <v>8.0951699800133892E-7</v>
      </c>
      <c r="AF19" s="1">
        <f t="shared" ref="AF19" si="18">N19*(1-$AE$2*$P19*62415093/$R19)*(1-V19/R19)</f>
        <v>1.3029494928140108</v>
      </c>
      <c r="AG19">
        <f t="shared" si="4"/>
        <v>2.0024787099260041E-3</v>
      </c>
      <c r="AH19" s="1"/>
      <c r="AI19" s="1">
        <f>AD19*Constants!C$22/AVERAGE(AD18,AD20)</f>
        <v>3.6470914250005819E-3</v>
      </c>
      <c r="AJ19" s="1">
        <f>AI19*SQRT((AE19/AD19)^2+((AD18-AD20)/4/AD18)^2+AVERAGE(AE18/AD18,AE20/AD20)^2)</f>
        <v>2.3805778643811029E-6</v>
      </c>
      <c r="AK19" s="1">
        <f>L19*Constants!C$20/AVERAGE(L18,L20)</f>
        <v>420.91011187231442</v>
      </c>
      <c r="AL19">
        <f>AK19*SQRT(((M19/L19)^2+((L18-L20)/4/L18)^2)+AVERAGE(M18/L18,M20/L20)^2)</f>
        <v>0.51396958290082229</v>
      </c>
      <c r="AM19" s="1">
        <f>AF19*Constants!C$21/AVERAGE(AF18,AF20)</f>
        <v>1.5361680682948258</v>
      </c>
      <c r="AN19" s="1">
        <f>AM19*SQRT(((AG19/AF19)^2+((AF18-AF20)/AF18/4)^2)+AVERAGE(AG18/AF18,AG20/AF20)^2)</f>
        <v>2.6420221658194033E-3</v>
      </c>
      <c r="AP19">
        <f>$K19/$J19</f>
        <v>2.520492160644193E-4</v>
      </c>
      <c r="AQ19">
        <f>$AE19/$AD19</f>
        <v>2.6646040843382674E-4</v>
      </c>
      <c r="AR19">
        <f>$AJ19/$AI19</f>
        <v>6.5273325699004737E-4</v>
      </c>
      <c r="AS19">
        <f>$O19/$N19</f>
        <v>1.5344483658124906E-3</v>
      </c>
      <c r="AT19">
        <f>$AG19/$AF19</f>
        <v>1.5368812996743285E-3</v>
      </c>
      <c r="AU19">
        <f>$AN19/$AM19</f>
        <v>1.7198783260428628E-3</v>
      </c>
      <c r="AV19" s="1"/>
      <c r="AW19" s="75">
        <f>$AP19/$AR19</f>
        <v>0.38614428384834459</v>
      </c>
      <c r="AX19" s="75">
        <f>$AQ19/$AR19-$AW19</f>
        <v>2.2078226005921409E-2</v>
      </c>
      <c r="AY19" s="75">
        <f>$AR19/$AR19-$AX19-$AW19</f>
        <v>0.591777490145734</v>
      </c>
      <c r="AZ19" s="75">
        <f>$AS19/$AU19</f>
        <v>0.89218425662877332</v>
      </c>
      <c r="BA19" s="75">
        <f>$AT19/$AU19-$AZ19</f>
        <v>1.4145965008092176E-3</v>
      </c>
      <c r="BB19" s="75">
        <f>$AU19/$AU19-$BA19-$AZ19</f>
        <v>0.10640114687041746</v>
      </c>
    </row>
    <row r="20" spans="1:54">
      <c r="A20" t="str">
        <f t="shared" si="0"/>
        <v>MITh2 247 pg/g</v>
      </c>
      <c r="J20" s="1">
        <v>3.0878049999999999E-3</v>
      </c>
      <c r="K20" s="1">
        <v>1.86E-6</v>
      </c>
      <c r="L20" s="1">
        <v>13.65254</v>
      </c>
      <c r="M20" s="1">
        <v>4.8500000000000001E-3</v>
      </c>
      <c r="N20" s="1">
        <v>4.2156319999999997E-2</v>
      </c>
      <c r="O20" s="1">
        <v>2.62E-5</v>
      </c>
      <c r="P20" s="1">
        <v>0.20810519999999999</v>
      </c>
      <c r="Q20" s="1">
        <v>2.2000000000000001E-4</v>
      </c>
      <c r="R20" s="1">
        <v>40111.49</v>
      </c>
      <c r="S20" s="1">
        <v>44.6</v>
      </c>
      <c r="T20" s="1">
        <v>1.523358E-2</v>
      </c>
      <c r="U20" s="1">
        <v>1.38E-5</v>
      </c>
      <c r="V20" s="1">
        <v>-2.320151E-4</v>
      </c>
      <c r="W20" s="1">
        <v>4.0099999999999999E-5</v>
      </c>
      <c r="X20" s="1">
        <v>1.166806</v>
      </c>
      <c r="Y20" s="1">
        <v>0</v>
      </c>
      <c r="Z20" t="s">
        <v>373</v>
      </c>
      <c r="AA20" t="s">
        <v>383</v>
      </c>
      <c r="AB20">
        <v>3529</v>
      </c>
      <c r="AD20" s="1">
        <f>J20*(1-$AE$2*$P20*62415093/$R20)*(1-V20/R20)</f>
        <v>3.0872884069204601E-3</v>
      </c>
      <c r="AE20">
        <f t="shared" si="2"/>
        <v>1.8643030485150646E-6</v>
      </c>
      <c r="AF20" s="1">
        <f>N20*(1-$AE$2*$P20*62415093/$R20)*(1-V20/R20)</f>
        <v>4.2149267202569181E-2</v>
      </c>
      <c r="AG20">
        <f t="shared" si="4"/>
        <v>2.6256678424221637E-5</v>
      </c>
      <c r="AQ20" s="1"/>
      <c r="AR20" s="1"/>
      <c r="AS20" s="1"/>
      <c r="AT20" s="1"/>
      <c r="AU20" s="1"/>
      <c r="AV20" s="1"/>
    </row>
    <row r="21" spans="1:54">
      <c r="A21" t="str">
        <f t="shared" si="0"/>
        <v>[BHT] AB12-6H</v>
      </c>
      <c r="B21" t="str">
        <f>IF(NOT(ISBLANK($J21)), IF($T21&lt;Constants!$B$29,"low spike","OK"), "")</f>
        <v>low spike</v>
      </c>
      <c r="C21" t="str">
        <f>IF(NOT(ISBLANK($J21)), IF((ABS($L20-$L22)/$L20)&gt;Constants!$B$30,"variable mass bias","OK"), "")</f>
        <v>OK</v>
      </c>
      <c r="D21" t="str">
        <f>IF(NOT(ISBLANK($J21)), IF((ABS($J20-$J22)/$J20)&gt;Constants!$B$31,"variable IC yield","OK"), "")</f>
        <v>OK</v>
      </c>
      <c r="E21" s="48">
        <f>AK21</f>
        <v>552.75876174099119</v>
      </c>
      <c r="F21" s="48">
        <f>AL21</f>
        <v>0.57571854509344</v>
      </c>
      <c r="G21" s="48">
        <f>AM21</f>
        <v>1.6019751610252133</v>
      </c>
      <c r="H21" s="48">
        <f>AN21</f>
        <v>1.7272519380037931E-3</v>
      </c>
      <c r="I21" s="1"/>
      <c r="J21" s="1">
        <v>2.4163489999999999E-3</v>
      </c>
      <c r="K21" s="1">
        <v>6.3200000000000005E-7</v>
      </c>
      <c r="L21" s="1">
        <v>562.99260000000004</v>
      </c>
      <c r="M21" s="1">
        <v>0.52400000000000002</v>
      </c>
      <c r="N21" s="1">
        <v>1.3595090000000001</v>
      </c>
      <c r="O21" s="1">
        <v>1.07E-3</v>
      </c>
      <c r="P21" s="1">
        <v>2.43716</v>
      </c>
      <c r="Q21" s="1">
        <v>2.4599999999999999E-3</v>
      </c>
      <c r="R21" s="1">
        <v>367605.5</v>
      </c>
      <c r="S21" s="1">
        <v>407</v>
      </c>
      <c r="T21" s="1">
        <v>4.3290239999999999E-3</v>
      </c>
      <c r="U21" s="1">
        <v>5.8100000000000003E-6</v>
      </c>
      <c r="V21" s="1">
        <v>57.288159999999998</v>
      </c>
      <c r="W21" s="1">
        <v>2.05E-5</v>
      </c>
      <c r="X21" s="1">
        <v>0.96678280000000005</v>
      </c>
      <c r="Y21" s="1">
        <v>3.41E-9</v>
      </c>
      <c r="Z21" t="s">
        <v>319</v>
      </c>
      <c r="AA21" t="s">
        <v>371</v>
      </c>
      <c r="AB21">
        <v>3531</v>
      </c>
      <c r="AD21" s="1">
        <f t="shared" ref="AD21" si="19">J21*(1-$AE$2*$P21*62415093/$R21)*(1-V21/R21)</f>
        <v>2.4154559050707427E-3</v>
      </c>
      <c r="AE21">
        <f t="shared" si="2"/>
        <v>6.7006154789150441E-7</v>
      </c>
      <c r="AF21" s="1">
        <f t="shared" ref="AF21" si="20">N21*(1-$AE$2*$P21*62415093/$R21)*(1-V21/R21)</f>
        <v>1.3590065185313964</v>
      </c>
      <c r="AG21">
        <f t="shared" si="4"/>
        <v>1.0769564102907263E-3</v>
      </c>
      <c r="AH21" s="1"/>
      <c r="AI21" s="1">
        <f>AD21*Constants!C$22/AVERAGE(AD20,AD22)</f>
        <v>2.9000153810375714E-3</v>
      </c>
      <c r="AJ21" s="1">
        <f>AI21*SQRT((AE21/AD21)^2+((AD20-AD22)/4/AD20)^2+AVERAGE(AE20/AD20,AE22/AD22)^2)</f>
        <v>1.8719685413927977E-6</v>
      </c>
      <c r="AK21" s="1">
        <f>L21*Constants!C$20/AVERAGE(L20,L22)</f>
        <v>552.75876174099119</v>
      </c>
      <c r="AL21">
        <f>AK21*SQRT(((M21/L21)^2+((L20-L22)/4/L20)^2)+AVERAGE(M20/L20,M22/L22)^2)</f>
        <v>0.57571854509344</v>
      </c>
      <c r="AM21" s="1">
        <f>AF21*Constants!C$21/AVERAGE(AF20,AF22)</f>
        <v>1.6019751610252133</v>
      </c>
      <c r="AN21" s="1">
        <f>AM21*SQRT(((AG21/AF21)^2+((AF20-AF22)/AF20/4)^2)+AVERAGE(AG20/AF20,AG22/AF22)^2)</f>
        <v>1.7272519380037931E-3</v>
      </c>
      <c r="AP21">
        <f>$K21/$J21</f>
        <v>2.6155162188905664E-4</v>
      </c>
      <c r="AQ21">
        <f>$AE21/$AD21</f>
        <v>2.7740582905481768E-4</v>
      </c>
      <c r="AR21">
        <f>$AJ21/$AI21</f>
        <v>6.4550296996116006E-4</v>
      </c>
      <c r="AS21">
        <f>$O21/$N21</f>
        <v>7.8704885366702242E-4</v>
      </c>
      <c r="AT21">
        <f>$AG21/$AF21</f>
        <v>7.9245860531598766E-4</v>
      </c>
      <c r="AU21">
        <f>$AN21/$AM21</f>
        <v>1.0782014478291952E-3</v>
      </c>
      <c r="AV21" s="1"/>
      <c r="AW21" s="75">
        <f>$AP21/$AR21</f>
        <v>0.40519042368588049</v>
      </c>
      <c r="AX21" s="75">
        <f>$AQ21/$AR21-$AW21</f>
        <v>2.4561013509689977E-2</v>
      </c>
      <c r="AY21" s="75">
        <f>$AR21/$AR21-$AX21-$AW21</f>
        <v>0.57024856280442959</v>
      </c>
      <c r="AZ21" s="75">
        <f>$AS21/$AU21</f>
        <v>0.72996456761547945</v>
      </c>
      <c r="BA21" s="75">
        <f>$AT21/$AU21-$AZ21</f>
        <v>5.0173848865229242E-3</v>
      </c>
      <c r="BB21" s="75">
        <f>$AU21/$AU21-$BA21-$AZ21</f>
        <v>0.26501804749799762</v>
      </c>
    </row>
    <row r="22" spans="1:54">
      <c r="A22" t="str">
        <f t="shared" si="0"/>
        <v>MITh2 247 pg/g</v>
      </c>
      <c r="J22" s="1">
        <v>3.0883479999999999E-3</v>
      </c>
      <c r="K22" s="1">
        <v>1.72E-6</v>
      </c>
      <c r="L22" s="1">
        <v>13.64668</v>
      </c>
      <c r="M22" s="1">
        <v>7.5700000000000003E-3</v>
      </c>
      <c r="N22" s="1">
        <v>4.2145740000000001E-2</v>
      </c>
      <c r="O22" s="1">
        <v>3.5099999999999999E-5</v>
      </c>
      <c r="P22" s="1">
        <v>0.21394669999999999</v>
      </c>
      <c r="Q22" s="1">
        <v>7.2400000000000003E-4</v>
      </c>
      <c r="R22" s="1">
        <v>41245.199999999997</v>
      </c>
      <c r="S22" s="1">
        <v>146</v>
      </c>
      <c r="T22" s="1">
        <v>1.5677759999999999E-2</v>
      </c>
      <c r="U22" s="1">
        <v>5.4400000000000001E-5</v>
      </c>
      <c r="V22" s="1">
        <v>-1.696252E-4</v>
      </c>
      <c r="W22" s="1">
        <v>3.5599999999999998E-5</v>
      </c>
      <c r="X22" s="1">
        <v>0.85010169999999996</v>
      </c>
      <c r="Y22" s="1">
        <v>2.64E-9</v>
      </c>
      <c r="Z22" t="s">
        <v>373</v>
      </c>
      <c r="AA22" t="s">
        <v>384</v>
      </c>
      <c r="AB22">
        <v>3533</v>
      </c>
      <c r="AD22" s="1">
        <f>J22*(1-$AE$2*$P22*62415093/$R22)*(1-V22/R22)</f>
        <v>3.0878314084158971E-3</v>
      </c>
      <c r="AE22">
        <f t="shared" si="2"/>
        <v>1.724628280008161E-6</v>
      </c>
      <c r="AF22" s="1">
        <f>N22*(1-$AE$2*$P22*62415093/$R22)*(1-V22/R22)</f>
        <v>4.2138690232749104E-2</v>
      </c>
      <c r="AG22">
        <f t="shared" si="4"/>
        <v>3.5139027039116636E-5</v>
      </c>
      <c r="AQ22" s="1"/>
      <c r="AR22" s="1"/>
      <c r="AS22" s="1"/>
      <c r="AT22" s="1"/>
      <c r="AU22" s="1"/>
      <c r="AV22" s="1"/>
    </row>
    <row r="23" spans="1:54">
      <c r="A23" t="str">
        <f t="shared" si="0"/>
        <v>[BHT] AB10-bot</v>
      </c>
      <c r="B23" t="str">
        <f>IF(NOT(ISBLANK($J23)), IF($T23&lt;Constants!$B$29,"low spike","OK"), "")</f>
        <v>low spike</v>
      </c>
      <c r="C23" t="str">
        <f>IF(NOT(ISBLANK($J23)), IF((ABS($L22-$L24)/$L22)&gt;Constants!$B$30,"variable mass bias","OK"), "")</f>
        <v>variable mass bias</v>
      </c>
      <c r="D23" t="str">
        <f>IF(NOT(ISBLANK($J23)), IF((ABS($J22-$J24)/$J22)&gt;Constants!$B$31,"variable IC yield","OK"), "")</f>
        <v>OK</v>
      </c>
      <c r="E23" s="48">
        <f>AK23</f>
        <v>137.72149364156232</v>
      </c>
      <c r="F23" s="48">
        <f>AL23</f>
        <v>0.16724546645701266</v>
      </c>
      <c r="G23" s="48">
        <f>AM23</f>
        <v>0.16397440834936902</v>
      </c>
      <c r="H23" s="48">
        <f>AN23</f>
        <v>2.4842512216982963E-4</v>
      </c>
      <c r="I23" s="1"/>
      <c r="J23" s="1">
        <v>8.931268E-4</v>
      </c>
      <c r="K23" s="1">
        <v>6.3800000000000006E-5</v>
      </c>
      <c r="L23" s="1">
        <v>140.309</v>
      </c>
      <c r="M23" s="1">
        <v>0.152</v>
      </c>
      <c r="N23" s="1">
        <v>0.1394118</v>
      </c>
      <c r="O23" s="1">
        <v>1.6699999999999999E-4</v>
      </c>
      <c r="P23" s="1">
        <v>0.50484560000000001</v>
      </c>
      <c r="Q23" s="1">
        <v>5.7700000000000004E-4</v>
      </c>
      <c r="R23" s="1">
        <v>31283.119999999999</v>
      </c>
      <c r="S23" s="1">
        <v>41.7</v>
      </c>
      <c r="T23" s="1">
        <v>3.5948220000000001E-3</v>
      </c>
      <c r="U23" s="1">
        <v>3.9400000000000004E-6</v>
      </c>
      <c r="V23" s="1">
        <v>50.69782</v>
      </c>
      <c r="W23" s="1">
        <v>5.3800000000000001E-2</v>
      </c>
      <c r="X23" s="1">
        <v>1.3168249999999999</v>
      </c>
      <c r="Y23" s="1">
        <v>9.3100000000000003E-9</v>
      </c>
      <c r="Z23" t="s">
        <v>321</v>
      </c>
      <c r="AA23" t="s">
        <v>372</v>
      </c>
      <c r="AB23">
        <v>3535</v>
      </c>
      <c r="AD23" s="1">
        <f t="shared" ref="AD23" si="21">J23*(1-$AE$2*$P23*62415093/$R23)*(1-V23/R23)</f>
        <v>8.912153458959203E-4</v>
      </c>
      <c r="AE23">
        <f t="shared" si="2"/>
        <v>6.3665250482347206E-5</v>
      </c>
      <c r="AF23" s="1">
        <f t="shared" ref="AF23" si="22">N23*(1-$AE$2*$P23*62415093/$R23)*(1-V23/R23)</f>
        <v>0.13911343334336498</v>
      </c>
      <c r="AG23">
        <f t="shared" si="4"/>
        <v>1.8258097430392904E-4</v>
      </c>
      <c r="AH23" s="1"/>
      <c r="AI23" s="1">
        <f>AD23*Constants!C$22/AVERAGE(AD22,AD24)</f>
        <v>1.070221312238442E-3</v>
      </c>
      <c r="AJ23" s="1">
        <f>AI23*SQRT((AE23/AD23)^2+((AD22-AD24)/4/AD22)^2+AVERAGE(AE22/AD22,AE24/AD24)^2)</f>
        <v>7.6455102159987527E-5</v>
      </c>
      <c r="AK23" s="1">
        <f>L23*Constants!C$20/AVERAGE(L22,L24)</f>
        <v>137.72149364156232</v>
      </c>
      <c r="AL23">
        <f>AK23*SQRT(((M23/L23)^2+((L22-L24)/4/L22)^2)+AVERAGE(M22/L22,M24/L24)^2)</f>
        <v>0.16724546645701266</v>
      </c>
      <c r="AM23" s="1">
        <f>AF23*Constants!C$21/AVERAGE(AF22,AF24)</f>
        <v>0.16397440834936902</v>
      </c>
      <c r="AN23" s="1">
        <f>AM23*SQRT(((AG23/AF23)^2+((AF22-AF24)/AF22/4)^2)+AVERAGE(AG22/AF22,AG24/AF24)^2)</f>
        <v>2.4842512216982963E-4</v>
      </c>
      <c r="AP23">
        <f>$K23/$J23</f>
        <v>7.143442566049972E-2</v>
      </c>
      <c r="AQ23">
        <f>$AE23/$AD23</f>
        <v>7.1436438763681581E-2</v>
      </c>
      <c r="AR23">
        <f>$AJ23/$AI23</f>
        <v>7.143859058466738E-2</v>
      </c>
      <c r="AS23">
        <f>$O23/$N23</f>
        <v>1.1978899920953607E-3</v>
      </c>
      <c r="AT23">
        <f>$AG23/$AF23</f>
        <v>1.312461132730984E-3</v>
      </c>
      <c r="AU23">
        <f>$AN23/$AM23</f>
        <v>1.5150237446841539E-3</v>
      </c>
      <c r="AV23" s="1"/>
      <c r="AW23" s="75">
        <f>$AP23/$AR23</f>
        <v>0.99994169923939469</v>
      </c>
      <c r="AX23" s="75">
        <f>$AQ23/$AR23-$AW23</f>
        <v>2.8179491859847694E-5</v>
      </c>
      <c r="AY23" s="75">
        <f>$AR23/$AR23-$AX23-$AW23</f>
        <v>3.0121268745464391E-5</v>
      </c>
      <c r="AZ23" s="75">
        <f>$AS23/$AU23</f>
        <v>0.79067407114803467</v>
      </c>
      <c r="BA23" s="75">
        <f>$AT23/$AU23-$AZ23</f>
        <v>7.5623330022136837E-2</v>
      </c>
      <c r="BB23" s="75">
        <f>$AU23/$AU23-$BA23-$AZ23</f>
        <v>0.13370259882982849</v>
      </c>
    </row>
    <row r="24" spans="1:54">
      <c r="A24" t="str">
        <f t="shared" si="0"/>
        <v>MITh2 247 pg/g</v>
      </c>
      <c r="J24" s="1">
        <v>3.0865290000000002E-3</v>
      </c>
      <c r="K24" s="1">
        <v>1.57E-6</v>
      </c>
      <c r="L24" s="1">
        <v>13.659879999999999</v>
      </c>
      <c r="M24" s="1">
        <v>5.8799999999999998E-3</v>
      </c>
      <c r="N24" s="1">
        <v>4.2161610000000002E-2</v>
      </c>
      <c r="O24" s="1">
        <v>2.8099999999999999E-5</v>
      </c>
      <c r="P24" s="1">
        <v>0.2138854</v>
      </c>
      <c r="Q24" s="1">
        <v>5.6599999999999999E-4</v>
      </c>
      <c r="R24" s="1">
        <v>41208.660000000003</v>
      </c>
      <c r="S24" s="1">
        <v>110</v>
      </c>
      <c r="T24" s="1">
        <v>1.5657879999999999E-2</v>
      </c>
      <c r="U24" s="1">
        <v>4.0099999999999999E-5</v>
      </c>
      <c r="V24" s="1">
        <v>7.4223339999999994E-5</v>
      </c>
      <c r="W24" s="1">
        <v>1.8499999999999999E-5</v>
      </c>
      <c r="X24" s="1">
        <v>2.4169559999999999</v>
      </c>
      <c r="Y24" s="1">
        <v>2.4100000000000002E-9</v>
      </c>
      <c r="Z24" t="s">
        <v>373</v>
      </c>
      <c r="AA24" t="s">
        <v>385</v>
      </c>
      <c r="AB24">
        <v>3537</v>
      </c>
      <c r="AD24" s="1">
        <f>J24*(1-$AE$2*$P24*62415093/$R24)*(1-V24/R24)</f>
        <v>3.0860123846868951E-3</v>
      </c>
      <c r="AE24">
        <f t="shared" si="2"/>
        <v>1.5756913401470485E-6</v>
      </c>
      <c r="AF24" s="1">
        <f>N24*(1-$AE$2*$P24*62415093/$R24)*(1-V24/R24)</f>
        <v>4.2154553097780337E-2</v>
      </c>
      <c r="AG24">
        <f t="shared" si="4"/>
        <v>2.81574190278722E-5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8">
        <f>AK25</f>
        <v>0</v>
      </c>
      <c r="F25" s="48" t="e">
        <f>AL25</f>
        <v>#DIV/0!</v>
      </c>
      <c r="G25" s="48" t="e">
        <f>AM25</f>
        <v>#DIV/0!</v>
      </c>
      <c r="H25" s="48" t="e">
        <f>AN25</f>
        <v>#DIV/0!</v>
      </c>
      <c r="I25" s="1"/>
      <c r="J25" s="59"/>
      <c r="K25" s="59"/>
      <c r="L25" s="59"/>
      <c r="M25" s="59"/>
      <c r="N25" s="59"/>
      <c r="O25" s="59"/>
      <c r="P25" s="59"/>
      <c r="Q25" s="59"/>
      <c r="R25" s="59"/>
      <c r="S25" s="59"/>
      <c r="T25" s="59"/>
      <c r="U25" s="59"/>
      <c r="V25" s="59"/>
      <c r="W25" s="59"/>
      <c r="X25" s="59"/>
      <c r="Y25" s="59"/>
      <c r="Z25" s="60"/>
      <c r="AA25" s="60"/>
      <c r="AB25" s="60"/>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75" t="e">
        <f>$AP25/$AR25</f>
        <v>#DIV/0!</v>
      </c>
      <c r="AX25" s="75" t="e">
        <f>$AQ25/$AR25-$AW25</f>
        <v>#DIV/0!</v>
      </c>
      <c r="AY25" s="75" t="e">
        <f>$AR25/$AR25-$AX25-$AW25</f>
        <v>#DIV/0!</v>
      </c>
      <c r="AZ25" s="75" t="e">
        <f>$AS25/$AU25</f>
        <v>#DIV/0!</v>
      </c>
      <c r="BA25" s="75" t="e">
        <f>$AT25/$AU25-$AZ25</f>
        <v>#DIV/0!</v>
      </c>
      <c r="BB25" s="75" t="e">
        <f>$AU25/$AU25-$BA25-$AZ25</f>
        <v>#DIV/0!</v>
      </c>
    </row>
    <row r="26" spans="1:54">
      <c r="A26">
        <f t="shared" si="23"/>
        <v>0</v>
      </c>
      <c r="J26" s="59"/>
      <c r="K26" s="59"/>
      <c r="L26" s="59"/>
      <c r="M26" s="59"/>
      <c r="N26" s="59"/>
      <c r="O26" s="59"/>
      <c r="P26" s="59"/>
      <c r="Q26" s="59"/>
      <c r="R26" s="59"/>
      <c r="S26" s="59"/>
      <c r="T26" s="59"/>
      <c r="U26" s="59"/>
      <c r="V26" s="59"/>
      <c r="W26" s="59"/>
      <c r="X26" s="59"/>
      <c r="Y26" s="59"/>
      <c r="Z26" s="60"/>
      <c r="AA26" s="60"/>
      <c r="AB26" s="60"/>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8" t="e">
        <f>AK27</f>
        <v>#DIV/0!</v>
      </c>
      <c r="F27" s="48" t="e">
        <f>AL27</f>
        <v>#DIV/0!</v>
      </c>
      <c r="G27" s="48" t="e">
        <f>AM27</f>
        <v>#DIV/0!</v>
      </c>
      <c r="H27" s="48" t="e">
        <f>AN27</f>
        <v>#DIV/0!</v>
      </c>
      <c r="I27" s="1"/>
      <c r="J27" s="59"/>
      <c r="K27" s="59"/>
      <c r="L27" s="59"/>
      <c r="M27" s="59"/>
      <c r="N27" s="59"/>
      <c r="O27" s="59"/>
      <c r="P27" s="59"/>
      <c r="Q27" s="59"/>
      <c r="R27" s="59"/>
      <c r="S27" s="59"/>
      <c r="T27" s="59"/>
      <c r="U27" s="59"/>
      <c r="V27" s="59"/>
      <c r="W27" s="59"/>
      <c r="X27" s="59"/>
      <c r="Y27" s="59"/>
      <c r="Z27" s="60"/>
      <c r="AA27" s="60"/>
      <c r="AB27" s="60"/>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75" t="e">
        <f>$AP27/$AR27</f>
        <v>#DIV/0!</v>
      </c>
      <c r="AX27" s="75" t="e">
        <f>$AQ27/$AR27-$AW27</f>
        <v>#DIV/0!</v>
      </c>
      <c r="AY27" s="75" t="e">
        <f>$AR27/$AR27-$AX27-$AW27</f>
        <v>#DIV/0!</v>
      </c>
      <c r="AZ27" s="75" t="e">
        <f>$AS27/$AU27</f>
        <v>#DIV/0!</v>
      </c>
      <c r="BA27" s="75" t="e">
        <f>$AT27/$AU27-$AZ27</f>
        <v>#DIV/0!</v>
      </c>
      <c r="BB27" s="75" t="e">
        <f>$AU27/$AU27-$BA27-$AZ27</f>
        <v>#DIV/0!</v>
      </c>
    </row>
    <row r="28" spans="1:54">
      <c r="A28">
        <f t="shared" si="23"/>
        <v>0</v>
      </c>
      <c r="J28" s="59"/>
      <c r="K28" s="59"/>
      <c r="L28" s="59"/>
      <c r="M28" s="59"/>
      <c r="N28" s="59"/>
      <c r="O28" s="59"/>
      <c r="P28" s="59"/>
      <c r="Q28" s="59"/>
      <c r="R28" s="59"/>
      <c r="S28" s="59"/>
      <c r="T28" s="59"/>
      <c r="U28" s="59"/>
      <c r="V28" s="59"/>
      <c r="W28" s="59"/>
      <c r="X28" s="59"/>
      <c r="Y28" s="59"/>
      <c r="Z28" s="60"/>
      <c r="AA28" s="60"/>
      <c r="AB28" s="60"/>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8" t="e">
        <f>AK29</f>
        <v>#DIV/0!</v>
      </c>
      <c r="F29" s="48" t="e">
        <f>AL29</f>
        <v>#DIV/0!</v>
      </c>
      <c r="G29" s="48" t="e">
        <f>AM29</f>
        <v>#DIV/0!</v>
      </c>
      <c r="H29" s="48" t="e">
        <f>AN29</f>
        <v>#DIV/0!</v>
      </c>
      <c r="I29" s="1"/>
      <c r="J29" s="59"/>
      <c r="K29" s="59"/>
      <c r="L29" s="59"/>
      <c r="M29" s="59"/>
      <c r="N29" s="59"/>
      <c r="O29" s="59"/>
      <c r="P29" s="59"/>
      <c r="Q29" s="59"/>
      <c r="R29" s="59"/>
      <c r="S29" s="59"/>
      <c r="T29" s="59"/>
      <c r="U29" s="59"/>
      <c r="V29" s="59"/>
      <c r="W29" s="59"/>
      <c r="X29" s="59"/>
      <c r="Y29" s="59"/>
      <c r="Z29" s="60"/>
      <c r="AA29" s="60"/>
      <c r="AB29" s="60"/>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75" t="e">
        <f>$AP29/$AR29</f>
        <v>#DIV/0!</v>
      </c>
      <c r="AX29" s="75" t="e">
        <f>$AQ29/$AR29-$AW29</f>
        <v>#DIV/0!</v>
      </c>
      <c r="AY29" s="75" t="e">
        <f>$AR29/$AR29-$AX29-$AW29</f>
        <v>#DIV/0!</v>
      </c>
      <c r="AZ29" s="75" t="e">
        <f>$AS29/$AU29</f>
        <v>#DIV/0!</v>
      </c>
      <c r="BA29" s="75" t="e">
        <f>$AT29/$AU29-$AZ29</f>
        <v>#DIV/0!</v>
      </c>
      <c r="BB29" s="75" t="e">
        <f>$AU29/$AU29-$BA29-$AZ29</f>
        <v>#DIV/0!</v>
      </c>
    </row>
    <row r="30" spans="1:54">
      <c r="A30">
        <f t="shared" si="23"/>
        <v>0</v>
      </c>
      <c r="J30" s="59"/>
      <c r="K30" s="59"/>
      <c r="L30" s="59"/>
      <c r="M30" s="59"/>
      <c r="N30" s="59"/>
      <c r="O30" s="59"/>
      <c r="P30" s="59"/>
      <c r="Q30" s="59"/>
      <c r="R30" s="59"/>
      <c r="S30" s="59"/>
      <c r="T30" s="59"/>
      <c r="U30" s="59"/>
      <c r="V30" s="59"/>
      <c r="W30" s="59"/>
      <c r="X30" s="59"/>
      <c r="Y30" s="59"/>
      <c r="Z30" s="60"/>
      <c r="AA30" s="60"/>
      <c r="AB30" s="60"/>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8" t="e">
        <f>AK31</f>
        <v>#DIV/0!</v>
      </c>
      <c r="F31" s="48" t="e">
        <f>AL31</f>
        <v>#DIV/0!</v>
      </c>
      <c r="G31" s="48" t="e">
        <f>AM31</f>
        <v>#DIV/0!</v>
      </c>
      <c r="H31" s="48" t="e">
        <f>AN31</f>
        <v>#DIV/0!</v>
      </c>
      <c r="I31" s="1"/>
      <c r="J31" s="59"/>
      <c r="K31" s="59"/>
      <c r="L31" s="59"/>
      <c r="M31" s="59"/>
      <c r="N31" s="59"/>
      <c r="O31" s="59"/>
      <c r="P31" s="59"/>
      <c r="Q31" s="59"/>
      <c r="R31" s="59"/>
      <c r="S31" s="59"/>
      <c r="T31" s="59"/>
      <c r="U31" s="59"/>
      <c r="V31" s="59"/>
      <c r="W31" s="59"/>
      <c r="X31" s="59"/>
      <c r="Y31" s="59"/>
      <c r="Z31" s="60"/>
      <c r="AA31" s="60"/>
      <c r="AB31" s="60"/>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75" t="e">
        <f>$AP31/$AR31</f>
        <v>#DIV/0!</v>
      </c>
      <c r="AX31" s="75" t="e">
        <f>$AQ31/$AR31-$AW31</f>
        <v>#DIV/0!</v>
      </c>
      <c r="AY31" s="75" t="e">
        <f>$AR31/$AR31-$AX31-$AW31</f>
        <v>#DIV/0!</v>
      </c>
      <c r="AZ31" s="75" t="e">
        <f>$AS31/$AU31</f>
        <v>#DIV/0!</v>
      </c>
      <c r="BA31" s="75" t="e">
        <f>$AT31/$AU31-$AZ31</f>
        <v>#DIV/0!</v>
      </c>
      <c r="BB31" s="75" t="e">
        <f>$AU31/$AU31-$BA31-$AZ31</f>
        <v>#DIV/0!</v>
      </c>
    </row>
    <row r="32" spans="1:54">
      <c r="A32">
        <f t="shared" si="23"/>
        <v>0</v>
      </c>
      <c r="J32" s="59"/>
      <c r="K32" s="59"/>
      <c r="L32" s="59"/>
      <c r="M32" s="59"/>
      <c r="N32" s="59"/>
      <c r="O32" s="59"/>
      <c r="P32" s="59"/>
      <c r="Q32" s="59"/>
      <c r="R32" s="59"/>
      <c r="S32" s="59"/>
      <c r="T32" s="59"/>
      <c r="U32" s="59"/>
      <c r="V32" s="59"/>
      <c r="W32" s="59"/>
      <c r="X32" s="59"/>
      <c r="Y32" s="59"/>
      <c r="Z32" s="60"/>
      <c r="AA32" s="60"/>
      <c r="AB32" s="60"/>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8" t="e">
        <f>AK33</f>
        <v>#DIV/0!</v>
      </c>
      <c r="F33" s="48" t="e">
        <f>AL33</f>
        <v>#DIV/0!</v>
      </c>
      <c r="G33" s="48" t="e">
        <f>AM33</f>
        <v>#DIV/0!</v>
      </c>
      <c r="H33" s="48" t="e">
        <f>AN33</f>
        <v>#DIV/0!</v>
      </c>
      <c r="I33" s="1"/>
      <c r="J33" s="59"/>
      <c r="K33" s="59"/>
      <c r="L33" s="59"/>
      <c r="M33" s="59"/>
      <c r="N33" s="59"/>
      <c r="O33" s="59"/>
      <c r="P33" s="59"/>
      <c r="Q33" s="59"/>
      <c r="R33" s="59"/>
      <c r="S33" s="59"/>
      <c r="T33" s="59"/>
      <c r="U33" s="59"/>
      <c r="V33" s="59"/>
      <c r="W33" s="59"/>
      <c r="X33" s="59"/>
      <c r="Y33" s="59"/>
      <c r="Z33" s="60"/>
      <c r="AA33" s="60"/>
      <c r="AB33" s="60"/>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75" t="e">
        <f>$AP33/$AR33</f>
        <v>#DIV/0!</v>
      </c>
      <c r="AX33" s="75" t="e">
        <f>$AQ33/$AR33-$AW33</f>
        <v>#DIV/0!</v>
      </c>
      <c r="AY33" s="75" t="e">
        <f>$AR33/$AR33-$AX33-$AW33</f>
        <v>#DIV/0!</v>
      </c>
      <c r="AZ33" s="75" t="e">
        <f>$AS33/$AU33</f>
        <v>#DIV/0!</v>
      </c>
      <c r="BA33" s="75" t="e">
        <f>$AT33/$AU33-$AZ33</f>
        <v>#DIV/0!</v>
      </c>
      <c r="BB33" s="75" t="e">
        <f>$AU33/$AU33-$BA33-$AZ33</f>
        <v>#DIV/0!</v>
      </c>
    </row>
    <row r="34" spans="1:54">
      <c r="A34">
        <f t="shared" si="23"/>
        <v>0</v>
      </c>
      <c r="J34" s="59"/>
      <c r="K34" s="59"/>
      <c r="L34" s="59"/>
      <c r="M34" s="59"/>
      <c r="N34" s="59"/>
      <c r="O34" s="59"/>
      <c r="P34" s="59"/>
      <c r="Q34" s="59"/>
      <c r="R34" s="59"/>
      <c r="S34" s="59"/>
      <c r="T34" s="59"/>
      <c r="U34" s="59"/>
      <c r="V34" s="59"/>
      <c r="W34" s="59"/>
      <c r="X34" s="59"/>
      <c r="Y34" s="59"/>
      <c r="Z34" s="60"/>
      <c r="AA34" s="60"/>
      <c r="AB34" s="60"/>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8" t="e">
        <f>AK35</f>
        <v>#DIV/0!</v>
      </c>
      <c r="F35" s="48" t="e">
        <f>AL35</f>
        <v>#DIV/0!</v>
      </c>
      <c r="G35" s="48" t="e">
        <f>AM35</f>
        <v>#DIV/0!</v>
      </c>
      <c r="H35" s="48" t="e">
        <f>AN35</f>
        <v>#DIV/0!</v>
      </c>
      <c r="I35" s="1"/>
      <c r="J35" s="59"/>
      <c r="K35" s="59"/>
      <c r="L35" s="59"/>
      <c r="M35" s="59"/>
      <c r="N35" s="59"/>
      <c r="O35" s="59"/>
      <c r="P35" s="59"/>
      <c r="Q35" s="59"/>
      <c r="R35" s="59"/>
      <c r="S35" s="59"/>
      <c r="T35" s="59"/>
      <c r="U35" s="59"/>
      <c r="V35" s="59"/>
      <c r="W35" s="59"/>
      <c r="X35" s="59"/>
      <c r="Y35" s="59"/>
      <c r="Z35" s="60"/>
      <c r="AA35" s="60"/>
      <c r="AB35" s="60"/>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75" t="e">
        <f>$AP35/$AR35</f>
        <v>#DIV/0!</v>
      </c>
      <c r="AX35" s="75" t="e">
        <f>$AQ35/$AR35-$AW35</f>
        <v>#DIV/0!</v>
      </c>
      <c r="AY35" s="75" t="e">
        <f>$AR35/$AR35-$AX35-$AW35</f>
        <v>#DIV/0!</v>
      </c>
      <c r="AZ35" s="75" t="e">
        <f>$AS35/$AU35</f>
        <v>#DIV/0!</v>
      </c>
      <c r="BA35" s="75" t="e">
        <f>$AT35/$AU35-$AZ35</f>
        <v>#DIV/0!</v>
      </c>
      <c r="BB35" s="75" t="e">
        <f>$AU35/$AU35-$BA35-$AZ35</f>
        <v>#DIV/0!</v>
      </c>
    </row>
    <row r="36" spans="1:54">
      <c r="A36">
        <f t="shared" si="23"/>
        <v>0</v>
      </c>
      <c r="J36" s="59"/>
      <c r="K36" s="59"/>
      <c r="L36" s="59"/>
      <c r="M36" s="59"/>
      <c r="N36" s="59"/>
      <c r="O36" s="59"/>
      <c r="P36" s="59"/>
      <c r="Q36" s="59"/>
      <c r="R36" s="59"/>
      <c r="S36" s="59"/>
      <c r="T36" s="59"/>
      <c r="U36" s="59"/>
      <c r="V36" s="59"/>
      <c r="W36" s="59"/>
      <c r="X36" s="59"/>
      <c r="Y36" s="59"/>
      <c r="Z36" s="60"/>
      <c r="AA36" s="60"/>
      <c r="AB36" s="60"/>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8" t="e">
        <f>AK37</f>
        <v>#DIV/0!</v>
      </c>
      <c r="F37" s="48" t="e">
        <f>AL37</f>
        <v>#DIV/0!</v>
      </c>
      <c r="G37" s="48" t="e">
        <f>AM37</f>
        <v>#DIV/0!</v>
      </c>
      <c r="H37" s="48" t="e">
        <f>AN37</f>
        <v>#DIV/0!</v>
      </c>
      <c r="I37" s="1"/>
      <c r="J37" s="59"/>
      <c r="K37" s="59"/>
      <c r="L37" s="59"/>
      <c r="M37" s="59"/>
      <c r="N37" s="59"/>
      <c r="O37" s="59"/>
      <c r="P37" s="59"/>
      <c r="Q37" s="59"/>
      <c r="R37" s="59"/>
      <c r="S37" s="59"/>
      <c r="T37" s="59"/>
      <c r="U37" s="59"/>
      <c r="V37" s="59"/>
      <c r="W37" s="59"/>
      <c r="X37" s="59"/>
      <c r="Y37" s="59"/>
      <c r="Z37" s="60"/>
      <c r="AA37" s="60"/>
      <c r="AB37" s="60"/>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75" t="e">
        <f>$AP37/$AR37</f>
        <v>#DIV/0!</v>
      </c>
      <c r="AX37" s="75" t="e">
        <f>$AQ37/$AR37-$AW37</f>
        <v>#DIV/0!</v>
      </c>
      <c r="AY37" s="75" t="e">
        <f>$AR37/$AR37-$AX37-$AW37</f>
        <v>#DIV/0!</v>
      </c>
      <c r="AZ37" s="75" t="e">
        <f>$AS37/$AU37</f>
        <v>#DIV/0!</v>
      </c>
      <c r="BA37" s="75" t="e">
        <f>$AT37/$AU37-$AZ37</f>
        <v>#DIV/0!</v>
      </c>
      <c r="BB37" s="75" t="e">
        <f>$AU37/$AU37-$BA37-$AZ37</f>
        <v>#DIV/0!</v>
      </c>
    </row>
    <row r="38" spans="1:54">
      <c r="A38">
        <f t="shared" si="23"/>
        <v>0</v>
      </c>
      <c r="J38" s="59"/>
      <c r="K38" s="59"/>
      <c r="L38" s="59"/>
      <c r="M38" s="59"/>
      <c r="N38" s="59"/>
      <c r="O38" s="59"/>
      <c r="P38" s="59"/>
      <c r="Q38" s="59"/>
      <c r="R38" s="59"/>
      <c r="S38" s="59"/>
      <c r="T38" s="59"/>
      <c r="U38" s="59"/>
      <c r="V38" s="59"/>
      <c r="W38" s="59"/>
      <c r="X38" s="59"/>
      <c r="Y38" s="59"/>
      <c r="Z38" s="60"/>
      <c r="AA38" s="60"/>
      <c r="AB38" s="60"/>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8" t="e">
        <f>AK39</f>
        <v>#DIV/0!</v>
      </c>
      <c r="F39" s="48" t="e">
        <f>AL39</f>
        <v>#DIV/0!</v>
      </c>
      <c r="G39" s="48" t="e">
        <f>AM39</f>
        <v>#DIV/0!</v>
      </c>
      <c r="H39" s="48" t="e">
        <f>AN39</f>
        <v>#DIV/0!</v>
      </c>
      <c r="I39" s="1"/>
      <c r="J39" s="59"/>
      <c r="K39" s="59"/>
      <c r="L39" s="59"/>
      <c r="M39" s="59"/>
      <c r="N39" s="59"/>
      <c r="O39" s="59"/>
      <c r="P39" s="59"/>
      <c r="Q39" s="59"/>
      <c r="R39" s="59"/>
      <c r="S39" s="59"/>
      <c r="T39" s="59"/>
      <c r="U39" s="59"/>
      <c r="V39" s="59"/>
      <c r="W39" s="59"/>
      <c r="X39" s="59"/>
      <c r="Y39" s="59"/>
      <c r="Z39" s="60"/>
      <c r="AA39" s="60"/>
      <c r="AB39" s="60"/>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75" t="e">
        <f>$AP39/$AR39</f>
        <v>#DIV/0!</v>
      </c>
      <c r="AX39" s="75" t="e">
        <f>$AQ39/$AR39-$AW39</f>
        <v>#DIV/0!</v>
      </c>
      <c r="AY39" s="75" t="e">
        <f>$AR39/$AR39-$AX39-$AW39</f>
        <v>#DIV/0!</v>
      </c>
      <c r="AZ39" s="75" t="e">
        <f>$AS39/$AU39</f>
        <v>#DIV/0!</v>
      </c>
      <c r="BA39" s="75" t="e">
        <f>$AT39/$AU39-$AZ39</f>
        <v>#DIV/0!</v>
      </c>
      <c r="BB39" s="75" t="e">
        <f>$AU39/$AU39-$BA39-$AZ39</f>
        <v>#DIV/0!</v>
      </c>
    </row>
    <row r="40" spans="1:54">
      <c r="A40">
        <f t="shared" si="23"/>
        <v>0</v>
      </c>
      <c r="J40" s="59"/>
      <c r="K40" s="59"/>
      <c r="L40" s="59"/>
      <c r="M40" s="59"/>
      <c r="N40" s="59"/>
      <c r="O40" s="59"/>
      <c r="P40" s="59"/>
      <c r="Q40" s="59"/>
      <c r="R40" s="59"/>
      <c r="S40" s="59"/>
      <c r="T40" s="59"/>
      <c r="U40" s="59"/>
      <c r="V40" s="59"/>
      <c r="W40" s="59"/>
      <c r="X40" s="59"/>
      <c r="Y40" s="59"/>
      <c r="Z40" s="60"/>
      <c r="AA40" s="60"/>
      <c r="AB40" s="60"/>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8" t="e">
        <f>AK41</f>
        <v>#DIV/0!</v>
      </c>
      <c r="F41" s="48" t="e">
        <f>AL41</f>
        <v>#DIV/0!</v>
      </c>
      <c r="G41" s="48" t="e">
        <f>AM41</f>
        <v>#DIV/0!</v>
      </c>
      <c r="H41" s="48" t="e">
        <f>AN41</f>
        <v>#DIV/0!</v>
      </c>
      <c r="I41" s="1"/>
      <c r="J41" s="59"/>
      <c r="K41" s="59"/>
      <c r="L41" s="59"/>
      <c r="M41" s="59"/>
      <c r="N41" s="59"/>
      <c r="O41" s="59"/>
      <c r="P41" s="59"/>
      <c r="Q41" s="59"/>
      <c r="R41" s="59"/>
      <c r="S41" s="59"/>
      <c r="T41" s="59"/>
      <c r="U41" s="59"/>
      <c r="V41" s="59"/>
      <c r="W41" s="59"/>
      <c r="X41" s="59"/>
      <c r="Y41" s="59"/>
      <c r="Z41" s="60"/>
      <c r="AA41" s="60"/>
      <c r="AB41" s="60"/>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75" t="e">
        <f>$AP41/$AR41</f>
        <v>#DIV/0!</v>
      </c>
      <c r="AX41" s="75" t="e">
        <f>$AQ41/$AR41-$AW41</f>
        <v>#DIV/0!</v>
      </c>
      <c r="AY41" s="75" t="e">
        <f>$AR41/$AR41-$AX41-$AW41</f>
        <v>#DIV/0!</v>
      </c>
      <c r="AZ41" s="75" t="e">
        <f>$AS41/$AU41</f>
        <v>#DIV/0!</v>
      </c>
      <c r="BA41" s="75" t="e">
        <f>$AT41/$AU41-$AZ41</f>
        <v>#DIV/0!</v>
      </c>
      <c r="BB41" s="75" t="e">
        <f>$AU41/$AU41-$BA41-$AZ41</f>
        <v>#DIV/0!</v>
      </c>
    </row>
    <row r="42" spans="1:54">
      <c r="A42">
        <f t="shared" si="23"/>
        <v>0</v>
      </c>
      <c r="J42" s="59"/>
      <c r="K42" s="59"/>
      <c r="L42" s="59"/>
      <c r="M42" s="59"/>
      <c r="N42" s="59"/>
      <c r="O42" s="59"/>
      <c r="P42" s="59"/>
      <c r="Q42" s="59"/>
      <c r="R42" s="59"/>
      <c r="S42" s="59"/>
      <c r="T42" s="59"/>
      <c r="U42" s="59"/>
      <c r="V42" s="59"/>
      <c r="W42" s="59"/>
      <c r="X42" s="59"/>
      <c r="Y42" s="59"/>
      <c r="Z42" s="60"/>
      <c r="AA42" s="60"/>
      <c r="AB42" s="60"/>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8" t="e">
        <f>AK43</f>
        <v>#DIV/0!</v>
      </c>
      <c r="F43" s="48" t="e">
        <f>AL43</f>
        <v>#DIV/0!</v>
      </c>
      <c r="G43" s="48" t="e">
        <f>AM43</f>
        <v>#DIV/0!</v>
      </c>
      <c r="H43" s="48" t="e">
        <f>AN43</f>
        <v>#DIV/0!</v>
      </c>
      <c r="I43" s="1"/>
      <c r="J43" s="59"/>
      <c r="K43" s="59"/>
      <c r="L43" s="59"/>
      <c r="M43" s="59"/>
      <c r="N43" s="59"/>
      <c r="O43" s="59"/>
      <c r="P43" s="59"/>
      <c r="Q43" s="59"/>
      <c r="R43" s="59"/>
      <c r="S43" s="59"/>
      <c r="T43" s="59"/>
      <c r="U43" s="59"/>
      <c r="V43" s="59"/>
      <c r="W43" s="59"/>
      <c r="X43" s="59"/>
      <c r="Y43" s="59"/>
      <c r="Z43" s="60"/>
      <c r="AA43" s="60"/>
      <c r="AB43" s="60"/>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75" t="e">
        <f>$AP43/$AR43</f>
        <v>#DIV/0!</v>
      </c>
      <c r="AX43" s="75" t="e">
        <f>$AQ43/$AR43-$AW43</f>
        <v>#DIV/0!</v>
      </c>
      <c r="AY43" s="75" t="e">
        <f>$AR43/$AR43-$AX43-$AW43</f>
        <v>#DIV/0!</v>
      </c>
      <c r="AZ43" s="75" t="e">
        <f>$AS43/$AU43</f>
        <v>#DIV/0!</v>
      </c>
      <c r="BA43" s="75" t="e">
        <f>$AT43/$AU43-$AZ43</f>
        <v>#DIV/0!</v>
      </c>
      <c r="BB43" s="75" t="e">
        <f>$AU43/$AU43-$BA43-$AZ43</f>
        <v>#DIV/0!</v>
      </c>
    </row>
    <row r="44" spans="1:54">
      <c r="A44">
        <f t="shared" si="23"/>
        <v>0</v>
      </c>
      <c r="J44" s="59"/>
      <c r="K44" s="59"/>
      <c r="L44" s="59"/>
      <c r="M44" s="59"/>
      <c r="N44" s="59"/>
      <c r="O44" s="59"/>
      <c r="P44" s="59"/>
      <c r="Q44" s="59"/>
      <c r="R44" s="59"/>
      <c r="S44" s="59"/>
      <c r="T44" s="59"/>
      <c r="U44" s="59"/>
      <c r="V44" s="59"/>
      <c r="W44" s="59"/>
      <c r="X44" s="59"/>
      <c r="Y44" s="59"/>
      <c r="Z44" s="60"/>
      <c r="AA44" s="60"/>
      <c r="AB44" s="60"/>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7" id="{EB4CD11B-4043-0640-BA98-EB4DF1B16716}">
            <xm:f>AND(NOT(ISBLANK(B5)),(AR5-AQ5)&gt;Constants!$B$37)</xm:f>
            <x14:dxf>
              <font>
                <color rgb="FF006100"/>
              </font>
              <fill>
                <patternFill>
                  <bgColor rgb="FFC6EFCE"/>
                </patternFill>
              </fill>
            </x14:dxf>
          </x14:cfRule>
          <x14:cfRule type="expression" priority="15" id="{069C5E89-77CD-AB4F-B109-7C367E52547F}">
            <xm:f>AND(NOT(ISBLANK(B5)),AR5&gt;(Constants!$B$38*AQ5))</xm:f>
            <x14:dxf>
              <font>
                <color rgb="FF9C6500"/>
              </font>
              <fill>
                <patternFill>
                  <bgColor rgb="FFFFEB9C"/>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workbookViewId="0">
      <selection activeCell="D25" sqref="D25"/>
    </sheetView>
  </sheetViews>
  <sheetFormatPr defaultColWidth="11" defaultRowHeight="15.75"/>
  <cols>
    <col min="1" max="1" width="28"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149999999999999" thickBot="1">
      <c r="A9" s="25" t="s">
        <v>53</v>
      </c>
      <c r="B9" s="26">
        <v>229.03176199999999</v>
      </c>
      <c r="C9" s="26"/>
      <c r="D9" s="26"/>
    </row>
    <row r="10" spans="1:11" ht="16.149999999999999"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182</v>
      </c>
      <c r="K12" t="s">
        <v>183</v>
      </c>
    </row>
    <row r="13" spans="1:11">
      <c r="A13" s="14" t="s">
        <v>35</v>
      </c>
      <c r="B13">
        <v>2.8418008370340747E-4</v>
      </c>
      <c r="C13" s="1">
        <v>4.3656412515058804E-5</v>
      </c>
      <c r="D13">
        <v>3.57E-4</v>
      </c>
      <c r="E13">
        <v>3.5688899585084996E-3</v>
      </c>
      <c r="F13">
        <v>5.6890791927183131E-5</v>
      </c>
      <c r="G13">
        <v>0.37247099665446171</v>
      </c>
      <c r="H13" s="16">
        <f>G13*J13</f>
        <v>6.9216754520917103</v>
      </c>
      <c r="I13">
        <v>0.98129648892116261</v>
      </c>
      <c r="J13">
        <v>18.583125972927476</v>
      </c>
      <c r="K13">
        <v>1.7442466578521214E-2</v>
      </c>
    </row>
    <row r="14" spans="1:11" ht="16.149999999999999" thickBot="1">
      <c r="A14" s="17" t="s">
        <v>37</v>
      </c>
      <c r="B14" s="18">
        <v>1.7545077788293085E-4</v>
      </c>
      <c r="C14" s="19">
        <v>4.3055569043463493E-5</v>
      </c>
      <c r="D14" s="70">
        <v>3.6000000000000002E-4</v>
      </c>
      <c r="E14" s="18">
        <v>1.1950837132982323E-3</v>
      </c>
      <c r="F14" s="18">
        <v>5.3835042409610378E-5</v>
      </c>
      <c r="G14" s="18">
        <v>0.32920668495576472</v>
      </c>
      <c r="H14" s="20">
        <f>G14*J14</f>
        <v>2.4228595919861906</v>
      </c>
      <c r="I14">
        <v>0.98129648892116261</v>
      </c>
      <c r="J14">
        <v>7.3596913510785749</v>
      </c>
      <c r="K14">
        <v>5.6732610254575369E-3</v>
      </c>
    </row>
    <row r="15" spans="1:11" ht="16.149999999999999"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149999999999999" thickBot="1">
      <c r="A19" s="21" t="s">
        <v>51</v>
      </c>
      <c r="B19" t="s">
        <v>52</v>
      </c>
      <c r="C19">
        <v>0.98129648892116261</v>
      </c>
      <c r="D19" s="24">
        <v>1.4999999999999999E-4</v>
      </c>
    </row>
    <row r="20" spans="1:14">
      <c r="A20" s="21" t="s">
        <v>269</v>
      </c>
      <c r="B20" t="s">
        <v>55</v>
      </c>
      <c r="C20" s="27">
        <f>IF($A20="MITh-1",H20,IF(A20="MITh-2",M20,"Please choose 'MITh-1' or 'MITh-2'"))</f>
        <v>13.401493237828435</v>
      </c>
      <c r="D20" s="28">
        <f>IF($A20="MITh-1",I20,IF($A20="MITh-2",N20,"Please choose 'MITh-1' or 'MITh-2'"))</f>
        <v>2.3386571119730984E-3</v>
      </c>
      <c r="F20" s="6" t="s">
        <v>54</v>
      </c>
      <c r="G20" s="8" t="s">
        <v>55</v>
      </c>
      <c r="H20" s="82">
        <v>12.397618073078737</v>
      </c>
      <c r="I20" s="83">
        <v>2.0332863977446107E-3</v>
      </c>
      <c r="K20" s="6" t="s">
        <v>269</v>
      </c>
      <c r="L20" s="8" t="s">
        <v>55</v>
      </c>
      <c r="M20" s="8">
        <v>13.401493237828435</v>
      </c>
      <c r="N20" s="9">
        <v>2.3386571119730984E-3</v>
      </c>
    </row>
    <row r="21" spans="1:14" ht="16.149999999999999" thickBot="1">
      <c r="A21" s="21"/>
      <c r="B21" t="s">
        <v>56</v>
      </c>
      <c r="C21" s="27">
        <f>IF($A20="MITh-1",H21,IF(A20="MITh-2",M21,"Please choose 'MITh-1' or 'MITh-2'"))</f>
        <v>4.9678648462572063E-2</v>
      </c>
      <c r="D21" s="28">
        <f>IF($A20="MITh-1",I21,IF($A20="MITh-2",N21,"Please choose 'MITh-1' or 'MITh-2'"))</f>
        <v>6.282810166208022E-6</v>
      </c>
      <c r="F21" s="29" t="s">
        <v>54</v>
      </c>
      <c r="G21" s="18" t="s">
        <v>56</v>
      </c>
      <c r="H21" s="30">
        <v>5.0378085319018905E-2</v>
      </c>
      <c r="I21" s="31">
        <v>4.3986826907533244E-6</v>
      </c>
      <c r="K21" s="29" t="s">
        <v>269</v>
      </c>
      <c r="L21" s="18" t="s">
        <v>56</v>
      </c>
      <c r="M21" s="18">
        <v>4.9678648462572063E-2</v>
      </c>
      <c r="N21" s="20">
        <v>6.282810166208022E-6</v>
      </c>
    </row>
    <row r="22" spans="1:14" ht="16.149999999999999" thickBot="1">
      <c r="A22" s="29"/>
      <c r="B22" s="18" t="s">
        <v>85</v>
      </c>
      <c r="C22" s="30">
        <f>C21/C20</f>
        <v>3.7069487392900361E-3</v>
      </c>
      <c r="D22" s="20"/>
    </row>
    <row r="24" spans="1:14">
      <c r="A24" s="2" t="s">
        <v>117</v>
      </c>
    </row>
    <row r="25" spans="1:14">
      <c r="A25" t="s">
        <v>57</v>
      </c>
      <c r="B25" s="1">
        <v>2.3944420000000002E-6</v>
      </c>
    </row>
    <row r="26" spans="1:14">
      <c r="A26" t="s">
        <v>118</v>
      </c>
      <c r="B26" s="1">
        <f>Instructions!D21</f>
        <v>5.1666610449267569E-7</v>
      </c>
      <c r="C26" t="s">
        <v>265</v>
      </c>
    </row>
    <row r="27" spans="1:14">
      <c r="B27" s="1"/>
    </row>
    <row r="28" spans="1:14">
      <c r="A28" s="2" t="s">
        <v>227</v>
      </c>
      <c r="B28" s="1"/>
    </row>
    <row r="29" spans="1:14">
      <c r="A29" t="s">
        <v>192</v>
      </c>
      <c r="B29">
        <v>0.01</v>
      </c>
      <c r="C29" t="s">
        <v>198</v>
      </c>
    </row>
    <row r="30" spans="1:14">
      <c r="A30" t="s">
        <v>193</v>
      </c>
      <c r="B30">
        <v>5.0000000000000001E-4</v>
      </c>
      <c r="C30" t="s">
        <v>202</v>
      </c>
    </row>
    <row r="31" spans="1:14">
      <c r="A31" t="s">
        <v>194</v>
      </c>
      <c r="B31">
        <v>4.0000000000000001E-3</v>
      </c>
      <c r="C31" t="s">
        <v>202</v>
      </c>
    </row>
    <row r="32" spans="1:14">
      <c r="A32" t="s">
        <v>195</v>
      </c>
      <c r="B32">
        <v>0.03</v>
      </c>
      <c r="C32" t="s">
        <v>198</v>
      </c>
    </row>
    <row r="33" spans="1:4">
      <c r="A33" t="s">
        <v>196</v>
      </c>
      <c r="B33">
        <v>5.0000000000000001E-4</v>
      </c>
      <c r="C33" t="s">
        <v>202</v>
      </c>
    </row>
    <row r="34" spans="1:4">
      <c r="A34" t="s">
        <v>197</v>
      </c>
      <c r="B34">
        <v>4.0000000000000001E-3</v>
      </c>
      <c r="C34" t="s">
        <v>202</v>
      </c>
    </row>
    <row r="36" spans="1:4">
      <c r="A36" s="2" t="s">
        <v>228</v>
      </c>
    </row>
    <row r="37" spans="1:4">
      <c r="A37" s="72" t="s">
        <v>210</v>
      </c>
      <c r="B37">
        <v>1E-3</v>
      </c>
      <c r="C37" t="s">
        <v>202</v>
      </c>
    </row>
    <row r="38" spans="1:4">
      <c r="A38" s="73" t="s">
        <v>211</v>
      </c>
      <c r="B38">
        <v>1.5</v>
      </c>
      <c r="C38" t="s">
        <v>209</v>
      </c>
    </row>
    <row r="39" spans="1:4">
      <c r="A39" s="74" t="s">
        <v>212</v>
      </c>
      <c r="C39" t="s">
        <v>229</v>
      </c>
    </row>
    <row r="41" spans="1:4">
      <c r="A41" s="2" t="s">
        <v>230</v>
      </c>
    </row>
    <row r="42" spans="1:4">
      <c r="A42" s="73" t="s">
        <v>234</v>
      </c>
      <c r="B42">
        <v>50</v>
      </c>
      <c r="C42" t="s">
        <v>198</v>
      </c>
      <c r="D42" t="s">
        <v>233</v>
      </c>
    </row>
    <row r="43" spans="1:4">
      <c r="A43" s="74" t="s">
        <v>235</v>
      </c>
      <c r="B43">
        <v>0.03</v>
      </c>
      <c r="C43" t="s">
        <v>198</v>
      </c>
      <c r="D43" t="s">
        <v>34</v>
      </c>
    </row>
    <row r="44" spans="1:4">
      <c r="A44" s="73" t="s">
        <v>236</v>
      </c>
      <c r="B44">
        <v>300000</v>
      </c>
      <c r="C44" t="s">
        <v>231</v>
      </c>
      <c r="D44" t="s">
        <v>232</v>
      </c>
    </row>
    <row r="45" spans="1:4">
      <c r="A45" s="74" t="s">
        <v>295</v>
      </c>
      <c r="B45">
        <v>1000</v>
      </c>
      <c r="C45" t="s">
        <v>231</v>
      </c>
      <c r="D45" t="s">
        <v>49</v>
      </c>
    </row>
    <row r="46" spans="1:4">
      <c r="A46" s="73" t="s">
        <v>237</v>
      </c>
      <c r="B46">
        <v>0.1</v>
      </c>
      <c r="C46" t="s">
        <v>198</v>
      </c>
      <c r="D46" t="s">
        <v>53</v>
      </c>
    </row>
    <row r="47" spans="1:4">
      <c r="A47" s="74" t="s">
        <v>238</v>
      </c>
      <c r="B47">
        <v>0.01</v>
      </c>
      <c r="C47" t="s">
        <v>198</v>
      </c>
      <c r="D47" t="s">
        <v>53</v>
      </c>
    </row>
    <row r="49" spans="1:2">
      <c r="A49" s="2" t="s">
        <v>281</v>
      </c>
    </row>
    <row r="50" spans="1:2">
      <c r="A50" s="84" t="s">
        <v>299</v>
      </c>
      <c r="B50" t="s">
        <v>282</v>
      </c>
    </row>
    <row r="51" spans="1:2">
      <c r="B51" t="s">
        <v>283</v>
      </c>
    </row>
    <row r="52" spans="1:2">
      <c r="B52" t="s">
        <v>291</v>
      </c>
    </row>
    <row r="53" spans="1:2">
      <c r="A53" s="85" t="s">
        <v>284</v>
      </c>
      <c r="B53" t="s">
        <v>297</v>
      </c>
    </row>
    <row r="54" spans="1:2">
      <c r="B54" t="s">
        <v>298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workbookViewId="0">
      <selection activeCell="R19" sqref="R19"/>
    </sheetView>
  </sheetViews>
  <sheetFormatPr defaultColWidth="11" defaultRowHeight="15.75"/>
  <cols>
    <col min="4" max="4" width="12.8125" bestFit="1" customWidth="1"/>
    <col min="5" max="5" width="23.5" customWidth="1"/>
  </cols>
  <sheetData>
    <row r="1" spans="1:1">
      <c r="A1" s="2" t="s">
        <v>119</v>
      </c>
    </row>
    <row r="2" spans="1:1">
      <c r="A2" t="s">
        <v>270</v>
      </c>
    </row>
    <row r="3" spans="1:1">
      <c r="A3" t="s">
        <v>134</v>
      </c>
    </row>
    <row r="4" spans="1:1">
      <c r="A4" t="s">
        <v>135</v>
      </c>
    </row>
    <row r="5" spans="1:1">
      <c r="A5" t="s">
        <v>271</v>
      </c>
    </row>
    <row r="6" spans="1:1">
      <c r="A6" t="s">
        <v>147</v>
      </c>
    </row>
    <row r="7" spans="1:1">
      <c r="A7" t="s">
        <v>148</v>
      </c>
    </row>
    <row r="8" spans="1:1">
      <c r="A8" t="s">
        <v>149</v>
      </c>
    </row>
    <row r="9" spans="1:1">
      <c r="A9" t="s">
        <v>136</v>
      </c>
    </row>
    <row r="10" spans="1:1">
      <c r="A10" t="s">
        <v>150</v>
      </c>
    </row>
    <row r="11" spans="1:1">
      <c r="A11" t="s">
        <v>137</v>
      </c>
    </row>
    <row r="12" spans="1:1">
      <c r="A12" t="s">
        <v>138</v>
      </c>
    </row>
    <row r="13" spans="1:1">
      <c r="A13" t="s">
        <v>151</v>
      </c>
    </row>
    <row r="14" spans="1:1">
      <c r="A14" t="s">
        <v>152</v>
      </c>
    </row>
    <row r="15" spans="1:1">
      <c r="A15" t="s">
        <v>153</v>
      </c>
    </row>
    <row r="17" spans="1:23">
      <c r="A17" t="s">
        <v>120</v>
      </c>
    </row>
    <row r="18" spans="1:23">
      <c r="A18" t="s">
        <v>266</v>
      </c>
      <c r="D18" t="s">
        <v>267</v>
      </c>
      <c r="G18" t="s">
        <v>285</v>
      </c>
    </row>
    <row r="19" spans="1:23">
      <c r="A19" s="1">
        <v>9.9999999999999995E-7</v>
      </c>
      <c r="D19" s="1">
        <v>3.1E-7</v>
      </c>
      <c r="G19">
        <v>62415093</v>
      </c>
    </row>
    <row r="20" spans="1:23">
      <c r="A20" s="57" t="s">
        <v>121</v>
      </c>
      <c r="B20" s="57" t="s">
        <v>122</v>
      </c>
      <c r="C20" s="57" t="s">
        <v>123</v>
      </c>
      <c r="D20" s="57" t="s">
        <v>118</v>
      </c>
      <c r="G20" s="57" t="s">
        <v>262</v>
      </c>
      <c r="H20" s="57" t="s">
        <v>1</v>
      </c>
      <c r="I20" s="57" t="s">
        <v>263</v>
      </c>
      <c r="J20" s="57" t="s">
        <v>1</v>
      </c>
      <c r="K20" s="57" t="s">
        <v>102</v>
      </c>
      <c r="L20" s="57" t="s">
        <v>1</v>
      </c>
      <c r="M20" s="57" t="s">
        <v>103</v>
      </c>
      <c r="N20" s="57" t="s">
        <v>1</v>
      </c>
      <c r="O20" s="57" t="s">
        <v>104</v>
      </c>
      <c r="P20" s="57" t="s">
        <v>1</v>
      </c>
      <c r="Q20" s="57" t="s">
        <v>106</v>
      </c>
      <c r="R20" s="57" t="s">
        <v>107</v>
      </c>
      <c r="S20" s="57" t="s">
        <v>108</v>
      </c>
    </row>
    <row r="21" spans="1:23">
      <c r="A21">
        <f>K21</f>
        <v>9.5374970000000001</v>
      </c>
      <c r="B21">
        <f>I21</f>
        <v>208.40209999999999</v>
      </c>
      <c r="C21">
        <f>G21</f>
        <v>453.90600000000001</v>
      </c>
      <c r="D21" s="56">
        <f>EXP(AVERAGE(LN(B21),LN(C21)))/(A21*62415093)</f>
        <v>5.1666610449267569E-7</v>
      </c>
      <c r="E21" t="str">
        <f>IF(AND(K21&lt;1, NOT(ISBLANK(G21))),"232Th voltage too low for reliable tail measurement.", "")</f>
        <v/>
      </c>
      <c r="G21" s="60">
        <v>453.90600000000001</v>
      </c>
      <c r="H21" s="60">
        <v>4.78</v>
      </c>
      <c r="I21" s="60">
        <v>208.40209999999999</v>
      </c>
      <c r="J21" s="60">
        <v>3.41</v>
      </c>
      <c r="K21" s="60">
        <v>9.5374970000000001</v>
      </c>
      <c r="L21" s="60">
        <v>3.3399999999999999E-2</v>
      </c>
      <c r="M21" s="60">
        <v>3870.2159999999999</v>
      </c>
      <c r="N21" s="60">
        <v>22.9</v>
      </c>
      <c r="O21" s="60">
        <v>1.0134499999999999E-3</v>
      </c>
      <c r="P21" s="60">
        <v>5.1999999999999997E-5</v>
      </c>
      <c r="Q21" s="60" t="s">
        <v>386</v>
      </c>
      <c r="R21" s="60" t="s">
        <v>387</v>
      </c>
      <c r="S21" s="60">
        <v>3539</v>
      </c>
    </row>
    <row r="22" spans="1:23">
      <c r="A22">
        <f>K22</f>
        <v>0</v>
      </c>
      <c r="B22">
        <f>I22</f>
        <v>0</v>
      </c>
      <c r="C22">
        <f>G22</f>
        <v>0</v>
      </c>
      <c r="D22" s="56" t="e">
        <f t="shared" ref="D22:D23" si="0">EXP(AVERAGE(LN(B22),LN(C22)))/(A22*62415093)</f>
        <v>#NUM!</v>
      </c>
      <c r="E22" t="str">
        <f t="shared" ref="E22:E23" si="1">IF(AND(K22&lt;1, NOT(ISBLANK(G22))),"232Th voltage too low for reliable tail measurement.", "")</f>
        <v/>
      </c>
      <c r="G22" s="60"/>
      <c r="H22" s="60"/>
      <c r="I22" s="60"/>
      <c r="J22" s="60"/>
      <c r="K22" s="60"/>
      <c r="L22" s="60"/>
      <c r="M22" s="60"/>
      <c r="N22" s="60"/>
      <c r="O22" s="60"/>
      <c r="P22" s="60"/>
      <c r="Q22" s="60"/>
      <c r="R22" s="60"/>
      <c r="S22" s="60"/>
    </row>
    <row r="23" spans="1:23">
      <c r="A23">
        <f>K23</f>
        <v>0</v>
      </c>
      <c r="B23">
        <f>I23</f>
        <v>0</v>
      </c>
      <c r="C23">
        <f>G23</f>
        <v>0</v>
      </c>
      <c r="D23" s="56" t="e">
        <f t="shared" si="0"/>
        <v>#NUM!</v>
      </c>
      <c r="E23" t="str">
        <f t="shared" si="1"/>
        <v/>
      </c>
      <c r="G23" s="60"/>
      <c r="H23" s="60"/>
      <c r="I23" s="60"/>
      <c r="J23" s="60"/>
      <c r="K23" s="60"/>
      <c r="L23" s="60"/>
      <c r="M23" s="60"/>
      <c r="N23" s="60"/>
      <c r="O23" s="60"/>
      <c r="P23" s="60"/>
      <c r="Q23" s="60"/>
      <c r="R23" s="60"/>
      <c r="S23" s="60"/>
    </row>
    <row r="25" spans="1:23">
      <c r="G25" t="s">
        <v>290</v>
      </c>
    </row>
    <row r="26" spans="1:23">
      <c r="G26" s="2" t="s">
        <v>5</v>
      </c>
      <c r="H26" s="2" t="s">
        <v>1</v>
      </c>
      <c r="I26" s="2" t="s">
        <v>6</v>
      </c>
      <c r="J26" s="2" t="s">
        <v>1</v>
      </c>
      <c r="K26" s="2" t="s">
        <v>286</v>
      </c>
      <c r="L26" s="2" t="s">
        <v>1</v>
      </c>
      <c r="M26" s="2" t="s">
        <v>11</v>
      </c>
      <c r="N26" s="2" t="s">
        <v>1</v>
      </c>
      <c r="O26" s="2" t="s">
        <v>287</v>
      </c>
      <c r="P26" s="2" t="s">
        <v>1</v>
      </c>
      <c r="Q26" s="2" t="s">
        <v>288</v>
      </c>
      <c r="R26" s="2" t="s">
        <v>1</v>
      </c>
      <c r="S26" s="2" t="s">
        <v>106</v>
      </c>
      <c r="T26" s="2" t="s">
        <v>107</v>
      </c>
      <c r="U26" s="2" t="s">
        <v>108</v>
      </c>
      <c r="W26" s="2" t="s">
        <v>289</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58">
        <v>42170</v>
      </c>
      <c r="B1" t="s">
        <v>146</v>
      </c>
      <c r="R1" s="81" t="s">
        <v>259</v>
      </c>
    </row>
    <row r="2" spans="1:18">
      <c r="B2" t="s">
        <v>163</v>
      </c>
      <c r="R2" t="s">
        <v>254</v>
      </c>
    </row>
    <row r="3" spans="1:18">
      <c r="B3" t="s">
        <v>165</v>
      </c>
      <c r="R3" t="s">
        <v>255</v>
      </c>
    </row>
    <row r="4" spans="1:18">
      <c r="B4" t="s">
        <v>139</v>
      </c>
      <c r="R4" t="s">
        <v>256</v>
      </c>
    </row>
    <row r="5" spans="1:18">
      <c r="B5" t="s">
        <v>167</v>
      </c>
      <c r="R5" t="s">
        <v>257</v>
      </c>
    </row>
    <row r="6" spans="1:18">
      <c r="B6" t="s">
        <v>145</v>
      </c>
      <c r="R6" t="s">
        <v>258</v>
      </c>
    </row>
    <row r="7" spans="1:18">
      <c r="B7" t="s">
        <v>166</v>
      </c>
      <c r="R7" t="s">
        <v>260</v>
      </c>
    </row>
    <row r="8" spans="1:18">
      <c r="B8" t="s">
        <v>154</v>
      </c>
    </row>
    <row r="9" spans="1:18">
      <c r="B9" t="s">
        <v>155</v>
      </c>
    </row>
    <row r="10" spans="1:18">
      <c r="A10" s="58">
        <v>42172</v>
      </c>
      <c r="B10" t="s">
        <v>156</v>
      </c>
    </row>
    <row r="11" spans="1:18">
      <c r="B11" t="s">
        <v>157</v>
      </c>
    </row>
    <row r="12" spans="1:18">
      <c r="A12" s="58">
        <v>42173</v>
      </c>
      <c r="B12" t="s">
        <v>161</v>
      </c>
    </row>
    <row r="13" spans="1:18">
      <c r="A13" s="58">
        <v>42177</v>
      </c>
      <c r="B13" t="s">
        <v>160</v>
      </c>
    </row>
    <row r="14" spans="1:18">
      <c r="A14" s="58">
        <v>42233</v>
      </c>
      <c r="B14" t="s">
        <v>159</v>
      </c>
    </row>
    <row r="15" spans="1:18">
      <c r="B15" t="s">
        <v>162</v>
      </c>
    </row>
    <row r="16" spans="1:18">
      <c r="B16" t="s">
        <v>164</v>
      </c>
    </row>
    <row r="17" spans="1:2">
      <c r="A17" s="58">
        <v>42616</v>
      </c>
      <c r="B17" t="s">
        <v>181</v>
      </c>
    </row>
    <row r="18" spans="1:2">
      <c r="A18" s="58">
        <v>42663</v>
      </c>
      <c r="B18" t="s">
        <v>185</v>
      </c>
    </row>
    <row r="19" spans="1:2">
      <c r="B19" s="2" t="s">
        <v>189</v>
      </c>
    </row>
    <row r="20" spans="1:2">
      <c r="B20" s="2" t="s">
        <v>186</v>
      </c>
    </row>
    <row r="21" spans="1:2">
      <c r="B21" t="s">
        <v>187</v>
      </c>
    </row>
    <row r="22" spans="1:2">
      <c r="B22" s="2" t="s">
        <v>188</v>
      </c>
    </row>
    <row r="23" spans="1:2">
      <c r="A23" s="58">
        <v>42669</v>
      </c>
      <c r="B23" t="s">
        <v>190</v>
      </c>
    </row>
    <row r="24" spans="1:2">
      <c r="A24" s="58">
        <v>43068</v>
      </c>
      <c r="B24" s="2" t="s">
        <v>191</v>
      </c>
    </row>
    <row r="25" spans="1:2">
      <c r="A25" s="58">
        <v>43096</v>
      </c>
      <c r="B25" t="s">
        <v>203</v>
      </c>
    </row>
    <row r="26" spans="1:2">
      <c r="B26" t="s">
        <v>204</v>
      </c>
    </row>
    <row r="27" spans="1:2">
      <c r="A27" s="58">
        <v>43138</v>
      </c>
      <c r="B27" t="s">
        <v>220</v>
      </c>
    </row>
    <row r="28" spans="1:2">
      <c r="B28" t="s">
        <v>251</v>
      </c>
    </row>
    <row r="29" spans="1:2">
      <c r="B29" t="s">
        <v>253</v>
      </c>
    </row>
    <row r="30" spans="1:2">
      <c r="B30" t="s">
        <v>252</v>
      </c>
    </row>
    <row r="31" spans="1:2">
      <c r="B31" t="s">
        <v>249</v>
      </c>
    </row>
    <row r="32" spans="1:2">
      <c r="B32" t="s">
        <v>250</v>
      </c>
    </row>
    <row r="33" spans="1:2">
      <c r="A33" s="58">
        <v>43145</v>
      </c>
      <c r="B33" t="s">
        <v>261</v>
      </c>
    </row>
    <row r="34" spans="1:2">
      <c r="A34" s="58">
        <v>43147</v>
      </c>
      <c r="B34" t="s">
        <v>264</v>
      </c>
    </row>
    <row r="35" spans="1:2">
      <c r="B35" t="s">
        <v>268</v>
      </c>
    </row>
    <row r="36" spans="1:2">
      <c r="A36" s="58">
        <v>43158</v>
      </c>
      <c r="B36" t="s">
        <v>272</v>
      </c>
    </row>
    <row r="37" spans="1:2">
      <c r="A37" s="58">
        <v>43180</v>
      </c>
      <c r="B37" t="s">
        <v>273</v>
      </c>
    </row>
    <row r="38" spans="1:2">
      <c r="B38" t="s">
        <v>274</v>
      </c>
    </row>
    <row r="39" spans="1:2">
      <c r="A39" s="58">
        <v>43201</v>
      </c>
      <c r="B39" t="s">
        <v>275</v>
      </c>
    </row>
    <row r="40" spans="1:2">
      <c r="B40" t="s">
        <v>276</v>
      </c>
    </row>
    <row r="41" spans="1:2">
      <c r="A41" s="58">
        <v>43206</v>
      </c>
      <c r="B41" t="s">
        <v>277</v>
      </c>
    </row>
    <row r="42" spans="1:2">
      <c r="B42" t="s">
        <v>278</v>
      </c>
    </row>
    <row r="43" spans="1:2">
      <c r="A43" s="58">
        <v>43210</v>
      </c>
      <c r="B43" t="s">
        <v>279</v>
      </c>
    </row>
    <row r="44" spans="1:2">
      <c r="A44" s="58">
        <v>43213</v>
      </c>
      <c r="B44" t="s">
        <v>280</v>
      </c>
    </row>
    <row r="45" spans="1:2">
      <c r="A45" s="58">
        <v>43221</v>
      </c>
      <c r="B45" t="s">
        <v>292</v>
      </c>
    </row>
    <row r="46" spans="1:2">
      <c r="B46" t="s">
        <v>293</v>
      </c>
    </row>
    <row r="47" spans="1:2">
      <c r="B47" t="s">
        <v>294</v>
      </c>
    </row>
    <row r="48" spans="1:2">
      <c r="B48" t="s">
        <v>296</v>
      </c>
    </row>
    <row r="49" spans="1:2">
      <c r="A49" s="58">
        <v>43227</v>
      </c>
      <c r="B49" t="s">
        <v>300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05D6-4630-4BD3-8225-74831985CAC2}">
  <dimension ref="A1:Q37"/>
  <sheetViews>
    <sheetView tabSelected="1" workbookViewId="0">
      <selection activeCell="G26" sqref="G26"/>
    </sheetView>
  </sheetViews>
  <sheetFormatPr defaultRowHeight="15.75"/>
  <cols>
    <col min="15" max="15" width="15.625" bestFit="1" customWidth="1"/>
    <col min="16" max="16" width="13.6875" customWidth="1"/>
  </cols>
  <sheetData>
    <row r="1" spans="1:17">
      <c r="A1" t="s">
        <v>301</v>
      </c>
    </row>
    <row r="2" spans="1:17" s="81" customFormat="1">
      <c r="A2" s="81" t="s">
        <v>0</v>
      </c>
      <c r="B2" s="81" t="s">
        <v>1</v>
      </c>
      <c r="C2" s="81" t="s">
        <v>2</v>
      </c>
      <c r="D2" s="81" t="s">
        <v>1</v>
      </c>
      <c r="E2" s="81" t="s">
        <v>3</v>
      </c>
      <c r="F2" s="81" t="s">
        <v>1</v>
      </c>
      <c r="G2" s="81" t="s">
        <v>4</v>
      </c>
      <c r="H2" s="81" t="s">
        <v>1</v>
      </c>
      <c r="I2" s="81" t="s">
        <v>5</v>
      </c>
      <c r="J2" s="81" t="s">
        <v>1</v>
      </c>
      <c r="K2" s="81" t="s">
        <v>6</v>
      </c>
      <c r="L2" s="81" t="s">
        <v>1</v>
      </c>
      <c r="M2" s="81" t="s">
        <v>7</v>
      </c>
      <c r="N2" s="81" t="s">
        <v>1</v>
      </c>
      <c r="O2" s="81" t="s">
        <v>106</v>
      </c>
      <c r="P2" s="81" t="s">
        <v>107</v>
      </c>
      <c r="Q2" s="81" t="s">
        <v>108</v>
      </c>
    </row>
    <row r="3" spans="1:17">
      <c r="A3" s="1">
        <v>527004.30000000005</v>
      </c>
      <c r="B3" s="1">
        <v>326000</v>
      </c>
      <c r="C3" s="1">
        <v>140.1764</v>
      </c>
      <c r="D3" s="1">
        <v>1.0999999999999999E-2</v>
      </c>
      <c r="E3" s="1">
        <v>-0.26473150000000001</v>
      </c>
      <c r="F3" s="1">
        <v>0.78400000000000003</v>
      </c>
      <c r="G3" s="1">
        <v>23027.03</v>
      </c>
      <c r="H3" s="1">
        <v>13</v>
      </c>
      <c r="I3" s="1">
        <v>14.156739999999999</v>
      </c>
      <c r="J3" s="1">
        <v>3.3099999999999997E-2</v>
      </c>
      <c r="K3" s="1">
        <v>1.353062E-5</v>
      </c>
      <c r="L3" s="1">
        <v>5.2900000000000002E-6</v>
      </c>
      <c r="M3" s="1">
        <v>38376.800000000003</v>
      </c>
      <c r="N3" s="1">
        <v>94.5</v>
      </c>
      <c r="O3" t="s">
        <v>323</v>
      </c>
      <c r="P3" t="s">
        <v>324</v>
      </c>
      <c r="Q3">
        <v>3415</v>
      </c>
    </row>
    <row r="4" spans="1:17">
      <c r="A4" s="1">
        <v>0.26756780000000002</v>
      </c>
      <c r="B4" s="1">
        <v>4.0499999999999998E-3</v>
      </c>
      <c r="C4" s="1">
        <v>0.52090020000000004</v>
      </c>
      <c r="D4" s="1">
        <v>31.8</v>
      </c>
      <c r="E4" s="1">
        <v>0.99768730000000005</v>
      </c>
      <c r="F4" s="1">
        <v>1.4599999999999999E-3</v>
      </c>
      <c r="G4" s="1">
        <v>830.15120000000002</v>
      </c>
      <c r="H4" s="1">
        <v>18.399999999999999</v>
      </c>
      <c r="I4" s="1">
        <v>1.116063E-3</v>
      </c>
      <c r="J4" s="1">
        <v>1.77E-5</v>
      </c>
      <c r="K4" s="1">
        <v>4.1705650000000002E-3</v>
      </c>
      <c r="L4" s="1">
        <v>7.2200000000000003E-6</v>
      </c>
      <c r="M4" s="1">
        <v>84.256860000000003</v>
      </c>
      <c r="N4" s="1">
        <v>1.48</v>
      </c>
      <c r="O4" t="s">
        <v>303</v>
      </c>
      <c r="P4" t="s">
        <v>304</v>
      </c>
      <c r="Q4">
        <v>3418</v>
      </c>
    </row>
    <row r="5" spans="1:17">
      <c r="A5" s="1">
        <v>-23949.47</v>
      </c>
      <c r="B5" s="1">
        <v>193000</v>
      </c>
      <c r="C5" s="1">
        <v>140.23769999999999</v>
      </c>
      <c r="D5" s="1">
        <v>8.6199999999999992E-3</v>
      </c>
      <c r="E5" s="1">
        <v>1.4153290000000001</v>
      </c>
      <c r="F5" s="1">
        <v>1.23</v>
      </c>
      <c r="G5" s="1">
        <v>23005.32</v>
      </c>
      <c r="H5" s="1">
        <v>18.600000000000001</v>
      </c>
      <c r="I5" s="1">
        <v>13.19739</v>
      </c>
      <c r="J5" s="1">
        <v>1.4800000000000001E-2</v>
      </c>
      <c r="K5" s="1">
        <v>7.8971579999999996E-6</v>
      </c>
      <c r="L5" s="1">
        <v>5.4E-6</v>
      </c>
      <c r="M5" s="1">
        <v>35809.910000000003</v>
      </c>
      <c r="N5" s="1">
        <v>44.6</v>
      </c>
      <c r="O5" t="s">
        <v>323</v>
      </c>
      <c r="P5" t="s">
        <v>325</v>
      </c>
      <c r="Q5">
        <v>3421</v>
      </c>
    </row>
    <row r="6" spans="1:17">
      <c r="A6" s="1">
        <v>601.05730000000005</v>
      </c>
      <c r="B6" s="1">
        <v>3.57</v>
      </c>
      <c r="C6" s="1">
        <v>140.78110000000001</v>
      </c>
      <c r="D6" s="1">
        <v>0.14000000000000001</v>
      </c>
      <c r="E6" s="1">
        <v>1.008675</v>
      </c>
      <c r="F6" s="1">
        <v>6.3099999999999996E-3</v>
      </c>
      <c r="G6" s="1">
        <v>21805.23</v>
      </c>
      <c r="H6" s="1">
        <v>84</v>
      </c>
      <c r="I6" s="1">
        <v>0.57918999999999998</v>
      </c>
      <c r="J6" s="1">
        <v>4.2299999999999998E-4</v>
      </c>
      <c r="K6" s="1">
        <v>9.645465E-4</v>
      </c>
      <c r="L6" s="1">
        <v>5.4199999999999998E-6</v>
      </c>
      <c r="M6" s="1">
        <v>1658.7670000000001</v>
      </c>
      <c r="N6" s="1">
        <v>6.52</v>
      </c>
      <c r="O6" t="s">
        <v>305</v>
      </c>
      <c r="P6" t="s">
        <v>306</v>
      </c>
      <c r="Q6">
        <v>3424</v>
      </c>
    </row>
    <row r="7" spans="1:17">
      <c r="A7" s="1">
        <v>-304469</v>
      </c>
      <c r="B7" s="1">
        <v>549000</v>
      </c>
      <c r="C7" s="1">
        <v>140.209</v>
      </c>
      <c r="D7" s="1">
        <v>8.8999999999999999E-3</v>
      </c>
      <c r="E7" s="1">
        <v>1.429751</v>
      </c>
      <c r="F7" s="1">
        <v>1.36</v>
      </c>
      <c r="G7" s="1">
        <v>23014.68</v>
      </c>
      <c r="H7" s="1">
        <v>15.1</v>
      </c>
      <c r="I7" s="1">
        <v>12.693350000000001</v>
      </c>
      <c r="J7" s="1">
        <v>1.3299999999999999E-2</v>
      </c>
      <c r="K7" s="1">
        <v>1.316071E-5</v>
      </c>
      <c r="L7" s="1">
        <v>6.4400000000000002E-6</v>
      </c>
      <c r="M7" s="1">
        <v>34428.230000000003</v>
      </c>
      <c r="N7" s="1">
        <v>43.9</v>
      </c>
      <c r="O7" t="s">
        <v>323</v>
      </c>
      <c r="P7" t="s">
        <v>326</v>
      </c>
      <c r="Q7">
        <v>3427</v>
      </c>
    </row>
    <row r="8" spans="1:17">
      <c r="A8" s="1">
        <v>800.72069999999997</v>
      </c>
      <c r="B8" s="1">
        <v>0.47</v>
      </c>
      <c r="C8" s="1">
        <v>139.9693</v>
      </c>
      <c r="D8" s="1">
        <v>1.6799999999999999E-2</v>
      </c>
      <c r="E8" s="1">
        <v>0.99620799999999998</v>
      </c>
      <c r="F8" s="1">
        <v>6.4999999999999997E-4</v>
      </c>
      <c r="G8" s="1">
        <v>21824.880000000001</v>
      </c>
      <c r="H8" s="1">
        <v>21.1</v>
      </c>
      <c r="I8" s="1">
        <v>8.4393550000000008</v>
      </c>
      <c r="J8" s="1">
        <v>9.6200000000000001E-3</v>
      </c>
      <c r="K8" s="1">
        <v>1.053985E-2</v>
      </c>
      <c r="L8" s="1">
        <v>1.4800000000000001E-5</v>
      </c>
      <c r="M8" s="1">
        <v>24138.46</v>
      </c>
      <c r="N8" s="1">
        <v>39.700000000000003</v>
      </c>
      <c r="O8" t="s">
        <v>307</v>
      </c>
      <c r="P8" t="s">
        <v>308</v>
      </c>
      <c r="Q8">
        <v>3430</v>
      </c>
    </row>
    <row r="9" spans="1:17">
      <c r="A9" s="1">
        <v>363792.2</v>
      </c>
      <c r="B9" s="1">
        <v>221000</v>
      </c>
      <c r="C9" s="1">
        <v>140.2303</v>
      </c>
      <c r="D9" s="1">
        <v>1.2E-2</v>
      </c>
      <c r="E9" s="1">
        <v>-1.5488599999999999</v>
      </c>
      <c r="F9" s="1">
        <v>1.68</v>
      </c>
      <c r="G9" s="1">
        <v>23007</v>
      </c>
      <c r="H9" s="1">
        <v>24.1</v>
      </c>
      <c r="I9" s="1">
        <v>12.95059</v>
      </c>
      <c r="J9" s="1">
        <v>9.8200000000000006E-3</v>
      </c>
      <c r="K9" s="1">
        <v>-5.3615479999999999E-6</v>
      </c>
      <c r="L9" s="1">
        <v>6.7100000000000001E-6</v>
      </c>
      <c r="M9" s="1">
        <v>35138.620000000003</v>
      </c>
      <c r="N9" s="1">
        <v>52.8</v>
      </c>
      <c r="O9" t="s">
        <v>323</v>
      </c>
      <c r="P9" t="s">
        <v>327</v>
      </c>
      <c r="Q9">
        <v>3433</v>
      </c>
    </row>
    <row r="10" spans="1:17">
      <c r="A10" s="1">
        <v>904.31410000000005</v>
      </c>
      <c r="B10" s="1">
        <v>0.97399999999999998</v>
      </c>
      <c r="C10" s="1">
        <v>140.05760000000001</v>
      </c>
      <c r="D10" s="1">
        <v>2.0500000000000001E-2</v>
      </c>
      <c r="E10" s="1">
        <v>0.99678750000000005</v>
      </c>
      <c r="F10" s="1">
        <v>1.33E-3</v>
      </c>
      <c r="G10" s="1">
        <v>21889.360000000001</v>
      </c>
      <c r="H10" s="1">
        <v>18.7</v>
      </c>
      <c r="I10" s="1">
        <v>7.1112149999999996</v>
      </c>
      <c r="J10" s="1">
        <v>1.2500000000000001E-2</v>
      </c>
      <c r="K10" s="1">
        <v>7.8624550000000008E-3</v>
      </c>
      <c r="L10" s="1">
        <v>1.7499999999999998E-5</v>
      </c>
      <c r="M10" s="1">
        <v>20274.060000000001</v>
      </c>
      <c r="N10" s="1">
        <v>41.8</v>
      </c>
      <c r="O10" t="s">
        <v>309</v>
      </c>
      <c r="P10" t="s">
        <v>310</v>
      </c>
      <c r="Q10">
        <v>3436</v>
      </c>
    </row>
    <row r="11" spans="1:17">
      <c r="A11" s="1">
        <v>199275.2</v>
      </c>
      <c r="B11" s="1">
        <v>133000</v>
      </c>
      <c r="C11" s="1">
        <v>140.30410000000001</v>
      </c>
      <c r="D11" s="1">
        <v>1.0699999999999999E-2</v>
      </c>
      <c r="E11" s="1">
        <v>1.7123120000000001</v>
      </c>
      <c r="F11" s="1">
        <v>3.04</v>
      </c>
      <c r="G11" s="1">
        <v>23078.61</v>
      </c>
      <c r="H11" s="1">
        <v>14.4</v>
      </c>
      <c r="I11" s="1">
        <v>13.05231</v>
      </c>
      <c r="J11" s="1">
        <v>1.4800000000000001E-2</v>
      </c>
      <c r="K11" s="1">
        <v>-5.1831369999999999E-6</v>
      </c>
      <c r="L11" s="1">
        <v>6.81E-6</v>
      </c>
      <c r="M11" s="1">
        <v>35303.53</v>
      </c>
      <c r="N11" s="1">
        <v>41.4</v>
      </c>
      <c r="O11" t="s">
        <v>323</v>
      </c>
      <c r="P11" t="s">
        <v>328</v>
      </c>
      <c r="Q11">
        <v>3439</v>
      </c>
    </row>
    <row r="12" spans="1:17">
      <c r="A12" s="1">
        <v>779.79570000000001</v>
      </c>
      <c r="B12" s="1">
        <v>0.33800000000000002</v>
      </c>
      <c r="C12" s="1">
        <v>140.0232</v>
      </c>
      <c r="D12" s="1">
        <v>1.2999999999999999E-2</v>
      </c>
      <c r="E12" s="1">
        <v>0.99644860000000002</v>
      </c>
      <c r="F12" s="1">
        <v>6.0999999999999997E-4</v>
      </c>
      <c r="G12" s="1">
        <v>21821.06</v>
      </c>
      <c r="H12" s="1">
        <v>18.899999999999999</v>
      </c>
      <c r="I12" s="1">
        <v>11.613479999999999</v>
      </c>
      <c r="J12" s="1">
        <v>2.6800000000000001E-2</v>
      </c>
      <c r="K12" s="1">
        <v>1.489293E-2</v>
      </c>
      <c r="L12" s="1">
        <v>3.3099999999999998E-5</v>
      </c>
      <c r="M12" s="1">
        <v>33222.74</v>
      </c>
      <c r="N12" s="1">
        <v>84.1</v>
      </c>
      <c r="O12" t="s">
        <v>311</v>
      </c>
      <c r="P12" t="s">
        <v>312</v>
      </c>
      <c r="Q12">
        <v>3442</v>
      </c>
    </row>
    <row r="13" spans="1:17">
      <c r="A13" s="1">
        <v>-149096.9</v>
      </c>
      <c r="B13" s="1">
        <v>141000</v>
      </c>
      <c r="C13" s="1">
        <v>140.2841</v>
      </c>
      <c r="D13" s="1">
        <v>9.3200000000000002E-3</v>
      </c>
      <c r="E13" s="1">
        <v>1.4749190000000001</v>
      </c>
      <c r="F13" s="1">
        <v>1.1399999999999999</v>
      </c>
      <c r="G13" s="1">
        <v>23002.48</v>
      </c>
      <c r="H13" s="1">
        <v>14.4</v>
      </c>
      <c r="I13" s="1">
        <v>13.30753</v>
      </c>
      <c r="J13" s="1">
        <v>2.1999999999999999E-2</v>
      </c>
      <c r="K13" s="1">
        <v>-3.4901350000000002E-6</v>
      </c>
      <c r="L13" s="1">
        <v>6.4899999999999997E-6</v>
      </c>
      <c r="M13" s="1">
        <v>36097.160000000003</v>
      </c>
      <c r="N13" s="1">
        <v>63.3</v>
      </c>
      <c r="O13" t="s">
        <v>323</v>
      </c>
      <c r="P13" t="s">
        <v>329</v>
      </c>
      <c r="Q13">
        <v>3445</v>
      </c>
    </row>
    <row r="14" spans="1:17">
      <c r="A14" s="1">
        <v>14346.79</v>
      </c>
      <c r="B14" s="1">
        <v>34.1</v>
      </c>
      <c r="C14" s="1">
        <v>140.2928</v>
      </c>
      <c r="D14" s="1">
        <v>6.2599999999999999E-3</v>
      </c>
      <c r="E14" s="1">
        <v>0.99993869999999996</v>
      </c>
      <c r="F14" s="1">
        <v>3.0400000000000002E-3</v>
      </c>
      <c r="G14" s="1">
        <v>22127.599999999999</v>
      </c>
      <c r="H14" s="1">
        <v>9.6</v>
      </c>
      <c r="I14" s="1">
        <v>34.844389999999997</v>
      </c>
      <c r="J14" s="1">
        <v>3.3399999999999999E-2</v>
      </c>
      <c r="K14" s="1">
        <v>2.4292110000000001E-3</v>
      </c>
      <c r="L14" s="1">
        <v>5.8200000000000002E-6</v>
      </c>
      <c r="M14" s="1">
        <v>98296.36</v>
      </c>
      <c r="N14" s="1">
        <v>95.4</v>
      </c>
      <c r="O14" t="s">
        <v>313</v>
      </c>
      <c r="P14" t="s">
        <v>314</v>
      </c>
      <c r="Q14">
        <v>3453</v>
      </c>
    </row>
    <row r="15" spans="1:17">
      <c r="A15" s="1">
        <v>-139771.6</v>
      </c>
      <c r="B15" s="1">
        <v>192000</v>
      </c>
      <c r="C15" s="1">
        <v>140.30340000000001</v>
      </c>
      <c r="D15" s="1">
        <v>9.0500000000000008E-3</v>
      </c>
      <c r="E15" s="1">
        <v>-0.15188109999999999</v>
      </c>
      <c r="F15" s="1">
        <v>0.59899999999999998</v>
      </c>
      <c r="G15" s="1">
        <v>23070.62</v>
      </c>
      <c r="H15" s="1">
        <v>14.4</v>
      </c>
      <c r="I15" s="1">
        <v>13.309799999999999</v>
      </c>
      <c r="J15" s="1">
        <v>1.2200000000000001E-2</v>
      </c>
      <c r="K15" s="1">
        <v>7.7994209999999993E-6</v>
      </c>
      <c r="L15" s="1">
        <v>5.0100000000000003E-6</v>
      </c>
      <c r="M15" s="1">
        <v>36012.589999999997</v>
      </c>
      <c r="N15" s="1">
        <v>39.200000000000003</v>
      </c>
      <c r="O15" t="s">
        <v>323</v>
      </c>
      <c r="P15" t="s">
        <v>330</v>
      </c>
      <c r="Q15">
        <v>3456</v>
      </c>
    </row>
    <row r="16" spans="1:17">
      <c r="A16" s="1">
        <v>10769.04</v>
      </c>
      <c r="B16" s="1">
        <v>28.9</v>
      </c>
      <c r="C16" s="1">
        <v>140.2319</v>
      </c>
      <c r="D16" s="1">
        <v>8.6899999999999998E-3</v>
      </c>
      <c r="E16" s="1">
        <v>1.001736</v>
      </c>
      <c r="F16" s="1">
        <v>3.3400000000000001E-3</v>
      </c>
      <c r="G16" s="1">
        <v>22103.360000000001</v>
      </c>
      <c r="H16" s="1">
        <v>13.5</v>
      </c>
      <c r="I16" s="1">
        <v>19.37135</v>
      </c>
      <c r="J16" s="1">
        <v>1.7000000000000001E-2</v>
      </c>
      <c r="K16" s="1">
        <v>1.796289E-3</v>
      </c>
      <c r="L16" s="1">
        <v>4.33E-6</v>
      </c>
      <c r="M16" s="1">
        <v>54706.92</v>
      </c>
      <c r="N16" s="1">
        <v>52.2</v>
      </c>
      <c r="O16" t="s">
        <v>315</v>
      </c>
      <c r="P16" t="s">
        <v>316</v>
      </c>
      <c r="Q16">
        <v>3461</v>
      </c>
    </row>
    <row r="17" spans="1:17">
      <c r="A17" s="1">
        <v>-114716.9</v>
      </c>
      <c r="B17" s="1">
        <v>239000</v>
      </c>
      <c r="C17" s="1">
        <v>140.3263</v>
      </c>
      <c r="D17" s="1">
        <v>1.2200000000000001E-2</v>
      </c>
      <c r="E17" s="1">
        <v>-0.99104579999999998</v>
      </c>
      <c r="F17" s="1">
        <v>1.23</v>
      </c>
      <c r="G17" s="1">
        <v>23083.91</v>
      </c>
      <c r="H17" s="1">
        <v>16.7</v>
      </c>
      <c r="I17" s="1">
        <v>13.588760000000001</v>
      </c>
      <c r="J17" s="1">
        <v>2.2599999999999999E-2</v>
      </c>
      <c r="K17" s="1">
        <v>-9.7201270000000009E-7</v>
      </c>
      <c r="L17" s="1">
        <v>6.5400000000000001E-6</v>
      </c>
      <c r="M17" s="1">
        <v>36746.01</v>
      </c>
      <c r="N17" s="1">
        <v>59.1</v>
      </c>
      <c r="O17" t="s">
        <v>323</v>
      </c>
      <c r="P17" t="s">
        <v>331</v>
      </c>
      <c r="Q17">
        <v>3464</v>
      </c>
    </row>
    <row r="18" spans="1:17">
      <c r="A18" s="1">
        <v>20424.02</v>
      </c>
      <c r="B18" s="1">
        <v>103</v>
      </c>
      <c r="C18" s="1">
        <v>140.28980000000001</v>
      </c>
      <c r="D18" s="1">
        <v>8.0000000000000002E-3</v>
      </c>
      <c r="E18" s="1">
        <v>1.0077910000000001</v>
      </c>
      <c r="F18" s="1">
        <v>5.4000000000000003E-3</v>
      </c>
      <c r="G18" s="1">
        <v>22137.26</v>
      </c>
      <c r="H18" s="1">
        <v>13</v>
      </c>
      <c r="I18" s="1">
        <v>24.04082</v>
      </c>
      <c r="J18" s="1">
        <v>4.8599999999999997E-2</v>
      </c>
      <c r="K18" s="1">
        <v>1.1778750000000001E-3</v>
      </c>
      <c r="L18" s="1">
        <v>5.8599999999999998E-6</v>
      </c>
      <c r="M18" s="1">
        <v>67789.600000000006</v>
      </c>
      <c r="N18" s="1">
        <v>131</v>
      </c>
      <c r="O18" t="s">
        <v>317</v>
      </c>
      <c r="P18" t="s">
        <v>318</v>
      </c>
      <c r="Q18">
        <v>3471</v>
      </c>
    </row>
    <row r="19" spans="1:17">
      <c r="A19" s="1">
        <v>-416784.3</v>
      </c>
      <c r="B19" s="1">
        <v>336000</v>
      </c>
      <c r="C19" s="1">
        <v>140.286</v>
      </c>
      <c r="D19" s="1">
        <v>9.7599999999999996E-3</v>
      </c>
      <c r="E19" s="1">
        <v>1.3357490000000001</v>
      </c>
      <c r="F19" s="1">
        <v>0.85099999999999998</v>
      </c>
      <c r="G19" s="1">
        <v>23079.64</v>
      </c>
      <c r="H19" s="1">
        <v>15.3</v>
      </c>
      <c r="I19" s="1">
        <v>13.604660000000001</v>
      </c>
      <c r="J19" s="1">
        <v>1.12E-2</v>
      </c>
      <c r="K19" s="1">
        <v>1.741242E-6</v>
      </c>
      <c r="L19" s="1">
        <v>5.0599999999999998E-6</v>
      </c>
      <c r="M19" s="1">
        <v>36796.129999999997</v>
      </c>
      <c r="N19" s="1">
        <v>39.6</v>
      </c>
      <c r="O19" t="s">
        <v>323</v>
      </c>
      <c r="P19" t="s">
        <v>332</v>
      </c>
      <c r="Q19">
        <v>3474</v>
      </c>
    </row>
    <row r="20" spans="1:17">
      <c r="A20" s="1">
        <v>21095.75</v>
      </c>
      <c r="B20" s="1">
        <v>112</v>
      </c>
      <c r="C20" s="1">
        <v>140.29329999999999</v>
      </c>
      <c r="D20" s="1">
        <v>5.4000000000000003E-3</v>
      </c>
      <c r="E20" s="1">
        <v>0.98889490000000002</v>
      </c>
      <c r="F20" s="1">
        <v>5.3800000000000002E-3</v>
      </c>
      <c r="G20" s="1">
        <v>22168.58</v>
      </c>
      <c r="H20" s="1">
        <v>10</v>
      </c>
      <c r="I20" s="1">
        <v>33.364809999999999</v>
      </c>
      <c r="J20" s="1">
        <v>3.6299999999999999E-2</v>
      </c>
      <c r="K20" s="1">
        <v>1.5828229999999999E-3</v>
      </c>
      <c r="L20" s="1">
        <v>8.1999999999999994E-6</v>
      </c>
      <c r="M20" s="1">
        <v>93948.76</v>
      </c>
      <c r="N20" s="1">
        <v>112</v>
      </c>
      <c r="O20" t="s">
        <v>319</v>
      </c>
      <c r="P20" t="s">
        <v>320</v>
      </c>
      <c r="Q20">
        <v>3479</v>
      </c>
    </row>
    <row r="21" spans="1:17">
      <c r="A21" s="1">
        <v>471549.1</v>
      </c>
      <c r="B21" s="1">
        <v>183000</v>
      </c>
      <c r="C21" s="1">
        <v>140.27070000000001</v>
      </c>
      <c r="D21" s="1">
        <v>1.06E-2</v>
      </c>
      <c r="E21" s="1">
        <v>-6.3184480000000001</v>
      </c>
      <c r="F21" s="1">
        <v>2.57</v>
      </c>
      <c r="G21" s="1">
        <v>23099.37</v>
      </c>
      <c r="H21" s="1">
        <v>14.7</v>
      </c>
      <c r="I21" s="1">
        <v>15.165990000000001</v>
      </c>
      <c r="J21" s="1">
        <v>1.34E-2</v>
      </c>
      <c r="K21" s="1">
        <v>9.2602139999999998E-6</v>
      </c>
      <c r="L21" s="1">
        <v>5.7699999999999998E-6</v>
      </c>
      <c r="M21" s="1">
        <v>40957.72</v>
      </c>
      <c r="N21" s="1">
        <v>47.7</v>
      </c>
      <c r="O21" t="s">
        <v>323</v>
      </c>
      <c r="P21" t="s">
        <v>333</v>
      </c>
      <c r="Q21">
        <v>3482</v>
      </c>
    </row>
    <row r="22" spans="1:17">
      <c r="A22" s="1">
        <v>13896.72</v>
      </c>
      <c r="B22" s="1">
        <v>29.7</v>
      </c>
      <c r="C22" s="1">
        <v>140.29480000000001</v>
      </c>
      <c r="D22" s="1">
        <v>4.9899999999999996E-3</v>
      </c>
      <c r="E22" s="1">
        <v>0.99948409999999999</v>
      </c>
      <c r="F22" s="1">
        <v>2.33E-3</v>
      </c>
      <c r="G22" s="1">
        <v>22147.61</v>
      </c>
      <c r="H22" s="1">
        <v>9.8800000000000008</v>
      </c>
      <c r="I22" s="1">
        <v>41.653219999999997</v>
      </c>
      <c r="J22" s="1">
        <v>3.2599999999999997E-2</v>
      </c>
      <c r="K22" s="1">
        <v>2.997708E-3</v>
      </c>
      <c r="L22" s="1">
        <v>6.3199999999999996E-6</v>
      </c>
      <c r="M22" s="1">
        <v>117398.3</v>
      </c>
      <c r="N22" s="1">
        <v>107</v>
      </c>
      <c r="O22" t="s">
        <v>321</v>
      </c>
      <c r="P22" t="s">
        <v>322</v>
      </c>
      <c r="Q22">
        <v>3487</v>
      </c>
    </row>
    <row r="23" spans="1:17">
      <c r="A23" s="1">
        <v>-245124.8</v>
      </c>
      <c r="B23" s="1">
        <v>149000</v>
      </c>
      <c r="C23" s="1">
        <v>140.3014</v>
      </c>
      <c r="D23" s="1">
        <v>1.15E-2</v>
      </c>
      <c r="E23" s="1">
        <v>-2.034278</v>
      </c>
      <c r="F23" s="1">
        <v>1.65</v>
      </c>
      <c r="G23" s="1">
        <v>23092.32</v>
      </c>
      <c r="H23" s="1">
        <v>16.600000000000001</v>
      </c>
      <c r="I23" s="1">
        <v>14.37092</v>
      </c>
      <c r="J23" s="1">
        <v>2.23E-2</v>
      </c>
      <c r="K23" s="1">
        <v>-1.7999439999999999E-5</v>
      </c>
      <c r="L23" s="1">
        <v>4.8899999999999998E-6</v>
      </c>
      <c r="M23" s="1">
        <v>38847.64</v>
      </c>
      <c r="N23" s="1">
        <v>72.599999999999994</v>
      </c>
      <c r="O23" t="s">
        <v>323</v>
      </c>
      <c r="P23" t="s">
        <v>334</v>
      </c>
      <c r="Q23">
        <v>3490</v>
      </c>
    </row>
    <row r="25" spans="1:17">
      <c r="A25" t="s">
        <v>335</v>
      </c>
    </row>
    <row r="26" spans="1:17">
      <c r="A26" s="81" t="s">
        <v>5</v>
      </c>
      <c r="B26" s="81" t="s">
        <v>1</v>
      </c>
      <c r="C26" s="81" t="s">
        <v>6</v>
      </c>
      <c r="D26" s="81" t="s">
        <v>1</v>
      </c>
      <c r="E26" s="81" t="s">
        <v>286</v>
      </c>
      <c r="F26" s="81" t="s">
        <v>1</v>
      </c>
      <c r="G26" s="81" t="s">
        <v>11</v>
      </c>
      <c r="H26" s="81" t="s">
        <v>1</v>
      </c>
      <c r="I26" s="81" t="s">
        <v>287</v>
      </c>
      <c r="J26" s="81" t="s">
        <v>1</v>
      </c>
      <c r="K26" s="81" t="s">
        <v>288</v>
      </c>
      <c r="L26" s="81" t="s">
        <v>1</v>
      </c>
      <c r="M26" s="81" t="s">
        <v>106</v>
      </c>
      <c r="N26" s="81" t="s">
        <v>107</v>
      </c>
      <c r="O26" s="81" t="s">
        <v>108</v>
      </c>
    </row>
    <row r="27" spans="1:17">
      <c r="A27" s="1">
        <v>13.089510000000001</v>
      </c>
      <c r="B27" s="1">
        <v>0.14199999999999999</v>
      </c>
      <c r="C27" s="1">
        <v>2.5316030000000002E-5</v>
      </c>
      <c r="D27" s="1">
        <v>9.4099999999999997E-6</v>
      </c>
      <c r="E27" s="1">
        <v>893.11699999999996</v>
      </c>
      <c r="F27" s="1">
        <v>9.41</v>
      </c>
      <c r="G27" s="1">
        <v>498.86290000000002</v>
      </c>
      <c r="H27" s="1">
        <v>11.3</v>
      </c>
      <c r="I27" s="1">
        <v>154.81890000000001</v>
      </c>
      <c r="J27" s="1">
        <v>6.07</v>
      </c>
      <c r="K27" s="1">
        <v>94.81147</v>
      </c>
      <c r="L27" s="1">
        <v>4.09</v>
      </c>
      <c r="M27" t="s">
        <v>336</v>
      </c>
      <c r="N27" t="s">
        <v>337</v>
      </c>
      <c r="O27">
        <v>3416</v>
      </c>
    </row>
    <row r="28" spans="1:17">
      <c r="A28" s="1">
        <v>12.89902</v>
      </c>
      <c r="B28" s="1">
        <v>7.9699999999999993E-2</v>
      </c>
      <c r="C28" s="1">
        <v>2.5585369999999999E-5</v>
      </c>
      <c r="D28" s="1">
        <v>8.49E-6</v>
      </c>
      <c r="E28" s="1">
        <v>860.51239999999996</v>
      </c>
      <c r="F28" s="1">
        <v>10</v>
      </c>
      <c r="G28" s="1">
        <v>487.8614</v>
      </c>
      <c r="H28" s="1">
        <v>3.77</v>
      </c>
      <c r="I28" s="1">
        <v>143.2174</v>
      </c>
      <c r="J28" s="1">
        <v>5.77</v>
      </c>
      <c r="K28" s="1">
        <v>84.410210000000006</v>
      </c>
      <c r="L28" s="1">
        <v>5.41</v>
      </c>
      <c r="M28" t="s">
        <v>336</v>
      </c>
      <c r="N28" t="s">
        <v>338</v>
      </c>
      <c r="O28">
        <v>3422</v>
      </c>
    </row>
    <row r="29" spans="1:17">
      <c r="A29" s="1">
        <v>12.46053</v>
      </c>
      <c r="B29" s="1">
        <v>6.6400000000000001E-2</v>
      </c>
      <c r="C29" s="1">
        <v>3.682616E-5</v>
      </c>
      <c r="D29" s="1">
        <v>7.0700000000000001E-6</v>
      </c>
      <c r="E29" s="1">
        <v>815.10599999999999</v>
      </c>
      <c r="F29" s="1">
        <v>17.5</v>
      </c>
      <c r="G29" s="1">
        <v>450.85660000000001</v>
      </c>
      <c r="H29" s="1">
        <v>8.81</v>
      </c>
      <c r="I29" s="1">
        <v>129.01570000000001</v>
      </c>
      <c r="J29" s="1">
        <v>6.3</v>
      </c>
      <c r="K29" s="1">
        <v>77.209329999999994</v>
      </c>
      <c r="L29" s="1">
        <v>3.43</v>
      </c>
      <c r="M29" t="s">
        <v>336</v>
      </c>
      <c r="N29" t="s">
        <v>339</v>
      </c>
      <c r="O29">
        <v>3428</v>
      </c>
    </row>
    <row r="30" spans="1:17">
      <c r="A30" s="1">
        <v>12.22129</v>
      </c>
      <c r="B30" s="1">
        <v>7.0199999999999999E-2</v>
      </c>
      <c r="C30" s="1">
        <v>4.2228529999999999E-5</v>
      </c>
      <c r="D30" s="1">
        <v>3.7799999999999998E-6</v>
      </c>
      <c r="E30" s="1">
        <v>777.30070000000001</v>
      </c>
      <c r="F30" s="1">
        <v>14.3</v>
      </c>
      <c r="G30" s="1">
        <v>452.2568</v>
      </c>
      <c r="H30" s="1">
        <v>8.42</v>
      </c>
      <c r="I30" s="1">
        <v>136.81659999999999</v>
      </c>
      <c r="J30" s="1">
        <v>6.25</v>
      </c>
      <c r="K30" s="1">
        <v>80.209689999999995</v>
      </c>
      <c r="L30" s="1">
        <v>3.76</v>
      </c>
      <c r="M30" t="s">
        <v>336</v>
      </c>
      <c r="N30" t="s">
        <v>340</v>
      </c>
      <c r="O30">
        <v>3434</v>
      </c>
    </row>
    <row r="31" spans="1:17">
      <c r="A31" s="1">
        <v>12.484540000000001</v>
      </c>
      <c r="B31" s="1">
        <v>3.5999999999999997E-2</v>
      </c>
      <c r="C31" s="1">
        <v>9.5630119999999992E-6</v>
      </c>
      <c r="D31" s="1">
        <v>5.3800000000000002E-6</v>
      </c>
      <c r="E31" s="1">
        <v>774.10029999999995</v>
      </c>
      <c r="F31" s="1">
        <v>18.3</v>
      </c>
      <c r="G31" s="1">
        <v>415.65199999999999</v>
      </c>
      <c r="H31" s="1">
        <v>5.74</v>
      </c>
      <c r="I31" s="1">
        <v>126.8154</v>
      </c>
      <c r="J31" s="1">
        <v>3.17</v>
      </c>
      <c r="K31" s="1">
        <v>75.20908</v>
      </c>
      <c r="L31" s="1">
        <v>1.36</v>
      </c>
      <c r="M31" t="s">
        <v>336</v>
      </c>
      <c r="N31" t="s">
        <v>341</v>
      </c>
      <c r="O31">
        <v>3440</v>
      </c>
    </row>
    <row r="32" spans="1:17">
      <c r="A32" s="1">
        <v>12.93356</v>
      </c>
      <c r="B32" s="1">
        <v>3.2399999999999998E-2</v>
      </c>
      <c r="C32" s="1">
        <v>-5.997211E-6</v>
      </c>
      <c r="D32" s="1">
        <v>9.0899999999999994E-6</v>
      </c>
      <c r="E32" s="1">
        <v>810.10530000000006</v>
      </c>
      <c r="F32" s="1">
        <v>9.1199999999999992</v>
      </c>
      <c r="G32" s="1">
        <v>417.4522</v>
      </c>
      <c r="H32" s="1">
        <v>14.7</v>
      </c>
      <c r="I32" s="1">
        <v>143.2174</v>
      </c>
      <c r="J32" s="1">
        <v>6.61</v>
      </c>
      <c r="K32" s="1">
        <v>68.608279999999993</v>
      </c>
      <c r="L32" s="1">
        <v>4.57</v>
      </c>
      <c r="M32" t="s">
        <v>336</v>
      </c>
      <c r="N32" t="s">
        <v>342</v>
      </c>
      <c r="O32">
        <v>3446</v>
      </c>
    </row>
    <row r="33" spans="1:15">
      <c r="A33" s="1">
        <v>12.70204</v>
      </c>
      <c r="B33" s="1">
        <v>0.01</v>
      </c>
      <c r="C33" s="1">
        <v>1.700117E-5</v>
      </c>
      <c r="D33" s="1">
        <v>5.48E-6</v>
      </c>
      <c r="E33" s="1">
        <v>779.90110000000004</v>
      </c>
      <c r="F33" s="1">
        <v>14.1</v>
      </c>
      <c r="G33" s="1">
        <v>416.45209999999997</v>
      </c>
      <c r="H33" s="1">
        <v>5.78</v>
      </c>
      <c r="I33" s="1">
        <v>131.01589999999999</v>
      </c>
      <c r="J33" s="1">
        <v>5.49</v>
      </c>
      <c r="K33" s="1">
        <v>78.809520000000006</v>
      </c>
      <c r="L33" s="1">
        <v>2.71</v>
      </c>
      <c r="M33" t="s">
        <v>336</v>
      </c>
      <c r="N33" t="s">
        <v>343</v>
      </c>
      <c r="O33">
        <v>3457</v>
      </c>
    </row>
    <row r="34" spans="1:15">
      <c r="A34" s="1">
        <v>12.87485</v>
      </c>
      <c r="B34" s="1">
        <v>3.8300000000000001E-2</v>
      </c>
      <c r="C34" s="1">
        <v>4.1762099999999998E-5</v>
      </c>
      <c r="D34" s="1">
        <v>1.31E-5</v>
      </c>
      <c r="E34" s="1">
        <v>797.50350000000003</v>
      </c>
      <c r="F34" s="1">
        <v>8.59</v>
      </c>
      <c r="G34" s="1">
        <v>409.85120000000001</v>
      </c>
      <c r="H34" s="1">
        <v>6.64</v>
      </c>
      <c r="I34" s="1">
        <v>123.215</v>
      </c>
      <c r="J34" s="1">
        <v>5.66</v>
      </c>
      <c r="K34" s="1">
        <v>80.409719999999993</v>
      </c>
      <c r="L34" s="1">
        <v>0.98</v>
      </c>
      <c r="M34" t="s">
        <v>336</v>
      </c>
      <c r="N34" t="s">
        <v>344</v>
      </c>
      <c r="O34">
        <v>3465</v>
      </c>
    </row>
    <row r="35" spans="1:15">
      <c r="A35" s="1">
        <v>12.762700000000001</v>
      </c>
      <c r="B35" s="1">
        <v>0.107</v>
      </c>
      <c r="C35" s="1">
        <v>3.0664950000000002E-5</v>
      </c>
      <c r="D35" s="1">
        <v>8.4999999999999999E-6</v>
      </c>
      <c r="E35" s="1">
        <v>782.30139999999994</v>
      </c>
      <c r="F35" s="1">
        <v>23.8</v>
      </c>
      <c r="G35" s="1">
        <v>436.85469999999998</v>
      </c>
      <c r="H35" s="1">
        <v>13.1</v>
      </c>
      <c r="I35" s="1">
        <v>119.8145</v>
      </c>
      <c r="J35" s="1">
        <v>4.33</v>
      </c>
      <c r="K35" s="1">
        <v>80.609740000000002</v>
      </c>
      <c r="L35" s="1">
        <v>5.56</v>
      </c>
      <c r="M35" t="s">
        <v>336</v>
      </c>
      <c r="N35" t="s">
        <v>345</v>
      </c>
      <c r="O35">
        <v>3475</v>
      </c>
    </row>
    <row r="36" spans="1:15">
      <c r="A36" s="1">
        <v>14.727180000000001</v>
      </c>
      <c r="B36" s="1">
        <v>6.9800000000000001E-2</v>
      </c>
      <c r="C36" s="1">
        <v>3.821985E-5</v>
      </c>
      <c r="D36" s="1">
        <v>7.1400000000000002E-6</v>
      </c>
      <c r="E36" s="1">
        <v>880.9153</v>
      </c>
      <c r="F36" s="1">
        <v>11.1</v>
      </c>
      <c r="G36" s="1">
        <v>502.66340000000002</v>
      </c>
      <c r="H36" s="1">
        <v>5.21</v>
      </c>
      <c r="I36" s="1">
        <v>145.01759999999999</v>
      </c>
      <c r="J36" s="1">
        <v>9.61</v>
      </c>
      <c r="K36" s="1">
        <v>96.411670000000001</v>
      </c>
      <c r="L36" s="1">
        <v>2.82</v>
      </c>
      <c r="M36" t="s">
        <v>336</v>
      </c>
      <c r="N36" t="s">
        <v>346</v>
      </c>
      <c r="O36">
        <v>3483</v>
      </c>
    </row>
    <row r="37" spans="1:15">
      <c r="A37" s="1">
        <v>14.3315</v>
      </c>
      <c r="B37" s="1">
        <v>8.6099999999999996E-2</v>
      </c>
      <c r="C37" s="1">
        <v>2.1367160000000002E-5</v>
      </c>
      <c r="D37" s="1">
        <v>5.1399999999999999E-6</v>
      </c>
      <c r="E37" s="1">
        <v>876.1146</v>
      </c>
      <c r="F37" s="1">
        <v>16</v>
      </c>
      <c r="G37" s="1">
        <v>475.25979999999998</v>
      </c>
      <c r="H37" s="1">
        <v>10.9</v>
      </c>
      <c r="I37" s="1">
        <v>151.2184</v>
      </c>
      <c r="J37" s="1">
        <v>5.81</v>
      </c>
      <c r="K37" s="1">
        <v>74.008939999999996</v>
      </c>
      <c r="L37" s="1">
        <v>4.17</v>
      </c>
      <c r="M37" t="s">
        <v>336</v>
      </c>
      <c r="N37" t="s">
        <v>347</v>
      </c>
      <c r="O37">
        <v>3491</v>
      </c>
    </row>
  </sheetData>
  <sortState xmlns:xlrd2="http://schemas.microsoft.com/office/spreadsheetml/2017/richdata2" ref="A3:Q23">
    <sortCondition ref="Q3:Q2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CE61-F648-454E-9FE1-EB59BC786729}">
  <dimension ref="A1:S24"/>
  <sheetViews>
    <sheetView workbookViewId="0">
      <selection activeCell="A4" sqref="A4:S24"/>
    </sheetView>
  </sheetViews>
  <sheetFormatPr defaultRowHeight="15.75"/>
  <cols>
    <col min="17" max="17" width="15.625" bestFit="1" customWidth="1"/>
  </cols>
  <sheetData>
    <row r="1" spans="1:19">
      <c r="A1" t="s">
        <v>302</v>
      </c>
    </row>
    <row r="2" spans="1:19">
      <c r="A2" s="81" t="s">
        <v>357</v>
      </c>
      <c r="B2" s="81" t="s">
        <v>1</v>
      </c>
      <c r="C2" s="81" t="s">
        <v>100</v>
      </c>
      <c r="D2" s="81" t="s">
        <v>1</v>
      </c>
      <c r="E2" s="81" t="s">
        <v>101</v>
      </c>
      <c r="F2" s="81" t="s">
        <v>1</v>
      </c>
      <c r="G2" s="81" t="s">
        <v>102</v>
      </c>
      <c r="H2" s="81" t="s">
        <v>1</v>
      </c>
      <c r="I2" s="81" t="s">
        <v>103</v>
      </c>
      <c r="J2" s="81" t="s">
        <v>1</v>
      </c>
      <c r="K2" s="81" t="s">
        <v>104</v>
      </c>
      <c r="L2" s="81" t="s">
        <v>1</v>
      </c>
      <c r="M2" s="81" t="s">
        <v>358</v>
      </c>
      <c r="N2" s="81" t="s">
        <v>1</v>
      </c>
      <c r="O2" s="81" t="s">
        <v>359</v>
      </c>
      <c r="P2" s="81" t="s">
        <v>1</v>
      </c>
      <c r="Q2" s="81" t="s">
        <v>106</v>
      </c>
      <c r="R2" s="81" t="s">
        <v>107</v>
      </c>
      <c r="S2" s="81" t="s">
        <v>108</v>
      </c>
    </row>
    <row r="3" spans="1:19">
      <c r="A3" s="1">
        <v>3.0854369999999999E-3</v>
      </c>
      <c r="B3" s="1">
        <v>2.4899999999999999E-6</v>
      </c>
      <c r="C3" s="1">
        <v>13.664199999999999</v>
      </c>
      <c r="D3" s="1">
        <v>4.64E-3</v>
      </c>
      <c r="E3" s="1">
        <v>4.2160030000000001E-2</v>
      </c>
      <c r="F3" s="1">
        <v>3.7100000000000001E-5</v>
      </c>
      <c r="G3" s="1">
        <v>0.1969177</v>
      </c>
      <c r="H3" s="1">
        <v>4.37E-4</v>
      </c>
      <c r="I3" s="1">
        <v>37926.370000000003</v>
      </c>
      <c r="J3" s="1">
        <v>92.4</v>
      </c>
      <c r="K3" s="1">
        <v>1.4411230000000001E-2</v>
      </c>
      <c r="L3" s="1">
        <v>3.18E-5</v>
      </c>
      <c r="M3" s="1">
        <v>1.8704370000000001E-4</v>
      </c>
      <c r="N3" s="1">
        <v>1.4E-5</v>
      </c>
      <c r="O3" s="1">
        <v>0.21669260000000001</v>
      </c>
      <c r="P3" s="1">
        <v>1.33E-9</v>
      </c>
      <c r="Q3" t="s">
        <v>373</v>
      </c>
      <c r="R3" t="s">
        <v>374</v>
      </c>
      <c r="S3">
        <v>3495</v>
      </c>
    </row>
    <row r="4" spans="1:19">
      <c r="A4" s="1">
        <v>3.0871190000000001E-3</v>
      </c>
      <c r="B4" s="1">
        <v>2.2800000000000002E-6</v>
      </c>
      <c r="C4" s="1">
        <v>13.655989999999999</v>
      </c>
      <c r="D4" s="1">
        <v>6.1700000000000001E-3</v>
      </c>
      <c r="E4" s="1">
        <v>4.2157680000000003E-2</v>
      </c>
      <c r="F4" s="1">
        <v>3.7299999999999999E-5</v>
      </c>
      <c r="G4" s="1">
        <v>0.20882400000000001</v>
      </c>
      <c r="H4" s="1">
        <v>3.7399999999999998E-4</v>
      </c>
      <c r="I4" s="1">
        <v>40241.49</v>
      </c>
      <c r="J4" s="1">
        <v>82.4</v>
      </c>
      <c r="K4" s="1">
        <v>1.5291799999999999E-2</v>
      </c>
      <c r="L4" s="1">
        <v>2.7399999999999999E-5</v>
      </c>
      <c r="M4" s="1">
        <v>3.9022130000000002E-5</v>
      </c>
      <c r="N4" s="1">
        <v>2.41E-5</v>
      </c>
      <c r="O4" s="1">
        <v>0.51672859999999998</v>
      </c>
      <c r="P4" s="1">
        <v>0</v>
      </c>
      <c r="Q4" t="s">
        <v>373</v>
      </c>
      <c r="R4" t="s">
        <v>375</v>
      </c>
      <c r="S4">
        <v>3497</v>
      </c>
    </row>
    <row r="5" spans="1:19">
      <c r="A5" s="1">
        <v>6.9978260000000002E-4</v>
      </c>
      <c r="B5" s="1">
        <v>3.3599999999999997E-5</v>
      </c>
      <c r="C5" s="1">
        <v>0.17895900000000001</v>
      </c>
      <c r="D5" s="1">
        <v>5.6499999999999996E-3</v>
      </c>
      <c r="E5" s="1">
        <v>1.2330150000000001E-4</v>
      </c>
      <c r="F5" s="1">
        <v>5.3199999999999999E-6</v>
      </c>
      <c r="G5" s="1">
        <v>2.011363E-4</v>
      </c>
      <c r="H5" s="1">
        <v>6.37E-6</v>
      </c>
      <c r="I5" s="1">
        <v>8.6543720000000004</v>
      </c>
      <c r="J5" s="1">
        <v>0.378</v>
      </c>
      <c r="K5" s="1">
        <v>1.1240009999999999E-3</v>
      </c>
      <c r="L5" s="1">
        <v>2.8100000000000002E-6</v>
      </c>
      <c r="M5" s="1">
        <v>1.470135E-3</v>
      </c>
      <c r="N5" s="1">
        <v>1.8899999999999999E-5</v>
      </c>
      <c r="O5" s="1">
        <v>0.56673459999999998</v>
      </c>
      <c r="P5" s="1">
        <v>0</v>
      </c>
      <c r="Q5" t="s">
        <v>303</v>
      </c>
      <c r="R5" t="s">
        <v>360</v>
      </c>
      <c r="S5">
        <v>3499</v>
      </c>
    </row>
    <row r="6" spans="1:19">
      <c r="A6" s="1">
        <v>3.0837500000000001E-3</v>
      </c>
      <c r="B6" s="1">
        <v>2.7700000000000002E-6</v>
      </c>
      <c r="C6" s="1">
        <v>13.661049999999999</v>
      </c>
      <c r="D6" s="1">
        <v>6.0299999999999998E-3</v>
      </c>
      <c r="E6" s="1">
        <v>4.2127249999999998E-2</v>
      </c>
      <c r="F6" s="1">
        <v>4.21E-5</v>
      </c>
      <c r="G6" s="1">
        <v>0.20561789999999999</v>
      </c>
      <c r="H6" s="1">
        <v>1.5300000000000001E-4</v>
      </c>
      <c r="I6" s="1">
        <v>39580.31</v>
      </c>
      <c r="J6" s="1">
        <v>50.6</v>
      </c>
      <c r="K6" s="1">
        <v>1.5051439999999999E-2</v>
      </c>
      <c r="L6" s="1">
        <v>1.11E-5</v>
      </c>
      <c r="M6" s="1">
        <v>7.8891739999999995E-6</v>
      </c>
      <c r="N6" s="1">
        <v>1.2799999999999999E-5</v>
      </c>
      <c r="O6" s="1">
        <v>0.43338529999999997</v>
      </c>
      <c r="P6" s="1">
        <v>2.6599999999999999E-9</v>
      </c>
      <c r="Q6" t="s">
        <v>373</v>
      </c>
      <c r="R6" t="s">
        <v>376</v>
      </c>
      <c r="S6">
        <v>3501</v>
      </c>
    </row>
    <row r="7" spans="1:19">
      <c r="A7" s="1">
        <v>1.050834E-4</v>
      </c>
      <c r="B7" s="1">
        <v>2.1799999999999999E-7</v>
      </c>
      <c r="C7" s="1">
        <v>133.5239</v>
      </c>
      <c r="D7" s="1">
        <v>0.14000000000000001</v>
      </c>
      <c r="E7" s="1">
        <v>1.4031190000000001E-2</v>
      </c>
      <c r="F7" s="1">
        <v>3.3399999999999999E-5</v>
      </c>
      <c r="G7" s="1">
        <v>0.3881346</v>
      </c>
      <c r="H7" s="1">
        <v>4.3100000000000001E-4</v>
      </c>
      <c r="I7" s="1">
        <v>2545.9520000000002</v>
      </c>
      <c r="J7" s="1">
        <v>5.62</v>
      </c>
      <c r="K7" s="1">
        <v>2.906952E-3</v>
      </c>
      <c r="L7" s="1">
        <v>4.9899999999999997E-6</v>
      </c>
      <c r="M7" s="1">
        <v>0.18971199999999999</v>
      </c>
      <c r="N7" s="1">
        <v>2.1800000000000001E-4</v>
      </c>
      <c r="O7" s="1">
        <v>0.47374090000000002</v>
      </c>
      <c r="P7" s="1">
        <v>0</v>
      </c>
      <c r="Q7" t="s">
        <v>361</v>
      </c>
      <c r="R7" t="s">
        <v>362</v>
      </c>
      <c r="S7">
        <v>3503</v>
      </c>
    </row>
    <row r="8" spans="1:19">
      <c r="A8" s="1">
        <v>3.084168E-3</v>
      </c>
      <c r="B8" s="1">
        <v>2.1900000000000002E-6</v>
      </c>
      <c r="C8" s="1">
        <v>13.657590000000001</v>
      </c>
      <c r="D8" s="1">
        <v>6.8799999999999998E-3</v>
      </c>
      <c r="E8" s="1">
        <v>4.2122279999999998E-2</v>
      </c>
      <c r="F8" s="1">
        <v>3.5200000000000002E-5</v>
      </c>
      <c r="G8" s="1">
        <v>0.2048565</v>
      </c>
      <c r="H8" s="1">
        <v>6.7900000000000002E-4</v>
      </c>
      <c r="I8" s="1">
        <v>39438.76</v>
      </c>
      <c r="J8" s="1">
        <v>132</v>
      </c>
      <c r="K8" s="1">
        <v>1.49994E-2</v>
      </c>
      <c r="L8" s="1">
        <v>4.85E-5</v>
      </c>
      <c r="M8" s="1">
        <v>-1.084279E-5</v>
      </c>
      <c r="N8" s="1">
        <v>3.1300000000000002E-5</v>
      </c>
      <c r="O8" s="1">
        <v>0.48339130000000002</v>
      </c>
      <c r="P8" s="1">
        <v>0</v>
      </c>
      <c r="Q8" t="s">
        <v>373</v>
      </c>
      <c r="R8" t="s">
        <v>377</v>
      </c>
      <c r="S8">
        <v>3505</v>
      </c>
    </row>
    <row r="9" spans="1:19">
      <c r="A9" s="1">
        <v>9.6455450000000002E-5</v>
      </c>
      <c r="B9" s="1">
        <v>1.9500000000000001E-7</v>
      </c>
      <c r="C9" s="1">
        <v>193.4915</v>
      </c>
      <c r="D9" s="1">
        <v>0.23300000000000001</v>
      </c>
      <c r="E9" s="1">
        <v>1.8662829999999998E-2</v>
      </c>
      <c r="F9" s="1">
        <v>3.4499999999999998E-5</v>
      </c>
      <c r="G9" s="1">
        <v>0.646567</v>
      </c>
      <c r="H9" s="1">
        <v>5.0799999999999999E-4</v>
      </c>
      <c r="I9" s="1">
        <v>3892.9690000000001</v>
      </c>
      <c r="J9" s="1">
        <v>8.99</v>
      </c>
      <c r="K9" s="1">
        <v>3.3416729999999999E-3</v>
      </c>
      <c r="L9" s="1">
        <v>4.1500000000000001E-6</v>
      </c>
      <c r="M9" s="1">
        <v>2.590957</v>
      </c>
      <c r="N9" s="1">
        <v>2.33E-3</v>
      </c>
      <c r="O9" s="1">
        <v>0.46672259999999999</v>
      </c>
      <c r="P9" s="1">
        <v>2.57E-9</v>
      </c>
      <c r="Q9" t="s">
        <v>307</v>
      </c>
      <c r="R9" t="s">
        <v>363</v>
      </c>
      <c r="S9">
        <v>3507</v>
      </c>
    </row>
    <row r="10" spans="1:19">
      <c r="A10" s="1">
        <v>3.0829289999999999E-3</v>
      </c>
      <c r="B10" s="1">
        <v>1.9199999999999998E-6</v>
      </c>
      <c r="C10" s="1">
        <v>13.64903</v>
      </c>
      <c r="D10" s="1">
        <v>5.7200000000000003E-3</v>
      </c>
      <c r="E10" s="1">
        <v>4.207905E-2</v>
      </c>
      <c r="F10" s="1">
        <v>3.3899999999999997E-5</v>
      </c>
      <c r="G10" s="1">
        <v>0.20116329999999999</v>
      </c>
      <c r="H10" s="1">
        <v>1.35E-4</v>
      </c>
      <c r="I10" s="1">
        <v>38712.480000000003</v>
      </c>
      <c r="J10" s="1">
        <v>39.4</v>
      </c>
      <c r="K10" s="1">
        <v>1.4738340000000001E-2</v>
      </c>
      <c r="L10" s="1">
        <v>1.0900000000000001E-5</v>
      </c>
      <c r="M10" s="1">
        <v>4.7635780000000001E-5</v>
      </c>
      <c r="N10" s="1">
        <v>2.5299999999999998E-5</v>
      </c>
      <c r="O10" s="1">
        <v>0.68341510000000005</v>
      </c>
      <c r="P10" s="1">
        <v>5.28E-9</v>
      </c>
      <c r="Q10" t="s">
        <v>373</v>
      </c>
      <c r="R10" t="s">
        <v>378</v>
      </c>
      <c r="S10">
        <v>3509</v>
      </c>
    </row>
    <row r="11" spans="1:19">
      <c r="A11" s="1">
        <v>2.014486E-4</v>
      </c>
      <c r="B11" s="1">
        <v>2.4699999999999998E-7</v>
      </c>
      <c r="C11" s="1">
        <v>181.88489999999999</v>
      </c>
      <c r="D11" s="1">
        <v>0.13300000000000001</v>
      </c>
      <c r="E11" s="1">
        <v>3.6640529999999998E-2</v>
      </c>
      <c r="F11" s="1">
        <v>5.4400000000000001E-5</v>
      </c>
      <c r="G11" s="1">
        <v>0.68275050000000004</v>
      </c>
      <c r="H11" s="1">
        <v>1.8799999999999999E-3</v>
      </c>
      <c r="I11" s="1">
        <v>8585.5920000000006</v>
      </c>
      <c r="J11" s="1">
        <v>27.6</v>
      </c>
      <c r="K11" s="1">
        <v>3.7537759999999999E-3</v>
      </c>
      <c r="L11" s="1">
        <v>1.03E-5</v>
      </c>
      <c r="M11" s="1">
        <v>2.1181209999999999</v>
      </c>
      <c r="N11" s="1">
        <v>6.8900000000000003E-3</v>
      </c>
      <c r="O11" s="1">
        <v>1.438769</v>
      </c>
      <c r="P11" s="1">
        <v>5.2700000000000002E-9</v>
      </c>
      <c r="Q11" t="s">
        <v>309</v>
      </c>
      <c r="R11" t="s">
        <v>364</v>
      </c>
      <c r="S11">
        <v>3511</v>
      </c>
    </row>
    <row r="12" spans="1:19">
      <c r="A12" s="1">
        <v>3.0856740000000001E-3</v>
      </c>
      <c r="B12" s="1">
        <v>1.5099999999999999E-6</v>
      </c>
      <c r="C12" s="1">
        <v>13.64922</v>
      </c>
      <c r="D12" s="1">
        <v>4.7600000000000003E-3</v>
      </c>
      <c r="E12" s="1">
        <v>4.2141949999999997E-2</v>
      </c>
      <c r="F12" s="1">
        <v>3.0800000000000003E-5</v>
      </c>
      <c r="G12" s="1">
        <v>0.20312769999999999</v>
      </c>
      <c r="H12" s="1">
        <v>3.0600000000000001E-4</v>
      </c>
      <c r="I12" s="1">
        <v>39178.050000000003</v>
      </c>
      <c r="J12" s="1">
        <v>73.3</v>
      </c>
      <c r="K12" s="1">
        <v>1.4876149999999999E-2</v>
      </c>
      <c r="L12" s="1">
        <v>2.26E-5</v>
      </c>
      <c r="M12" s="1">
        <v>2.9944759999999999E-5</v>
      </c>
      <c r="N12" s="1">
        <v>1.17E-5</v>
      </c>
      <c r="O12" s="1">
        <v>0.66674659999999997</v>
      </c>
      <c r="P12" s="1">
        <v>0</v>
      </c>
      <c r="Q12" t="s">
        <v>373</v>
      </c>
      <c r="R12" t="s">
        <v>379</v>
      </c>
      <c r="S12">
        <v>3513</v>
      </c>
    </row>
    <row r="13" spans="1:19">
      <c r="A13" s="1">
        <v>3.4867120000000001E-4</v>
      </c>
      <c r="B13" s="1">
        <v>5.8400000000000004E-7</v>
      </c>
      <c r="C13" s="1">
        <v>91.27816</v>
      </c>
      <c r="D13" s="1">
        <v>5.4600000000000003E-2</v>
      </c>
      <c r="E13" s="1">
        <v>3.1826149999999997E-2</v>
      </c>
      <c r="F13" s="1">
        <v>5.8499999999999999E-5</v>
      </c>
      <c r="G13" s="1">
        <v>0.37547550000000002</v>
      </c>
      <c r="H13" s="1">
        <v>8.8199999999999997E-4</v>
      </c>
      <c r="I13" s="1">
        <v>8172.451</v>
      </c>
      <c r="J13" s="1">
        <v>27.8</v>
      </c>
      <c r="K13" s="1">
        <v>4.1135729999999997E-3</v>
      </c>
      <c r="L13" s="1">
        <v>1.01E-5</v>
      </c>
      <c r="M13" s="1">
        <v>2.8661889999999999</v>
      </c>
      <c r="N13" s="1">
        <v>8.1499999999999993E-3</v>
      </c>
      <c r="O13" s="1">
        <v>0.48339130000000002</v>
      </c>
      <c r="P13" s="1">
        <v>0</v>
      </c>
      <c r="Q13" t="s">
        <v>311</v>
      </c>
      <c r="R13" t="s">
        <v>365</v>
      </c>
      <c r="S13">
        <v>3515</v>
      </c>
    </row>
    <row r="14" spans="1:19">
      <c r="A14" s="1">
        <v>3.087902E-3</v>
      </c>
      <c r="B14" s="1">
        <v>1.8300000000000001E-6</v>
      </c>
      <c r="C14" s="1">
        <v>13.65306</v>
      </c>
      <c r="D14" s="1">
        <v>7.3099999999999997E-3</v>
      </c>
      <c r="E14" s="1">
        <v>4.2159200000000001E-2</v>
      </c>
      <c r="F14" s="1">
        <v>2.8399999999999999E-5</v>
      </c>
      <c r="G14" s="1">
        <v>0.20328959999999999</v>
      </c>
      <c r="H14" s="1">
        <v>5.7300000000000005E-4</v>
      </c>
      <c r="I14" s="1">
        <v>39184.480000000003</v>
      </c>
      <c r="J14" s="1">
        <v>111</v>
      </c>
      <c r="K14" s="1">
        <v>1.4889660000000001E-2</v>
      </c>
      <c r="L14" s="1">
        <v>4.1100000000000003E-5</v>
      </c>
      <c r="M14" s="1">
        <v>4.7431610000000002E-5</v>
      </c>
      <c r="N14" s="1">
        <v>1.9199999999999999E-5</v>
      </c>
      <c r="O14" s="1">
        <v>0.5000599</v>
      </c>
      <c r="P14" s="1">
        <v>2.4699999999999999E-9</v>
      </c>
      <c r="Q14" t="s">
        <v>373</v>
      </c>
      <c r="R14" t="s">
        <v>380</v>
      </c>
      <c r="S14">
        <v>3517</v>
      </c>
    </row>
    <row r="15" spans="1:19">
      <c r="A15" s="1">
        <v>9.3785069999999995E-3</v>
      </c>
      <c r="B15" s="1">
        <v>3.7299999999999999E-6</v>
      </c>
      <c r="C15" s="1">
        <v>88.800830000000005</v>
      </c>
      <c r="D15" s="1">
        <v>0.107</v>
      </c>
      <c r="E15" s="1">
        <v>0.83281919999999998</v>
      </c>
      <c r="F15" s="1">
        <v>1.06E-3</v>
      </c>
      <c r="G15" s="1">
        <v>0.20456750000000001</v>
      </c>
      <c r="H15" s="1">
        <v>4.2299999999999998E-4</v>
      </c>
      <c r="I15" s="1">
        <v>119758.1</v>
      </c>
      <c r="J15" s="1">
        <v>237</v>
      </c>
      <c r="K15" s="1">
        <v>2.3037140000000001E-3</v>
      </c>
      <c r="L15" s="1">
        <v>4.8999999999999997E-6</v>
      </c>
      <c r="M15" s="1">
        <v>34.109009999999998</v>
      </c>
      <c r="N15" s="1">
        <v>8.6400000000000005E-2</v>
      </c>
      <c r="O15" s="1">
        <v>0.71675279999999997</v>
      </c>
      <c r="P15" s="1">
        <v>3.4200000000000002E-9</v>
      </c>
      <c r="Q15" t="s">
        <v>366</v>
      </c>
      <c r="R15" t="s">
        <v>367</v>
      </c>
      <c r="S15">
        <v>3519</v>
      </c>
    </row>
    <row r="16" spans="1:19">
      <c r="A16" s="1">
        <v>3.0906599999999998E-3</v>
      </c>
      <c r="B16" s="1">
        <v>2.17E-6</v>
      </c>
      <c r="C16" s="1">
        <v>13.64324</v>
      </c>
      <c r="D16" s="1">
        <v>6.6400000000000001E-3</v>
      </c>
      <c r="E16" s="1">
        <v>4.2166620000000002E-2</v>
      </c>
      <c r="F16" s="1">
        <v>3.6300000000000001E-5</v>
      </c>
      <c r="G16" s="1">
        <v>0.20313519999999999</v>
      </c>
      <c r="H16" s="1">
        <v>2.0100000000000001E-4</v>
      </c>
      <c r="I16" s="1">
        <v>39190.129999999997</v>
      </c>
      <c r="J16" s="1">
        <v>54.3</v>
      </c>
      <c r="K16" s="1">
        <v>1.488912E-2</v>
      </c>
      <c r="L16" s="1">
        <v>1.4399999999999999E-5</v>
      </c>
      <c r="M16" s="1">
        <v>1.868169E-5</v>
      </c>
      <c r="N16" s="1">
        <v>1.59E-5</v>
      </c>
      <c r="O16" s="1">
        <v>0.78342699999999998</v>
      </c>
      <c r="P16" s="1">
        <v>0</v>
      </c>
      <c r="Q16" t="s">
        <v>373</v>
      </c>
      <c r="R16" t="s">
        <v>381</v>
      </c>
      <c r="S16">
        <v>3521</v>
      </c>
    </row>
    <row r="17" spans="1:19">
      <c r="A17" s="1">
        <v>3.3970739999999999E-3</v>
      </c>
      <c r="B17" s="1">
        <v>1.24E-6</v>
      </c>
      <c r="C17" s="1">
        <v>184.8468</v>
      </c>
      <c r="D17" s="1">
        <v>0.19700000000000001</v>
      </c>
      <c r="E17" s="1">
        <v>0.62793750000000004</v>
      </c>
      <c r="F17" s="1">
        <v>6.8099999999999996E-4</v>
      </c>
      <c r="G17" s="1">
        <v>0.65544749999999996</v>
      </c>
      <c r="H17" s="1">
        <v>5.3200000000000003E-4</v>
      </c>
      <c r="I17" s="1">
        <v>138989</v>
      </c>
      <c r="J17" s="1">
        <v>123</v>
      </c>
      <c r="K17" s="1">
        <v>3.5460040000000002E-3</v>
      </c>
      <c r="L17" s="1">
        <v>5.1000000000000003E-6</v>
      </c>
      <c r="M17" s="1">
        <v>33.666200000000003</v>
      </c>
      <c r="N17" s="1">
        <v>3.0599999999999999E-2</v>
      </c>
      <c r="O17" s="1">
        <v>0.71675279999999997</v>
      </c>
      <c r="P17" s="1">
        <v>3.4200000000000002E-9</v>
      </c>
      <c r="Q17" t="s">
        <v>315</v>
      </c>
      <c r="R17" t="s">
        <v>368</v>
      </c>
      <c r="S17">
        <v>3523</v>
      </c>
    </row>
    <row r="18" spans="1:19">
      <c r="A18" s="1">
        <v>3.0890280000000002E-3</v>
      </c>
      <c r="B18" s="1">
        <v>1.7600000000000001E-6</v>
      </c>
      <c r="C18" s="1">
        <v>13.638809999999999</v>
      </c>
      <c r="D18" s="1">
        <v>6.3400000000000001E-3</v>
      </c>
      <c r="E18" s="1">
        <v>4.2130809999999998E-2</v>
      </c>
      <c r="F18" s="1">
        <v>3.7499999999999997E-5</v>
      </c>
      <c r="G18" s="1">
        <v>0.20900579999999999</v>
      </c>
      <c r="H18" s="1">
        <v>1.76E-4</v>
      </c>
      <c r="I18" s="1">
        <v>40301.25</v>
      </c>
      <c r="J18" s="1">
        <v>43.4</v>
      </c>
      <c r="K18" s="1">
        <v>1.532442E-2</v>
      </c>
      <c r="L18" s="1">
        <v>1.3699999999999999E-5</v>
      </c>
      <c r="M18" s="1">
        <v>5.8417779999999999E-7</v>
      </c>
      <c r="N18" s="1">
        <v>1.2999999999999999E-5</v>
      </c>
      <c r="O18" s="1">
        <v>0.78342699999999998</v>
      </c>
      <c r="P18" s="1">
        <v>0</v>
      </c>
      <c r="Q18" t="s">
        <v>373</v>
      </c>
      <c r="R18" t="s">
        <v>382</v>
      </c>
      <c r="S18">
        <v>3525</v>
      </c>
    </row>
    <row r="19" spans="1:19">
      <c r="A19" s="1">
        <v>3.039089E-3</v>
      </c>
      <c r="B19" s="1">
        <v>7.6599999999999995E-7</v>
      </c>
      <c r="C19" s="1">
        <v>428.57929999999999</v>
      </c>
      <c r="D19" s="1">
        <v>0.48099999999999998</v>
      </c>
      <c r="E19" s="1">
        <v>1.3033999999999999</v>
      </c>
      <c r="F19" s="1">
        <v>2E-3</v>
      </c>
      <c r="G19" s="1">
        <v>1.718969</v>
      </c>
      <c r="H19" s="1">
        <v>2.4299999999999999E-2</v>
      </c>
      <c r="I19" s="1">
        <v>326098.90000000002</v>
      </c>
      <c r="J19" s="1">
        <v>4610</v>
      </c>
      <c r="K19" s="1">
        <v>3.9375759999999999E-3</v>
      </c>
      <c r="L19" s="1">
        <v>6.9E-6</v>
      </c>
      <c r="M19" s="1">
        <v>57.289659999999998</v>
      </c>
      <c r="N19" s="1">
        <v>8.2799999999999993E-5</v>
      </c>
      <c r="O19" s="1">
        <v>0.91239009999999998</v>
      </c>
      <c r="P19" s="1">
        <v>0</v>
      </c>
      <c r="Q19" t="s">
        <v>369</v>
      </c>
      <c r="R19" t="s">
        <v>370</v>
      </c>
      <c r="S19">
        <v>3527</v>
      </c>
    </row>
    <row r="20" spans="1:19">
      <c r="A20" s="1">
        <v>3.0878049999999999E-3</v>
      </c>
      <c r="B20" s="1">
        <v>1.86E-6</v>
      </c>
      <c r="C20" s="1">
        <v>13.65254</v>
      </c>
      <c r="D20" s="1">
        <v>4.8500000000000001E-3</v>
      </c>
      <c r="E20" s="1">
        <v>4.2156319999999997E-2</v>
      </c>
      <c r="F20" s="1">
        <v>2.62E-5</v>
      </c>
      <c r="G20" s="1">
        <v>0.20810519999999999</v>
      </c>
      <c r="H20" s="1">
        <v>2.2000000000000001E-4</v>
      </c>
      <c r="I20" s="1">
        <v>40111.49</v>
      </c>
      <c r="J20" s="1">
        <v>44.6</v>
      </c>
      <c r="K20" s="1">
        <v>1.523358E-2</v>
      </c>
      <c r="L20" s="1">
        <v>1.38E-5</v>
      </c>
      <c r="M20" s="1">
        <v>-2.320151E-4</v>
      </c>
      <c r="N20" s="1">
        <v>4.0099999999999999E-5</v>
      </c>
      <c r="O20" s="1">
        <v>1.166806</v>
      </c>
      <c r="P20" s="1">
        <v>0</v>
      </c>
      <c r="Q20" t="s">
        <v>373</v>
      </c>
      <c r="R20" t="s">
        <v>383</v>
      </c>
      <c r="S20">
        <v>3529</v>
      </c>
    </row>
    <row r="21" spans="1:19">
      <c r="A21" s="1">
        <v>2.4163489999999999E-3</v>
      </c>
      <c r="B21" s="1">
        <v>6.3200000000000005E-7</v>
      </c>
      <c r="C21" s="1">
        <v>562.99260000000004</v>
      </c>
      <c r="D21" s="1">
        <v>0.52400000000000002</v>
      </c>
      <c r="E21" s="1">
        <v>1.3595090000000001</v>
      </c>
      <c r="F21" s="1">
        <v>1.07E-3</v>
      </c>
      <c r="G21" s="1">
        <v>2.43716</v>
      </c>
      <c r="H21" s="1">
        <v>2.4599999999999999E-3</v>
      </c>
      <c r="I21" s="1">
        <v>367605.5</v>
      </c>
      <c r="J21" s="1">
        <v>407</v>
      </c>
      <c r="K21" s="1">
        <v>4.3290239999999999E-3</v>
      </c>
      <c r="L21" s="1">
        <v>5.8100000000000003E-6</v>
      </c>
      <c r="M21" s="1">
        <v>57.288159999999998</v>
      </c>
      <c r="N21" s="1">
        <v>2.05E-5</v>
      </c>
      <c r="O21" s="1">
        <v>0.96678280000000005</v>
      </c>
      <c r="P21" s="1">
        <v>3.41E-9</v>
      </c>
      <c r="Q21" t="s">
        <v>319</v>
      </c>
      <c r="R21" t="s">
        <v>371</v>
      </c>
      <c r="S21">
        <v>3531</v>
      </c>
    </row>
    <row r="22" spans="1:19">
      <c r="A22" s="1">
        <v>3.0883479999999999E-3</v>
      </c>
      <c r="B22" s="1">
        <v>1.72E-6</v>
      </c>
      <c r="C22" s="1">
        <v>13.64668</v>
      </c>
      <c r="D22" s="1">
        <v>7.5700000000000003E-3</v>
      </c>
      <c r="E22" s="1">
        <v>4.2145740000000001E-2</v>
      </c>
      <c r="F22" s="1">
        <v>3.5099999999999999E-5</v>
      </c>
      <c r="G22" s="1">
        <v>0.21394669999999999</v>
      </c>
      <c r="H22" s="1">
        <v>7.2400000000000003E-4</v>
      </c>
      <c r="I22" s="1">
        <v>41245.199999999997</v>
      </c>
      <c r="J22" s="1">
        <v>146</v>
      </c>
      <c r="K22" s="1">
        <v>1.5677759999999999E-2</v>
      </c>
      <c r="L22" s="1">
        <v>5.4400000000000001E-5</v>
      </c>
      <c r="M22" s="1">
        <v>-1.696252E-4</v>
      </c>
      <c r="N22" s="1">
        <v>3.5599999999999998E-5</v>
      </c>
      <c r="O22" s="1">
        <v>0.85010169999999996</v>
      </c>
      <c r="P22" s="1">
        <v>2.64E-9</v>
      </c>
      <c r="Q22" t="s">
        <v>373</v>
      </c>
      <c r="R22" t="s">
        <v>384</v>
      </c>
      <c r="S22">
        <v>3533</v>
      </c>
    </row>
    <row r="23" spans="1:19">
      <c r="A23" s="1">
        <v>8.931268E-4</v>
      </c>
      <c r="B23" s="1">
        <v>6.3800000000000006E-5</v>
      </c>
      <c r="C23" s="1">
        <v>140.309</v>
      </c>
      <c r="D23" s="1">
        <v>0.152</v>
      </c>
      <c r="E23" s="1">
        <v>0.1394118</v>
      </c>
      <c r="F23" s="1">
        <v>1.6699999999999999E-4</v>
      </c>
      <c r="G23" s="1">
        <v>0.50484560000000001</v>
      </c>
      <c r="H23" s="1">
        <v>5.7700000000000004E-4</v>
      </c>
      <c r="I23" s="1">
        <v>31283.119999999999</v>
      </c>
      <c r="J23" s="1">
        <v>41.7</v>
      </c>
      <c r="K23" s="1">
        <v>3.5948220000000001E-3</v>
      </c>
      <c r="L23" s="1">
        <v>3.9400000000000004E-6</v>
      </c>
      <c r="M23" s="1">
        <v>50.69782</v>
      </c>
      <c r="N23" s="1">
        <v>5.3800000000000001E-2</v>
      </c>
      <c r="O23" s="1">
        <v>1.3168249999999999</v>
      </c>
      <c r="P23" s="1">
        <v>9.3100000000000003E-9</v>
      </c>
      <c r="Q23" t="s">
        <v>321</v>
      </c>
      <c r="R23" t="s">
        <v>372</v>
      </c>
      <c r="S23">
        <v>3535</v>
      </c>
    </row>
    <row r="24" spans="1:19">
      <c r="A24" s="1">
        <v>3.0865290000000002E-3</v>
      </c>
      <c r="B24" s="1">
        <v>1.57E-6</v>
      </c>
      <c r="C24" s="1">
        <v>13.659879999999999</v>
      </c>
      <c r="D24" s="1">
        <v>5.8799999999999998E-3</v>
      </c>
      <c r="E24" s="1">
        <v>4.2161610000000002E-2</v>
      </c>
      <c r="F24" s="1">
        <v>2.8099999999999999E-5</v>
      </c>
      <c r="G24" s="1">
        <v>0.2138854</v>
      </c>
      <c r="H24" s="1">
        <v>5.6599999999999999E-4</v>
      </c>
      <c r="I24" s="1">
        <v>41208.660000000003</v>
      </c>
      <c r="J24" s="1">
        <v>110</v>
      </c>
      <c r="K24" s="1">
        <v>1.5657879999999999E-2</v>
      </c>
      <c r="L24" s="1">
        <v>4.0099999999999999E-5</v>
      </c>
      <c r="M24" s="1">
        <v>7.4223339999999994E-5</v>
      </c>
      <c r="N24" s="1">
        <v>1.8499999999999999E-5</v>
      </c>
      <c r="O24" s="1">
        <v>2.4169559999999999</v>
      </c>
      <c r="P24" s="1">
        <v>2.4100000000000002E-9</v>
      </c>
      <c r="Q24" t="s">
        <v>373</v>
      </c>
      <c r="R24" t="s">
        <v>385</v>
      </c>
      <c r="S24">
        <v>3537</v>
      </c>
    </row>
  </sheetData>
  <sortState xmlns:xlrd2="http://schemas.microsoft.com/office/spreadsheetml/2017/richdata2" ref="A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Hayden Tiger</cp:lastModifiedBy>
  <dcterms:created xsi:type="dcterms:W3CDTF">2014-09-09T18:41:55Z</dcterms:created>
  <dcterms:modified xsi:type="dcterms:W3CDTF">2024-01-09T17:44:13Z</dcterms:modified>
</cp:coreProperties>
</file>