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11220" yWindow="1980" windowWidth="21240" windowHeight="11835" tabRatio="673" firstSheet="8" activeTab="8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HIS19" sheetId="32" r:id="rId9"/>
    <sheet name="paydown" sheetId="41" r:id="rId10"/>
    <sheet name="!" sheetId="33" r:id="rId11"/>
    <sheet name="snap" sheetId="37" state="hidden" r:id="rId12"/>
    <sheet name="NavJan23" sheetId="34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JC19" i="32" l="1"/>
  <c r="JC28" i="32" l="1"/>
  <c r="JE3" i="32"/>
  <c r="JA2" i="32"/>
  <c r="JE7" i="32"/>
  <c r="JA26" i="32"/>
  <c r="JA22" i="32"/>
  <c r="JA24" i="32"/>
  <c r="JA25" i="32"/>
  <c r="JA27" i="32"/>
  <c r="JE2" i="32" l="1"/>
  <c r="IW14" i="32"/>
  <c r="IW13" i="32" s="1"/>
  <c r="JA23" i="32" l="1"/>
  <c r="JC5" i="32"/>
  <c r="IW26" i="32"/>
  <c r="IW19" i="32" l="1"/>
  <c r="IW16" i="32" l="1"/>
  <c r="G19" i="34" l="1"/>
  <c r="G21" i="34"/>
  <c r="G23" i="34"/>
  <c r="G30" i="34"/>
  <c r="J16" i="41" l="1"/>
  <c r="J27" i="41" s="1"/>
  <c r="IY3" i="32" l="1"/>
  <c r="IS3" i="32"/>
  <c r="IM3" i="32"/>
  <c r="IG3" i="32"/>
  <c r="HY14" i="32"/>
  <c r="IU5" i="32" l="1"/>
  <c r="I4" i="41" l="1"/>
  <c r="I5" i="41" l="1"/>
  <c r="I11" i="41" s="1"/>
  <c r="IU7" i="32" l="1"/>
  <c r="IU26" i="32"/>
  <c r="HY45" i="32" l="1"/>
  <c r="IW25" i="32" l="1"/>
  <c r="IW18" i="32" l="1"/>
  <c r="H10" i="34" l="1"/>
  <c r="H5" i="34" l="1"/>
  <c r="H17" i="34" l="1"/>
  <c r="K17" i="34"/>
  <c r="K16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1" i="34"/>
  <c r="M22" i="34"/>
  <c r="J22" i="34"/>
  <c r="G22" i="34"/>
  <c r="M21" i="34"/>
  <c r="J21" i="34"/>
  <c r="G25" i="34"/>
  <c r="J26" i="34"/>
  <c r="J20" i="34"/>
  <c r="G20" i="34"/>
  <c r="J19" i="34"/>
  <c r="K18" i="34"/>
  <c r="H18" i="34"/>
  <c r="K14" i="34"/>
  <c r="K13" i="34"/>
  <c r="K12" i="34"/>
  <c r="N5" i="34"/>
  <c r="K4" i="34"/>
  <c r="D10" i="37"/>
  <c r="C7" i="37"/>
  <c r="C19" i="37" s="1"/>
  <c r="P45" i="41"/>
  <c r="P46" i="41" s="1"/>
  <c r="C40" i="41"/>
  <c r="C31" i="41"/>
  <c r="K27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9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28" i="32"/>
  <c r="IW5" i="32" s="1"/>
  <c r="IU27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5" i="32"/>
  <c r="IK31" i="32"/>
  <c r="HQ31" i="32"/>
  <c r="FU31" i="32"/>
  <c r="FK31" i="32"/>
  <c r="DN31" i="32"/>
  <c r="DH31" i="32"/>
  <c r="CJ31" i="32"/>
  <c r="CJ6" i="32" s="1"/>
  <c r="IU24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8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U2" i="28" s="1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H21" i="26"/>
  <c r="G20" i="26"/>
  <c r="G17" i="26"/>
  <c r="G10" i="26"/>
  <c r="I7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JC4" i="32" l="1"/>
  <c r="JC3" i="32"/>
  <c r="AM3" i="21"/>
  <c r="G37" i="34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ES2" i="28" s="1"/>
  <c r="ES3" i="28" s="1"/>
  <c r="ES4" i="28" s="1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2" i="41"/>
  <c r="M18" i="41" s="1"/>
  <c r="M27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37" i="34"/>
  <c r="K5" i="34"/>
  <c r="K37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37" i="34"/>
  <c r="M37" i="34"/>
  <c r="Q22" i="35"/>
  <c r="B23" i="35"/>
  <c r="H4" i="34"/>
  <c r="H37" i="34" s="1"/>
  <c r="M3" i="21" l="1"/>
  <c r="AO4" i="28"/>
  <c r="W4" i="28"/>
  <c r="M28" i="41"/>
  <c r="M36" i="41" s="1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1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G41" i="34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1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0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<sst xmlns="http://schemas.openxmlformats.org/spreadsheetml/2006/main" count="6844" uniqueCount="2719">
  <si>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</si>
  <si>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</si>
  <si>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</si>
  <si>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</si>
  <si>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</si>
  <si>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</si>
  <si>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</si>
  <si>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</si>
  <si>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</si>
  <si>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</si>
  <si>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</si>
  <si>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</si>
  <si>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</si>
  <si>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</si>
  <si>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</si>
  <si>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</si>
  <si>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</si>
  <si>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</si>
  <si>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</si>
  <si>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</si>
  <si>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</si>
  <si>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</si>
  <si>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</si>
  <si>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</si>
  <si>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</si>
  <si>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</si>
  <si>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</si>
  <si>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</si>
  <si>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</si>
  <si>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</si>
  <si>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</si>
  <si>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</si>
  <si>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</si>
  <si>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</si>
  <si>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</si>
  <si>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</si>
  <si>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</si>
  <si>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</si>
  <si>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</si>
  <si>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</si>
  <si>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</si>
  <si>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</si>
  <si>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</si>
  <si>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</si>
  <si>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</si>
  <si>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</si>
  <si>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</si>
  <si>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</si>
  <si>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</si>
  <si>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</si>
  <si>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</si>
  <si>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</si>
  <si>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</si>
  <si>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</si>
  <si>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</si>
  <si>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</si>
  <si>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</si>
  <si>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</si>
  <si>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</si>
  <si>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</si>
  <si>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</si>
  <si>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</si>
  <si>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</si>
  <si>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</si>
  <si>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</si>
  <si>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</si>
  <si>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</si>
  <si>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</si>
  <si>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</si>
  <si>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</si>
  <si>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</si>
  <si>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</si>
  <si>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</si>
  <si>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</si>
  <si>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</si>
  <si>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</si>
  <si>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</si>
  <si>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</si>
  <si>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</si>
  <si>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</si>
  <si>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</si>
  <si>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</si>
  <si>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</si>
  <si>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</si>
  <si>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</si>
  <si>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</si>
  <si>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</si>
  <si>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</si>
  <si>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</si>
  <si>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</si>
  <si>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</si>
  <si>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</si>
  <si>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</si>
  <si>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</si>
  <si>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</si>
  <si>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</si>
  <si>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</si>
  <si>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</si>
  <si>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</si>
  <si>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</si>
  <si>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</si>
  <si>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</si>
  <si>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</si>
  <si>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</si>
  <si>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</si>
  <si>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</si>
  <si>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</si>
  <si>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</si>
  <si>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</si>
  <si>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</si>
  <si>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</si>
  <si>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</si>
  <si>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</si>
  <si>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</si>
  <si>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</si>
  <si>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</si>
  <si>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</si>
  <si>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</si>
  <si>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</si>
  <si>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</si>
  <si>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</si>
  <si>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</si>
  <si>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</si>
  <si>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</si>
  <si>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</si>
  <si>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</si>
  <si>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</si>
  <si>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</si>
  <si>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</si>
  <si>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</si>
  <si>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</si>
  <si>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</si>
  <si>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</si>
  <si>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</si>
  <si>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</si>
  <si>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</si>
  <si>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</si>
  <si>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</si>
  <si>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</si>
  <si>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</si>
  <si>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</si>
  <si>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</si>
  <si>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</si>
  <si>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</si>
  <si>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</si>
  <si>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</si>
  <si>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</si>
  <si>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</si>
  <si>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</si>
  <si>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</si>
  <si>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</si>
  <si>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</si>
  <si>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</si>
  <si>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</si>
  <si>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</si>
  <si>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</si>
  <si>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</si>
  <si>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</si>
  <si>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</si>
  <si>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</si>
  <si>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</si>
  <si>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</si>
  <si>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</si>
  <si>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</si>
  <si>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</si>
  <si>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</si>
  <si>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</si>
  <si>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</si>
  <si>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</si>
  <si>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</si>
  <si>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</si>
  <si>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</si>
  <si>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</si>
  <si>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</si>
  <si>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</si>
  <si>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</si>
  <si>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</si>
  <si>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</si>
  <si>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</si>
  <si>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</si>
  <si>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</si>
  <si>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</si>
  <si>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</si>
  <si>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</si>
  <si>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</si>
  <si>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</si>
  <si>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</si>
  <si>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</si>
  <si>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</si>
  <si>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</si>
  <si>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</si>
  <si>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</si>
  <si>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</si>
  <si>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</si>
  <si>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</si>
  <si>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</si>
  <si>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</si>
  <si>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</si>
  <si>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</si>
  <si>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</si>
  <si>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</si>
  <si>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</si>
  <si>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</si>
  <si>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</si>
  <si>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</si>
  <si>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</si>
  <si>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</si>
  <si>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</si>
  <si>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</si>
  <si>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</si>
  <si>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</si>
  <si>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</si>
  <si>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</si>
  <si>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</si>
  <si>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</si>
  <si>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</si>
  <si>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</si>
  <si>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</si>
  <si>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</si>
  <si>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</si>
  <si>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</si>
  <si>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</si>
  <si>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</si>
  <si>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</si>
  <si>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</si>
  <si>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</si>
  <si>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</si>
  <si>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</si>
  <si>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</si>
  <si>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</si>
  <si>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</si>
  <si>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</si>
  <si>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</si>
  <si>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</si>
  <si>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</si>
  <si>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</si>
  <si>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</si>
  <si>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</si>
  <si>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</si>
  <si>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</si>
  <si>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</si>
  <si>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</si>
  <si>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</si>
  <si>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</si>
  <si>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</si>
  <si>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</si>
  <si>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</si>
  <si>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</si>
  <si>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</si>
  <si>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</si>
  <si>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</si>
  <si>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</si>
  <si>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</si>
  <si>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</si>
  <si>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</si>
  <si>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</si>
  <si>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</si>
  <si>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</si>
  <si>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</si>
  <si>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</si>
  <si>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</si>
  <si>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</si>
  <si>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</si>
  <si>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</si>
  <si>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</si>
  <si>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</si>
  <si>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</si>
  <si>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</si>
  <si>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</si>
  <si>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</si>
  <si>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</si>
  <si>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</si>
  <si>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</si>
  <si>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</si>
  <si>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</si>
  <si>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</si>
  <si>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</si>
  <si>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</si>
  <si>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</si>
  <si>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</si>
  <si>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</si>
  <si>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</si>
  <si>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</si>
  <si>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</si>
  <si>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</si>
  <si>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</si>
  <si>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</si>
  <si>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</si>
  <si>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</si>
  <si>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</si>
  <si>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</si>
  <si>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</si>
  <si>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</si>
  <si>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</si>
  <si>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</si>
  <si>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</si>
  <si>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</si>
  <si>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</si>
  <si>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</si>
  <si>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</si>
  <si>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</si>
  <si>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</si>
  <si>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</si>
  <si>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</si>
  <si>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</si>
  <si>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</si>
  <si>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</si>
  <si>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</si>
  <si>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</si>
  <si>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</si>
  <si>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</si>
  <si>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</si>
  <si>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</si>
  <si>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</si>
  <si>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</si>
  <si>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</si>
  <si>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</si>
  <si>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</si>
  <si>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</si>
  <si>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</si>
  <si>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</si>
  <si>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</si>
  <si>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</si>
  <si>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</si>
  <si>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</si>
  <si>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</si>
  <si>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</si>
  <si>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</si>
  <si>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</si>
  <si>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</si>
  <si>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</si>
  <si>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</si>
  <si>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</si>
  <si>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</si>
  <si>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</si>
  <si>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</si>
  <si>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</si>
  <si>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</si>
  <si>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</si>
  <si>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</si>
  <si>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</si>
  <si>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</si>
  <si>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</si>
  <si>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</si>
  <si>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</si>
  <si>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</si>
  <si>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</si>
  <si>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</si>
  <si>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</si>
  <si>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</si>
  <si>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</si>
  <si>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</si>
  <si>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</si>
  <si>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</si>
  <si>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</si>
  <si>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</si>
  <si>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</si>
  <si>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</si>
  <si>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</si>
  <si>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</si>
  <si>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</si>
  <si>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</si>
  <si>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</si>
  <si>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</si>
  <si>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</si>
  <si>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</si>
  <si>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</si>
  <si>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</si>
  <si>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</si>
  <si>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</si>
  <si>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</si>
  <si>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</si>
  <si>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</si>
  <si>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</si>
  <si>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</si>
  <si>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</si>
  <si>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</si>
  <si>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</si>
  <si>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</si>
  <si>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</si>
  <si>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</si>
  <si>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</si>
  <si>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</si>
  <si>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</si>
  <si>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</si>
  <si>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</si>
  <si>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</si>
  <si>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</si>
  <si>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</si>
  <si>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</si>
  <si>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</si>
  <si>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</si>
  <si>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</si>
  <si>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</si>
  <si>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</si>
  <si>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</si>
  <si>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</si>
  <si>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</si>
  <si>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</si>
  <si>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</si>
  <si>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</si>
  <si>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</si>
  <si>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</si>
  <si>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</si>
  <si>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</si>
  <si>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</si>
  <si>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</si>
  <si>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</si>
  <si>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</si>
  <si>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</si>
  <si>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</si>
  <si>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</si>
  <si>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</si>
  <si>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</si>
  <si>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</si>
  <si>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</si>
  <si>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</si>
  <si>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</si>
  <si>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</si>
  <si>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</si>
  <si>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</si>
  <si>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</si>
  <si>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</si>
  <si>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</si>
  <si>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</si>
  <si>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</si>
  <si>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</si>
  <si>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</si>
  <si>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</si>
  <si>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</si>
  <si>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</si>
  <si>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</si>
  <si>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</si>
  <si>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</si>
  <si>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</si>
  <si>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</si>
  <si>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</si>
  <si>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</si>
  <si>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</si>
  <si>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</si>
  <si>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</si>
  <si>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</si>
  <si>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</si>
  <si>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</si>
  <si>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</si>
  <si>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</si>
  <si>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</si>
  <si>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</si>
  <si>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</si>
  <si>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</si>
  <si>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</si>
  <si>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</si>
  <si>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</si>
  <si>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</si>
  <si>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</si>
  <si>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</si>
  <si>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</si>
  <si>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</si>
  <si>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</si>
  <si>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</si>
  <si>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</si>
  <si>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</si>
  <si>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</si>
  <si>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</si>
  <si>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</si>
  <si>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</si>
  <si>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</si>
  <si>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</si>
  <si>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</si>
  <si>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</si>
  <si>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</si>
  <si>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</si>
  <si>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</si>
  <si>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</si>
  <si>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</si>
  <si>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</si>
  <si>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</si>
  <si>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</si>
  <si>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</si>
  <si>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</si>
  <si>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</si>
  <si>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</si>
  <si>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</si>
  <si>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</si>
  <si>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</si>
  <si>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</si>
  <si>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</si>
  <si>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</si>
  <si>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</si>
  <si>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</si>
  <si>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</si>
  <si>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</si>
  <si>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</si>
  <si>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</si>
  <si>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</si>
  <si>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</si>
  <si>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</si>
  <si>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</si>
  <si>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</si>
  <si>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</si>
  <si>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</si>
  <si>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</si>
  <si>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</si>
  <si>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</si>
  <si>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</si>
  <si>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</si>
  <si>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</si>
  <si>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</si>
  <si>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</si>
  <si>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</si>
  <si>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</si>
  <si>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</si>
  <si>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</si>
  <si>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</si>
  <si>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</si>
  <si>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</si>
  <si>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</si>
  <si>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</si>
  <si>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</si>
  <si>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</si>
  <si>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</si>
  <si>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</si>
  <si>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</si>
  <si>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</si>
  <si>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</si>
  <si>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</si>
  <si>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</si>
  <si>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</si>
  <si>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</si>
  <si>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</si>
  <si>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</si>
  <si>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</si>
  <si>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</si>
  <si>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</si>
  <si>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</si>
  <si>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</si>
  <si>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</si>
  <si>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</si>
  <si>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</si>
  <si>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</si>
  <si>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</si>
  <si>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</si>
  <si>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</si>
  <si>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</si>
  <si>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</si>
  <si>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</si>
  <si>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</si>
  <si>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</si>
  <si>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</si>
  <si>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</si>
  <si>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</si>
  <si>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</si>
  <si>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</si>
  <si>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</si>
  <si>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</si>
  <si>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</si>
  <si>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</si>
  <si>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</si>
  <si>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</si>
  <si>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</si>
  <si>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</si>
  <si>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</si>
  <si>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</si>
  <si>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</si>
  <si>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</si>
  <si>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</si>
  <si>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</si>
  <si>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</si>
  <si>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</si>
  <si>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</si>
  <si>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</si>
  <si>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</si>
  <si>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</si>
  <si>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</si>
  <si>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</si>
  <si>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</si>
  <si>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</si>
  <si>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</si>
  <si>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</si>
  <si>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</si>
  <si>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</si>
  <si>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</si>
  <si>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</si>
  <si>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</si>
  <si>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</si>
  <si>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</si>
  <si>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</si>
  <si>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</si>
  <si>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</si>
  <si>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</si>
  <si>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</si>
  <si>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</si>
  <si>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</si>
  <si>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</si>
  <si>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</si>
  <si>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</si>
  <si>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</si>
  <si>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</si>
  <si>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</si>
  <si>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</si>
  <si>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</si>
  <si>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</si>
  <si>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</si>
  <si>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</si>
  <si>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</si>
  <si>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</si>
  <si>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</si>
  <si>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</si>
  <si>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</si>
  <si>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</si>
  <si>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</si>
  <si>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</si>
  <si>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</si>
  <si>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</si>
  <si>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</si>
  <si>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</si>
  <si>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</si>
  <si>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</si>
  <si>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</si>
  <si>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</si>
  <si>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</si>
  <si>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</si>
  <si>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</si>
  <si>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</si>
  <si>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</si>
  <si>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</si>
  <si>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</si>
  <si>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</si>
  <si>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</si>
  <si>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</si>
  <si>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</si>
  <si>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</si>
  <si>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</si>
  <si>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</si>
  <si>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</si>
  <si>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</si>
  <si>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</si>
  <si>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</si>
  <si>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</si>
  <si>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</si>
  <si>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</si>
  <si>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</si>
  <si>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</si>
  <si>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</si>
  <si>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</si>
  <si>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</si>
  <si>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</si>
  <si>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</si>
  <si>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</si>
  <si>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</si>
  <si>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</si>
  <si>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</si>
  <si>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</si>
  <si>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</si>
  <si>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</si>
  <si>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</si>
  <si>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</si>
  <si>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</si>
  <si>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</si>
  <si>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</si>
  <si>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</si>
  <si>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</si>
  <si>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</si>
  <si>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</si>
  <si>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</si>
  <si>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</si>
  <si>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</si>
  <si>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</si>
  <si>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</si>
  <si>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</si>
  <si>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</si>
  <si>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</si>
  <si>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</si>
  <si>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</si>
  <si>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</si>
  <si>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</si>
  <si>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</si>
  <si>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</si>
  <si>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</si>
  <si>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</si>
  <si>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</si>
  <si>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</si>
  <si>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</si>
  <si>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</si>
  <si>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</si>
  <si>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</si>
  <si>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</si>
  <si>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</si>
  <si>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</si>
  <si>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</si>
  <si>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</si>
  <si>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</si>
  <si>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</si>
  <si>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</si>
  <si>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</si>
  <si>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</si>
  <si>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</si>
  <si>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</si>
  <si>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</si>
  <si>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</si>
  <si>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</si>
  <si>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</si>
  <si>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</si>
  <si>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</si>
  <si>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</si>
  <si>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</si>
  <si>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</si>
  <si>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</si>
  <si>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</si>
  <si>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</si>
  <si>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</si>
  <si>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</si>
  <si>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</si>
  <si>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</si>
  <si>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</si>
  <si>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</si>
  <si>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</si>
  <si>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</si>
  <si>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</si>
  <si>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</si>
  <si>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</si>
  <si>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</si>
  <si>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</si>
  <si>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</si>
  <si>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</si>
  <si>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</si>
  <si>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</si>
  <si>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</si>
  <si>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</si>
  <si>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</si>
  <si>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</si>
  <si>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</si>
  <si>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</si>
  <si>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</si>
  <si>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</si>
  <si>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</si>
  <si>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</si>
  <si>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</si>
  <si>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</si>
  <si>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</si>
  <si>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</si>
  <si>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</si>
  <si>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</si>
  <si>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</si>
  <si>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</si>
  <si>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</si>
  <si>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</si>
  <si>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</si>
  <si>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</si>
  <si>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</si>
  <si>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</si>
  <si>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</si>
  <si>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</si>
  <si>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</si>
  <si>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</si>
  <si>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</si>
  <si>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</si>
  <si>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</si>
  <si>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</si>
  <si>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</si>
  <si>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</si>
  <si>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</si>
  <si>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</si>
  <si>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</si>
  <si>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</si>
  <si>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</si>
  <si>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</si>
  <si>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</si>
  <si>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</si>
  <si>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</si>
  <si>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</si>
  <si>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</si>
  <si>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</si>
  <si>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</si>
  <si>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</si>
  <si>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</si>
  <si>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</si>
  <si>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</si>
  <si>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</si>
  <si>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</si>
  <si>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</si>
  <si>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</si>
  <si>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</si>
  <si>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</si>
  <si>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</si>
  <si>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</si>
  <si>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</si>
  <si>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</si>
  <si>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</si>
  <si>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</si>
  <si>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</si>
  <si>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</si>
  <si>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</si>
  <si>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</si>
  <si>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</si>
  <si>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</si>
  <si>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</si>
  <si>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</si>
  <si>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</si>
  <si>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</si>
  <si>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</si>
  <si>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</si>
  <si>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</si>
  <si>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</si>
  <si>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</si>
  <si>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</si>
  <si>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</si>
  <si>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</si>
  <si>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</si>
  <si>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</si>
  <si>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</si>
  <si>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</si>
  <si>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</si>
  <si>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</si>
  <si>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</si>
  <si>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</si>
  <si>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</si>
  <si>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</si>
  <si>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</si>
  <si>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</si>
  <si>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</si>
  <si>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</si>
  <si>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</si>
  <si>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</si>
  <si>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</si>
  <si>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</si>
  <si>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</si>
  <si>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</si>
  <si>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</si>
  <si>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</si>
  <si>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</si>
  <si>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</si>
  <si>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</si>
  <si>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</si>
  <si>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</si>
  <si>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</si>
  <si>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</si>
  <si>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</si>
  <si>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</si>
  <si>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</si>
  <si>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</si>
  <si>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</si>
  <si>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</si>
  <si>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</si>
  <si>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</si>
  <si>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</si>
  <si>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</si>
  <si>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</si>
  <si>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</si>
  <si>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</si>
  <si>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</si>
  <si>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</si>
  <si>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</si>
  <si>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</si>
  <si>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</si>
  <si>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</si>
  <si>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</si>
  <si>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</si>
  <si>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</si>
  <si>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</si>
  <si>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</si>
  <si>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</si>
  <si>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</si>
  <si>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</si>
  <si>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</si>
  <si>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</si>
  <si>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</si>
  <si>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</si>
  <si>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</si>
  <si>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</si>
  <si>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</si>
  <si>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</si>
  <si>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</si>
  <si>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</si>
  <si>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</si>
  <si>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</si>
  <si>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</si>
  <si>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</si>
  <si>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</si>
  <si>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</si>
  <si>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</si>
  <si>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</si>
  <si>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</si>
  <si>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</si>
  <si>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</si>
  <si>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</si>
  <si>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</si>
  <si>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</si>
  <si>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</si>
  <si>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</si>
  <si>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</si>
  <si>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</si>
  <si>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</si>
  <si>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</si>
  <si>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</si>
  <si>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</si>
  <si>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</si>
  <si>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</si>
  <si>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</si>
  <si>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</si>
  <si>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</si>
  <si>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</si>
  <si>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</si>
  <si>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</si>
  <si>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</si>
  <si>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</si>
  <si>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</si>
  <si>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</si>
  <si>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</si>
  <si>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</si>
  <si>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</si>
  <si>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</si>
  <si>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</si>
  <si>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</si>
  <si>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</si>
  <si>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</si>
  <si>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</si>
  <si>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</si>
  <si>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</si>
  <si>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</si>
  <si>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</si>
  <si>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</si>
  <si>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</si>
  <si>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</si>
  <si>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</si>
  <si>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</si>
  <si>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</si>
  <si>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</si>
  <si>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</si>
  <si>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</si>
  <si>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</si>
  <si>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</si>
  <si>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</si>
  <si>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</si>
  <si>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</si>
  <si>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</si>
  <si>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</si>
  <si>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</si>
  <si>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</si>
  <si>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</si>
  <si>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</si>
  <si>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</si>
  <si>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</si>
  <si>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</si>
  <si>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</si>
  <si>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</si>
  <si>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</si>
  <si>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</si>
  <si>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</si>
  <si>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</si>
  <si>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</si>
  <si>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</si>
  <si>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</si>
  <si>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</si>
  <si>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</si>
  <si>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</si>
  <si>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</si>
  <si>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</si>
  <si>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</si>
  <si>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</si>
  <si>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</si>
  <si>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</si>
  <si>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</si>
  <si>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</si>
  <si>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</si>
  <si>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</si>
  <si>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</si>
  <si>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</si>
  <si>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</si>
  <si>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</si>
  <si>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</si>
  <si>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</si>
  <si>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</si>
  <si>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</si>
  <si>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</si>
  <si>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</si>
  <si>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</si>
  <si>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</si>
  <si>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</si>
  <si>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</si>
  <si>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</si>
  <si>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</si>
  <si>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</si>
  <si>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</si>
  <si>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</si>
  <si>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</si>
  <si>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</si>
  <si>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</si>
  <si>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</si>
  <si>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</si>
  <si>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</si>
  <si>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</si>
  <si>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</si>
  <si>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</si>
  <si>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</si>
  <si>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</si>
  <si>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</si>
  <si>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</si>
  <si>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</si>
  <si>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</si>
  <si>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</si>
  <si>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</si>
  <si>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</si>
  <si>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</si>
  <si>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</si>
  <si>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</si>
  <si>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</si>
  <si>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</si>
  <si>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</si>
  <si>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</si>
  <si>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</si>
  <si>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</si>
  <si>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</si>
  <si>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</si>
  <si>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</si>
  <si>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</si>
  <si>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</si>
  <si>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</si>
  <si>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</si>
  <si>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</si>
  <si>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</si>
  <si>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</si>
  <si>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</si>
  <si>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</si>
  <si>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</si>
  <si>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</si>
  <si>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</si>
  <si>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</si>
  <si>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</si>
  <si>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</si>
  <si>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</si>
  <si>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</si>
  <si>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</si>
  <si>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</si>
  <si>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</si>
  <si>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</si>
  <si>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</si>
  <si>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</si>
  <si>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</si>
  <si>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</si>
  <si>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</si>
  <si>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</si>
  <si>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</si>
  <si>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</si>
  <si>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</si>
  <si>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</si>
  <si>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</si>
  <si>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</si>
  <si>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</si>
  <si>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</si>
  <si>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</si>
  <si>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</si>
  <si>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</si>
  <si>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</si>
  <si>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</si>
  <si>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</si>
  <si>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</si>
  <si>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</si>
  <si>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</si>
  <si>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</si>
  <si>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</si>
  <si>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</si>
  <si>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</si>
  <si>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</si>
  <si>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</si>
  <si>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</si>
  <si>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</si>
  <si>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</si>
  <si>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</si>
  <si>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</si>
  <si>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</si>
  <si>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</si>
  <si>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</si>
  <si>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</si>
  <si>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</si>
  <si>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</si>
  <si>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</si>
  <si>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</si>
  <si>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</si>
  <si>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</si>
  <si>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</si>
  <si>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</si>
  <si>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</si>
  <si>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</si>
  <si>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</si>
  <si>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</si>
  <si>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</si>
  <si>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</si>
  <si>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</si>
  <si>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</si>
  <si>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</si>
  <si>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</si>
  <si>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</si>
  <si>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</si>
  <si>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</si>
  <si>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</si>
  <si>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</si>
  <si>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</si>
  <si>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</si>
  <si>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</si>
  <si>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</si>
  <si>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</si>
  <si>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</si>
  <si>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</si>
  <si>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</si>
  <si>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</si>
  <si>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</si>
  <si>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</si>
  <si>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</si>
  <si>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</si>
  <si>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</si>
  <si>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</si>
  <si>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</si>
  <si>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</si>
  <si>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</si>
  <si>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</si>
  <si>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</si>
  <si>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</si>
  <si>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</si>
  <si>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</si>
  <si>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</si>
  <si>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</si>
  <si>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</si>
  <si>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</si>
  <si>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</si>
  <si>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</si>
  <si>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</si>
  <si>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</si>
  <si>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</si>
  <si>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</si>
  <si>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</si>
  <si>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</si>
  <si>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</si>
  <si>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</si>
  <si>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</si>
  <si>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</si>
  <si>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</si>
  <si>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</si>
  <si>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</si>
  <si>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</si>
  <si>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</si>
  <si>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</si>
  <si>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</si>
  <si>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</si>
  <si>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</si>
  <si>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</si>
  <si>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</si>
  <si>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</si>
  <si>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</si>
  <si>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</si>
  <si>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</si>
  <si>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</si>
  <si>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</si>
  <si>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</si>
  <si>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</si>
  <si>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</si>
  <si>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</si>
  <si>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</si>
  <si>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</si>
  <si>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</si>
  <si>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</si>
  <si>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</si>
  <si>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</si>
  <si>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</si>
  <si>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</si>
  <si>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</si>
  <si>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</si>
  <si>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</si>
  <si>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</si>
  <si>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</si>
  <si>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</si>
  <si>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</si>
  <si>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</si>
  <si>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</si>
  <si>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</si>
  <si>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</si>
  <si>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</si>
  <si>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</si>
  <si>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</si>
  <si>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</si>
  <si>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</si>
  <si>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</si>
  <si>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</si>
  <si>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</si>
  <si>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</si>
  <si>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</si>
  <si>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</si>
  <si>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</si>
  <si>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</si>
  <si>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</si>
  <si>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</si>
  <si>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</si>
  <si>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</si>
  <si>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</si>
  <si>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</si>
  <si>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</si>
  <si>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</si>
  <si>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</si>
  <si>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</si>
  <si>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</si>
  <si>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</si>
  <si>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</si>
  <si>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</si>
  <si>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</si>
  <si>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</si>
  <si>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</si>
  <si>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</si>
  <si>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</si>
  <si>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</si>
  <si>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</si>
  <si>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</si>
  <si>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</si>
  <si>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</si>
  <si>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</si>
  <si>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</si>
  <si>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</si>
  <si>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</si>
  <si>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</si>
  <si>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</si>
  <si>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</si>
  <si>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</si>
  <si>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</si>
  <si>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</si>
  <si>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</si>
  <si>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</si>
  <si>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</si>
  <si>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</si>
  <si>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</si>
  <si>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</si>
  <si>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</si>
  <si>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</si>
  <si>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</si>
  <si>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</si>
  <si>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</si>
  <si>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</si>
  <si>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</si>
  <si>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</si>
  <si>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</si>
  <si>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</si>
  <si>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</si>
  <si>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</si>
  <si>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</si>
  <si>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</si>
  <si>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</si>
  <si>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</si>
  <si>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</si>
  <si>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</si>
  <si>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</si>
  <si>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</si>
  <si>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</si>
  <si>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</si>
  <si>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</si>
  <si>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</si>
  <si>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</si>
  <si>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</si>
  <si>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</si>
  <si>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</si>
  <si>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</si>
  <si>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</si>
  <si>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</si>
  <si>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</si>
  <si>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</si>
  <si>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</si>
  <si>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</si>
  <si>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</si>
  <si>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</si>
  <si>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</si>
  <si>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</si>
  <si>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</si>
  <si>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</si>
  <si>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</si>
  <si>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</si>
  <si>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</si>
  <si>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</si>
  <si>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</si>
  <si>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</si>
  <si>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</si>
  <si>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</si>
  <si>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</si>
  <si>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</si>
  <si>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</si>
  <si>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</si>
  <si>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</si>
  <si>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</si>
  <si>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</si>
  <si>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</si>
  <si>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</si>
  <si>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</si>
  <si>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</si>
  <si>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</si>
  <si>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</si>
  <si>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</si>
  <si>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</si>
  <si>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</si>
  <si>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</si>
  <si>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</si>
  <si>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</si>
  <si>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</si>
  <si>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</si>
  <si>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</si>
  <si>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</si>
  <si>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</si>
  <si>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</si>
  <si>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</si>
  <si>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</si>
  <si>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</si>
  <si>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</si>
  <si>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</si>
  <si>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</si>
  <si>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</si>
  <si>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</si>
  <si>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</si>
  <si>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</si>
  <si>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</si>
  <si>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</si>
  <si>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</si>
  <si>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</si>
  <si>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</si>
  <si>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</si>
  <si>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</si>
  <si>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</si>
  <si>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</si>
  <si>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</si>
  <si>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</si>
  <si>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</si>
  <si>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</si>
  <si>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</si>
  <si>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</si>
  <si>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</si>
  <si>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</si>
  <si>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</si>
  <si>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</si>
  <si>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</si>
  <si>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</si>
  <si>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</si>
  <si>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</si>
  <si>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</si>
  <si>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</si>
  <si>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</si>
  <si>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</si>
  <si>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</si>
  <si>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</si>
  <si>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</si>
  <si>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</si>
  <si>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</si>
  <si>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</si>
  <si>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</si>
  <si>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</si>
  <si>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</si>
  <si>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</si>
  <si>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</si>
  <si>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</si>
  <si>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</si>
  <si>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</si>
  <si>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</si>
  <si>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</si>
  <si>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</si>
  <si>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</si>
  <si>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</si>
  <si>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</si>
  <si>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</si>
  <si>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</si>
  <si>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</si>
  <si>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</si>
  <si>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</si>
  <si>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</si>
  <si>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</si>
  <si>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</si>
  <si>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</si>
  <si>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</si>
  <si>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</si>
  <si>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</si>
  <si>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</si>
  <si>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</si>
  <si>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</si>
  <si>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</si>
  <si>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</si>
  <si>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</si>
  <si>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</si>
  <si>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</si>
  <si>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</si>
  <si>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</si>
  <si>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</si>
  <si>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</si>
  <si>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</si>
  <si>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</si>
  <si>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</si>
  <si>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</si>
  <si>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</si>
  <si>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</si>
  <si>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</si>
  <si>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</si>
  <si>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</si>
  <si>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</si>
  <si>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</si>
  <si>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</si>
  <si>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</si>
  <si>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</si>
  <si>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</si>
  <si>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</si>
  <si>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</si>
  <si>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</si>
  <si>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</si>
  <si>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</si>
  <si>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</si>
  <si>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</si>
  <si>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</si>
  <si>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</si>
  <si>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</si>
  <si>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</si>
  <si>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</si>
  <si>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</si>
  <si>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</si>
  <si>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</si>
  <si>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</si>
  <si>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</si>
  <si>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</si>
  <si>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</si>
  <si>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</si>
  <si>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</si>
  <si>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</si>
  <si>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</si>
  <si>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</si>
  <si>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</si>
  <si>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</si>
  <si>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</si>
  <si>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</si>
  <si>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</si>
  <si>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</si>
  <si>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</si>
  <si>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</si>
  <si>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</si>
  <si>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</si>
  <si>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</si>
  <si>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</si>
  <si>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</si>
  <si>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</si>
  <si>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</si>
  <si>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</si>
  <si>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</si>
  <si>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</si>
  <si>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</si>
  <si>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</si>
  <si>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</si>
  <si>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</si>
  <si>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</si>
  <si>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</si>
  <si>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</si>
  <si>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</si>
  <si>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</si>
  <si>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</si>
  <si>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</si>
  <si>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</si>
  <si>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</si>
  <si>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</si>
  <si>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</si>
  <si>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</si>
  <si>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</si>
  <si>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</si>
  <si>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</si>
  <si>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</si>
  <si>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</si>
  <si>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</si>
  <si>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</si>
  <si>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</si>
  <si>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</si>
  <si>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</si>
  <si>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</si>
  <si>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</si>
  <si>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</si>
  <si>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</si>
  <si>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</si>
  <si>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</si>
  <si>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</si>
  <si>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</si>
  <si>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</si>
  <si>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</si>
  <si>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</si>
  <si>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</si>
  <si>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</si>
  <si>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</si>
  <si>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</si>
  <si>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</si>
  <si>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</si>
  <si>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</si>
  <si>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</si>
  <si>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</si>
  <si>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</si>
  <si>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</si>
  <si>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</si>
  <si>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</si>
  <si>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</si>
  <si>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</si>
  <si>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</si>
  <si>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</si>
  <si>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</si>
  <si>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</si>
  <si>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</si>
  <si>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</si>
  <si>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</si>
  <si>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</si>
  <si>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</si>
  <si>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</si>
  <si>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</si>
  <si>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</si>
  <si>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</si>
  <si>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</si>
  <si>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</si>
  <si>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</si>
  <si>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</si>
  <si>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</si>
  <si>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</si>
  <si>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</si>
  <si>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</si>
  <si>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</si>
  <si>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</si>
  <si>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</si>
  <si>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</si>
  <si>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</si>
  <si>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</si>
  <si>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</si>
  <si>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</si>
  <si>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</si>
  <si>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</si>
  <si>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</si>
  <si>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</si>
  <si>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</si>
  <si>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</si>
  <si>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</si>
  <si>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</si>
  <si>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</si>
  <si>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</si>
  <si>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</si>
  <si>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</si>
  <si>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</si>
  <si>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</si>
  <si>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</si>
  <si>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</si>
  <si>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</si>
  <si>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</si>
  <si>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</si>
  <si>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</si>
  <si>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</si>
  <si>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</si>
  <si>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</si>
  <si>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</si>
  <si>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</si>
  <si>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</si>
  <si>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</si>
  <si>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</si>
  <si>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</si>
  <si>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</si>
  <si>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</si>
  <si>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</si>
  <si>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</si>
  <si>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</si>
  <si>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</si>
  <si>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</si>
  <si>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</si>
  <si>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</si>
  <si>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</si>
  <si>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</si>
  <si>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</si>
  <si>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</si>
  <si>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</si>
  <si>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</si>
  <si>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</si>
  <si>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</si>
  <si>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</si>
  <si>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</si>
  <si>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</si>
  <si>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</si>
  <si>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</si>
  <si>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</si>
  <si>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</si>
  <si>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</si>
  <si>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</si>
  <si>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</si>
  <si>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</si>
  <si>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</si>
  <si>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</si>
  <si>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</si>
  <si>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</si>
  <si>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</si>
  <si>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</si>
  <si>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</si>
  <si>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</si>
  <si>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</si>
  <si>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</si>
  <si>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</si>
  <si>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</si>
  <si>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</si>
  <si>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</si>
  <si>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</si>
  <si>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</si>
  <si>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</si>
  <si>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</si>
  <si>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</si>
  <si>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</si>
  <si>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</si>
  <si>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</si>
  <si>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</si>
  <si>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</si>
  <si>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</si>
  <si>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</si>
  <si>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</si>
  <si>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</si>
  <si>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</si>
  <si>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</si>
  <si>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</si>
  <si>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</si>
  <si>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</si>
  <si>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</si>
  <si>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</si>
  <si>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</si>
  <si>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</si>
  <si>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</si>
  <si>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</si>
  <si>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</si>
  <si>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</si>
  <si>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</si>
  <si>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</si>
  <si>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</si>
  <si>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</si>
  <si>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</si>
  <si>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</si>
  <si>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</si>
  <si>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</si>
  <si>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</si>
  <si>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</si>
  <si>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</si>
  <si>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</si>
  <si>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</si>
  <si>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</si>
  <si>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</si>
  <si>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</si>
  <si>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</si>
  <si>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</si>
  <si>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</si>
  <si>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</si>
  <si>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</si>
  <si>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</si>
  <si>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</si>
  <si>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</si>
  <si>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</si>
  <si>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</si>
  <si>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</si>
  <si>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</si>
  <si>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</si>
  <si>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</si>
  <si>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</si>
  <si>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</si>
  <si>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</si>
  <si>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</si>
  <si>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</si>
  <si>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</si>
  <si>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</si>
  <si>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</si>
  <si>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</si>
  <si>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</si>
  <si>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</si>
  <si>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</si>
  <si>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</si>
  <si>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</si>
  <si>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</si>
  <si>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</si>
  <si>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</si>
  <si>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</si>
  <si>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</si>
  <si>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</si>
  <si>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</si>
  <si>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</si>
  <si>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</si>
  <si>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</si>
  <si>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</si>
  <si>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</si>
  <si>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</si>
  <si>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</si>
  <si>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</si>
  <si>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</si>
  <si>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</si>
  <si>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</si>
  <si>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</si>
  <si>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</si>
  <si>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</si>
  <si>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</si>
  <si>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</si>
  <si>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</si>
  <si>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</si>
  <si>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</si>
  <si>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</si>
  <si>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</si>
  <si>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</si>
  <si>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</si>
  <si>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</si>
  <si>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</si>
  <si>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</si>
  <si>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</si>
  <si>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</si>
  <si>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</si>
  <si>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</si>
  <si>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</si>
  <si>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</si>
  <si>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</si>
  <si>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</si>
  <si>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</si>
  <si>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</si>
  <si>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</si>
  <si>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</si>
  <si>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</si>
  <si>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</si>
  <si>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</si>
  <si>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</si>
  <si>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</si>
  <si>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</si>
  <si>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</si>
  <si>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</si>
  <si>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</si>
  <si>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</si>
  <si>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</si>
  <si>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</si>
  <si>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</si>
  <si>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</si>
  <si>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</si>
  <si>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</si>
  <si>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</si>
  <si>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</si>
  <si>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</si>
  <si>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</si>
  <si>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</si>
  <si>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</si>
  <si>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</si>
  <si>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</si>
  <si>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</si>
  <si>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</si>
  <si>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</si>
  <si>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</si>
  <si>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</si>
  <si>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</si>
  <si>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</si>
  <si>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</si>
  <si>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</si>
  <si>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</si>
  <si>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</si>
  <si>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</si>
  <si>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</si>
  <si>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</si>
  <si>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</si>
  <si>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</si>
  <si>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</si>
  <si>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</si>
  <si>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</si>
  <si>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</si>
  <si>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</si>
  <si>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</si>
  <si>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</si>
  <si>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</si>
  <si>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</si>
  <si>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</si>
  <si>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</si>
  <si>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</si>
  <si>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</si>
  <si>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</si>
  <si>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</si>
  <si>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</si>
  <si>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</si>
  <si>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</si>
  <si>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</si>
  <si>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</si>
  <si>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</si>
  <si>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</si>
  <si>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</si>
  <si>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</si>
  <si>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</si>
  <si>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</si>
  <si>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</si>
  <si>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</si>
  <si>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</si>
  <si>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</si>
  <si>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</si>
  <si>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</si>
  <si>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</si>
  <si>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</si>
  <si>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</si>
  <si>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</si>
  <si>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</si>
  <si>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</si>
  <si>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</si>
  <si>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</si>
  <si>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</si>
  <si>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</si>
  <si>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</si>
  <si>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</si>
  <si>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</si>
  <si>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</si>
  <si>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</si>
  <si>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</si>
  <si>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</si>
  <si>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</si>
  <si>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</si>
  <si>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</si>
  <si>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</si>
  <si>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</si>
  <si>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</si>
  <si>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</si>
  <si>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</si>
  <si>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</si>
  <si>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</si>
  <si>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</si>
  <si>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</si>
  <si>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</si>
  <si>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</si>
  <si>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</si>
  <si>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</si>
  <si>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</si>
  <si>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</si>
  <si>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</si>
  <si>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</si>
  <si>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</si>
  <si>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</si>
  <si>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</si>
  <si>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</si>
  <si>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</si>
  <si>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</si>
  <si>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</si>
  <si>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</si>
  <si>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</si>
  <si>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</si>
  <si>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</si>
  <si>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</si>
  <si>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</si>
  <si>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</si>
  <si>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</si>
  <si>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</si>
  <si>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</si>
  <si>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</si>
  <si>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</si>
  <si>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</si>
  <si>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</si>
  <si>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</si>
  <si>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</si>
  <si>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</si>
  <si>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</si>
  <si>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</si>
  <si>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</si>
  <si>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</si>
  <si>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</si>
  <si>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</si>
  <si>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</si>
  <si>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</si>
  <si>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</si>
  <si>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</si>
  <si>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</si>
  <si>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</si>
  <si>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</si>
  <si>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</si>
  <si>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</si>
  <si>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</si>
  <si>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</si>
  <si>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</si>
  <si>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</si>
  <si>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</si>
  <si>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</si>
  <si>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</si>
  <si>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</si>
  <si>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</si>
  <si>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</si>
  <si>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</si>
  <si>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</si>
  <si>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</si>
  <si>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</si>
  <si>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</si>
  <si>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</si>
  <si>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</si>
  <si>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</si>
  <si>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</si>
  <si>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</si>
  <si>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</si>
  <si>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</si>
  <si>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</si>
  <si>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</si>
  <si>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</si>
  <si>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</si>
  <si>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</si>
  <si>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</si>
  <si>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</si>
  <si>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</si>
  <si>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</si>
  <si>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</si>
  <si>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</si>
  <si>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</si>
  <si>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</si>
  <si>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</si>
  <si>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</si>
  <si>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</si>
  <si>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</si>
  <si>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</si>
  <si>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</si>
  <si>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</si>
  <si>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</si>
  <si>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</si>
  <si>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</si>
  <si>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</si>
  <si>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</si>
  <si>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</si>
  <si>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</si>
  <si>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</si>
  <si>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</si>
  <si>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</si>
  <si>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</si>
  <si>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</si>
  <si>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</si>
  <si>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</si>
  <si>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</si>
  <si>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</si>
  <si>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</si>
  <si>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</si>
  <si>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</si>
  <si>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</si>
  <si>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</si>
  <si>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</si>
  <si>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</si>
  <si>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</si>
  <si>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</si>
  <si>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</si>
  <si>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</si>
  <si>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</si>
  <si>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</si>
  <si>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</si>
  <si>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</si>
  <si>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</si>
  <si>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</si>
  <si>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</si>
  <si>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</si>
  <si>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</si>
  <si>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</si>
  <si>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</si>
  <si>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</si>
  <si>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</si>
  <si>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</si>
  <si>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</si>
  <si>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</si>
  <si>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</si>
  <si>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</si>
  <si>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</si>
  <si>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</si>
  <si>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</si>
  <si>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</si>
  <si>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</si>
  <si>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</si>
  <si>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</si>
  <si>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</si>
  <si>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</si>
  <si>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</si>
  <si>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</si>
  <si>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</si>
  <si>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</si>
  <si>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</si>
  <si>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</si>
  <si>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</si>
  <si>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</si>
  <si>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</si>
  <si>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</si>
  <si>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</si>
  <si>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</si>
  <si>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</si>
  <si>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</si>
  <si>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</si>
  <si>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</si>
  <si>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</si>
  <si>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</si>
  <si>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</si>
  <si>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</si>
  <si>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</si>
  <si>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</si>
  <si>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</si>
  <si>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</si>
  <si>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</si>
  <si>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</si>
  <si>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</si>
  <si>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</si>
  <si>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</si>
  <si>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</si>
  <si>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</si>
  <si>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</si>
  <si>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</si>
  <si>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</si>
  <si>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</si>
  <si>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</si>
  <si>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</si>
  <si>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</si>
  <si>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</si>
  <si>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</si>
  <si>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</si>
  <si>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</si>
  <si>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</si>
  <si>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</si>
  <si>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</si>
  <si>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</si>
  <si>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</si>
  <si>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</si>
  <si>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</si>
  <si>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</si>
  <si>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</si>
  <si>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</si>
  <si>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</si>
  <si>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</si>
  <si>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</si>
  <si>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</si>
  <si>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</si>
  <si>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</si>
  <si>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</si>
  <si>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</si>
  <si>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</si>
  <si>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</si>
  <si>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</si>
  <si>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</si>
  <si>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</si>
  <si>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</si>
  <si>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</si>
  <si>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</si>
  <si>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</si>
  <si>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</si>
  <si>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</si>
  <si>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</si>
  <si>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</si>
  <si>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</si>
  <si>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</si>
  <si>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</si>
  <si>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</si>
  <si>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</si>
  <si>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</si>
  <si>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</si>
  <si>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</si>
  <si>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</si>
  <si>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</si>
  <si>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</si>
  <si>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</si>
  <si>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</si>
  <si>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</si>
  <si>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</si>
  <si>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</si>
  <si>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</si>
  <si>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</si>
  <si>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</si>
  <si>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</si>
  <si>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</si>
  <si>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</si>
  <si>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</si>
  <si>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</si>
  <si>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</si>
  <si>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</si>
  <si>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</si>
  <si>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</si>
  <si>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</si>
  <si>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</si>
  <si>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</si>
  <si>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</si>
  <si>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</si>
  <si>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</si>
  <si>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</si>
  <si>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</si>
  <si>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</si>
  <si>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</si>
  <si>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</si>
  <si>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</si>
  <si>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</si>
  <si>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</si>
  <si>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</si>
  <si>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</si>
  <si>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</si>
  <si>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</si>
  <si>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</si>
  <si>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</si>
  <si>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</si>
  <si>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</si>
  <si>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</si>
  <si>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</si>
  <si>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</si>
  <si>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</si>
  <si>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</si>
  <si>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</si>
  <si>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</si>
  <si>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</si>
  <si>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</si>
  <si>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</si>
  <si>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</si>
  <si>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</si>
  <si>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</si>
  <si>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</si>
  <si>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</si>
  <si>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</si>
  <si>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</si>
  <si>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</si>
  <si>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</si>
  <si>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</si>
  <si>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</si>
  <si>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</si>
  <si>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</si>
  <si>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</si>
  <si>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</si>
  <si>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</si>
  <si>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</si>
  <si>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</si>
  <si>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</si>
  <si>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</si>
  <si>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</si>
  <si>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</si>
  <si>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</si>
  <si>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</si>
  <si>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</si>
  <si>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</si>
  <si>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</si>
  <si>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</si>
  <si>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</si>
  <si>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</si>
  <si>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</si>
  <si>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</si>
  <si>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</si>
  <si>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</si>
  <si>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</si>
  <si>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</si>
  <si>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</si>
  <si>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</si>
  <si>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</si>
  <si>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</si>
  <si>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</si>
  <si>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</si>
  <si>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</si>
  <si>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</si>
  <si>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</si>
  <si>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</si>
  <si>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</si>
  <si>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</si>
  <si>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</si>
  <si>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</si>
  <si>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</si>
  <si>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</si>
  <si>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</si>
  <si>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</si>
  <si>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</si>
  <si>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</si>
  <si>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</si>
  <si>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</si>
  <si>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</si>
  <si>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</si>
  <si>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</si>
  <si>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</si>
  <si>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</si>
  <si>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</si>
  <si>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</si>
  <si>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</si>
  <si>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</si>
  <si>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</si>
  <si>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</si>
  <si>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</si>
  <si>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</si>
  <si>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</si>
  <si>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</si>
  <si>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</si>
  <si>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</si>
  <si>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</si>
  <si>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</si>
  <si>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</si>
  <si>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</si>
  <si>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</si>
  <si>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</si>
  <si>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</si>
  <si>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</si>
  <si>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</si>
  <si>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</si>
  <si>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</si>
  <si>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</si>
  <si>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</si>
  <si>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</si>
  <si>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</si>
  <si>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</si>
  <si>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</si>
  <si>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</si>
  <si>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</si>
  <si>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</si>
  <si>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</si>
  <si>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</si>
  <si>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</si>
  <si>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</si>
  <si>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</si>
  <si>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</si>
  <si>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</si>
  <si>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</si>
  <si>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</si>
  <si>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</si>
  <si>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</si>
  <si>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</si>
  <si>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</si>
  <si>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</si>
  <si>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</si>
  <si>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</si>
  <si>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</si>
  <si>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</si>
  <si>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</si>
  <si>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</si>
  <si>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</si>
  <si>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</si>
  <si>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</si>
  <si>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</si>
  <si>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</si>
  <si>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</si>
  <si>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</si>
  <si>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</si>
  <si>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</si>
  <si>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</si>
  <si>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</si>
  <si>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</si>
  <si>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</si>
  <si>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</si>
  <si>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</si>
  <si>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</si>
  <si>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</si>
  <si>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</si>
  <si>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</si>
  <si>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</si>
  <si>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</si>
  <si>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</si>
  <si>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</si>
  <si>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</si>
  <si>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</si>
  <si>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</si>
  <si>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</si>
  <si>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</si>
  <si>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</si>
  <si>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</si>
  <si>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</si>
  <si>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</si>
  <si>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</si>
  <si>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</si>
  <si>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</si>
  <si>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</si>
  <si>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</si>
  <si>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</si>
  <si>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</si>
  <si>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</si>
  <si>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</si>
  <si>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</si>
  <si>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</si>
  <si>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</si>
  <si>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</si>
  <si>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</si>
  <si>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</si>
  <si>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</si>
  <si>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</si>
  <si>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</si>
  <si>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</si>
  <si>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</si>
  <si>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</si>
  <si>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</si>
  <si>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</si>
  <si>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</si>
  <si>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</si>
  <si>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</si>
  <si>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</si>
  <si>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</si>
  <si>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</si>
  <si>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</si>
  <si>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</si>
  <si>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</si>
  <si>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</si>
  <si>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</si>
  <si>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</si>
  <si>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</si>
  <si>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</si>
  <si>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</si>
  <si>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</si>
  <si>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</si>
  <si>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</si>
  <si>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</si>
  <si>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</si>
  <si>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</si>
  <si>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</si>
  <si>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</si>
  <si>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</si>
  <si>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</si>
  <si>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</si>
  <si>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</si>
  <si>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</si>
  <si>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</si>
  <si>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</si>
  <si>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</si>
  <si>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</si>
  <si>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</si>
  <si>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</si>
  <si>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</si>
  <si>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</si>
  <si>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</si>
  <si>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</si>
  <si>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</si>
  <si>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</si>
  <si>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</si>
  <si>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</si>
  <si>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</si>
  <si>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</si>
  <si>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</si>
  <si>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</si>
  <si>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</si>
  <si>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</si>
  <si>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</si>
  <si>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</si>
  <si>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</si>
  <si>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</si>
  <si>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</si>
  <si>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</si>
  <si>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</si>
  <si>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</si>
  <si>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</si>
  <si>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</si>
  <si>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</si>
  <si>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</si>
  <si>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</si>
  <si>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</si>
  <si>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</si>
  <si>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</si>
  <si>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</si>
  <si>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</si>
  <si>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</si>
  <si>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</si>
  <si>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</si>
  <si>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</si>
  <si>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</si>
  <si>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</si>
  <si>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</si>
  <si>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</si>
  <si>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</si>
  <si>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</si>
  <si>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</si>
  <si>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</si>
  <si>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</si>
  <si>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</si>
  <si>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</si>
  <si>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</si>
  <si>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</si>
  <si>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</si>
  <si>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</si>
  <si>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</si>
  <si>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</si>
  <si>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</si>
  <si>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</si>
  <si>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</si>
  <si>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</si>
  <si>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</si>
  <si>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</si>
  <si>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</si>
  <si>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</si>
  <si>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</si>
  <si>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</si>
  <si>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</si>
  <si>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</si>
  <si>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</si>
  <si>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</si>
  <si>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</si>
  <si>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</si>
  <si>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</si>
  <si>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</si>
  <si>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</si>
  <si>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</si>
  <si>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</si>
  <si>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</si>
  <si>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</si>
  <si>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</si>
  <si>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</si>
  <si>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</si>
  <si>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</si>
  <si>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</si>
  <si>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</si>
  <si>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</si>
  <si>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</si>
  <si>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</si>
  <si>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</si>
  <si>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</si>
  <si>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</si>
  <si>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</si>
  <si>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</si>
  <si>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</si>
  <si>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</si>
  <si>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</si>
  <si>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</si>
  <si>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</si>
  <si>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</si>
  <si>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</si>
  <si>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</si>
  <si>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</si>
  <si>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</si>
  <si>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</si>
  <si>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</si>
  <si>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</si>
  <si>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</si>
  <si>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</si>
  <si>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</si>
  <si>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</si>
  <si>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</si>
  <si>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</si>
  <si>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</si>
  <si>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</si>
  <si>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</si>
  <si>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</si>
  <si>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</si>
  <si>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</si>
  <si>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</si>
  <si>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</si>
  <si>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</si>
  <si>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</si>
  <si>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</si>
  <si>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</si>
  <si>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</si>
  <si>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</si>
  <si>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</si>
  <si>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</si>
  <si>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</si>
  <si>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</si>
  <si>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</si>
  <si>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</si>
  <si>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</si>
  <si>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</si>
  <si>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</si>
  <si>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</si>
  <si>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</si>
  <si>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</si>
  <si>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</si>
  <si>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</si>
  <si>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</si>
  <si>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</si>
  <si>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</si>
  <si>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</si>
  <si>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</si>
  <si>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</si>
  <si>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</si>
  <si>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</si>
  <si>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</si>
  <si>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</si>
  <si>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</si>
  <si>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</si>
  <si>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</si>
  <si>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</si>
  <si>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</si>
  <si>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</si>
  <si>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</si>
  <si>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</si>
  <si>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</si>
  <si>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</si>
  <si>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</si>
  <si>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</si>
  <si>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</si>
  <si>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</si>
  <si>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</si>
  <si>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</si>
  <si>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</si>
  <si>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</si>
  <si>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</si>
  <si>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</si>
  <si>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</si>
  <si>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</si>
  <si>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</si>
  <si>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</si>
  <si>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</si>
  <si>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</si>
  <si>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</si>
  <si>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</si>
  <si>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</si>
  <si>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</si>
  <si>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</si>
  <si>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</si>
  <si>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</si>
  <si>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</si>
  <si>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</si>
  <si>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</si>
  <si>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</si>
  <si>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</si>
  <si>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</si>
  <si>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</si>
  <si>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</si>
  <si>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</si>
  <si>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</si>
  <si>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</si>
  <si>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</si>
  <si>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</si>
  <si>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</si>
  <si>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</si>
  <si>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</si>
  <si>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</si>
  <si>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</si>
  <si>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</si>
  <si>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</si>
  <si>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</si>
  <si>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</si>
  <si>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</si>
  <si>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</si>
  <si>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</si>
  <si>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</si>
  <si>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</si>
  <si>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</si>
  <si>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</si>
  <si>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</si>
  <si>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</si>
  <si>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</si>
  <si>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</si>
  <si>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</si>
  <si>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</si>
  <si>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</si>
  <si>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</si>
  <si>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</si>
  <si>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</si>
  <si>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</si>
  <si>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</si>
  <si>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</si>
  <si>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</si>
  <si>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</si>
  <si>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</si>
  <si>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</si>
  <si>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</si>
  <si>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</si>
  <si>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</si>
  <si>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</si>
  <si>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</si>
  <si>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</si>
  <si>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</si>
  <si>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</si>
  <si>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</si>
  <si>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</si>
  <si>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</si>
  <si>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</si>
  <si>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</si>
  <si>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</si>
  <si>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</si>
  <si>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</si>
  <si>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</si>
  <si>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</si>
  <si>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</si>
  <si>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</si>
  <si>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</si>
  <si>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</si>
  <si>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</si>
  <si>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</si>
  <si>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</si>
  <si>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</si>
  <si>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</si>
  <si>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</si>
  <si>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</si>
  <si>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</si>
  <si>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</si>
  <si>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</si>
  <si>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</si>
  <si>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</si>
  <si>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</si>
  <si>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</si>
  <si>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</si>
  <si>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</si>
  <si>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</si>
  <si>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</si>
  <si>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</si>
  <si>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</si>
  <si>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</si>
  <si>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</si>
  <si>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</si>
  <si>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</si>
  <si>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</si>
  <si>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</si>
  <si>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MCS to hold up to 100k</t>
  </si>
  <si>
    <t>tBill+MCS+FD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</si>
  <si>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</si>
  <si>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</si>
  <si>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</si>
  <si>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</si>
  <si>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</si>
  <si>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</si>
  <si>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</si>
  <si>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</si>
  <si>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</si>
  <si>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</si>
  <si>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</si>
  <si>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</si>
  <si>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</si>
  <si>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</si>
  <si>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</si>
  <si>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</si>
  <si>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</si>
  <si>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</si>
  <si>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</si>
  <si>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</si>
  <si>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</si>
  <si>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</si>
  <si>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</si>
  <si>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</si>
  <si>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</si>
  <si>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</si>
  <si>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</si>
  <si>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</si>
  <si>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</si>
  <si>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</si>
  <si>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</si>
  <si>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</si>
  <si>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</si>
  <si>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</si>
  <si>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</si>
  <si>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</si>
  <si>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</si>
  <si>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</si>
  <si>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</si>
  <si>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</si>
  <si>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</si>
  <si>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</si>
  <si>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</si>
  <si>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</si>
  <si>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</si>
  <si>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</si>
  <si>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</si>
  <si>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</si>
  <si>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</si>
  <si>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</si>
  <si>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</si>
  <si>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</si>
  <si>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</si>
  <si>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</si>
  <si>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</si>
  <si>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</si>
  <si>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</si>
  <si>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</si>
  <si>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</si>
  <si>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</si>
  <si>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</si>
  <si>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</si>
  <si>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</si>
  <si>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</si>
  <si>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</si>
  <si>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</si>
  <si>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</si>
  <si>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</si>
  <si>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</si>
  <si>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</si>
  <si>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</si>
  <si>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</si>
  <si>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</si>
  <si>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</si>
  <si>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</si>
  <si>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</si>
  <si>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</si>
  <si>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</si>
  <si>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</si>
  <si>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</si>
  <si>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</si>
  <si>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b@a</t>
  </si>
  <si>
    <t>bank: Citi.NA</t>
  </si>
  <si>
    <t>bank: Citi.sg+BOC</t>
  </si>
  <si>
    <t>Jan23 USD/SGD=</t>
  </si>
  <si>
    <t>submit PPP12x on OC, then call in to fix the date to 28Apr or later</t>
  </si>
  <si>
    <t>PPP12x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</si>
  <si>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</si>
  <si>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</si>
  <si>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</si>
  <si>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</si>
  <si>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</si>
  <si>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</si>
  <si>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</si>
  <si>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</si>
  <si>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</si>
  <si>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</si>
  <si>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</si>
  <si>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</si>
  <si>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</si>
  <si>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</si>
  <si>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</si>
  <si>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</si>
  <si>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</si>
  <si>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</si>
  <si>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</si>
  <si>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</si>
  <si>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</si>
  <si>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</si>
  <si>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</si>
  <si>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</si>
  <si>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</si>
  <si>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</si>
  <si>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</si>
  <si>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</si>
  <si>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</si>
  <si>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</si>
  <si>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est #9Feb</t>
  </si>
  <si>
    <t>both 
/TYX</t>
  </si>
  <si>
    <t>CDA,kids' CPF</t>
  </si>
  <si>
    <t>excluded from NAV</t>
  </si>
  <si>
    <t>all Sg bank accts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</si>
  <si>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</si>
  <si>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</si>
  <si>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</si>
  <si>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</si>
  <si>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</si>
  <si>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</si>
  <si>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</si>
  <si>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</si>
  <si>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mufu div</t>
  </si>
  <si>
    <t>mtg-P #3175.47</t>
  </si>
  <si>
    <t>MB kids</t>
  </si>
  <si>
    <t>NTUC #MB</t>
  </si>
  <si>
    <t>Starhub#EOM</t>
  </si>
  <si>
    <t>EOD 15 Feb 2022</t>
  </si>
  <si>
    <t>RBL保守est</t>
  </si>
  <si>
    <t>bx placeholder</t>
  </si>
  <si>
    <t>110.79 not yet</t>
  </si>
  <si>
    <t>xfer2wife # so far</t>
  </si>
  <si>
    <t>Popular #DCS</t>
  </si>
  <si>
    <t>115.37 not yet</t>
  </si>
  <si>
    <t>Starhub#$5refund</t>
  </si>
  <si>
    <t>mid Mar &gt;</t>
  </si>
  <si>
    <t>BOC
 TD</t>
  </si>
  <si>
    <t>BOC-TD</t>
  </si>
  <si>
    <t>PPP12:  two requests</t>
  </si>
  <si>
    <t>fruits, nuts</t>
  </si>
  <si>
    <t>EGA-RBFT</t>
  </si>
  <si>
    <t>PPP2</t>
  </si>
  <si>
    <t>submit PPP2, to let 8k sit in cpfOA for one full month. Deduction date Monday 3 Apr</t>
  </si>
  <si>
    <t>see PPP12x event documented a few lines below</t>
  </si>
  <si>
    <t>Saizeriya 19Feb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</si>
</sst>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</numFmts>
  <fonts count="88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9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1" borderId="0" xfId="3" quotePrefix="1" applyFont="1" applyFill="1"/>
    <xf numFmtId="0" fontId="69" fillId="21" borderId="0" xfId="3" applyFont="1" applyFill="1"/>
    <xf numFmtId="0" fontId="79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1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77" fillId="0" borderId="0" xfId="3" applyFont="1" applyFill="1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166" fontId="84" fillId="0" borderId="7" xfId="0" applyNumberFormat="1" applyFont="1" applyFill="1" applyBorder="1"/>
    <xf numFmtId="0" fontId="85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3" fontId="38" fillId="0" borderId="0" xfId="0" applyNumberFormat="1" applyFont="1" applyFill="1"/>
    <xf numFmtId="0" fontId="86" fillId="0" borderId="0" xfId="3" applyFont="1"/>
    <xf numFmtId="178" fontId="86" fillId="0" borderId="0" xfId="3" applyNumberFormat="1" applyFont="1" applyAlignment="1"/>
    <xf numFmtId="0" fontId="86" fillId="0" borderId="0" xfId="3" applyFont="1" applyFill="1"/>
    <xf numFmtId="0" fontId="87" fillId="0" borderId="0" xfId="3" applyFont="1" applyFill="1"/>
    <xf numFmtId="0" fontId="78" fillId="0" borderId="0" xfId="3" applyFont="1" applyFill="1"/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79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0" fontId="69" fillId="0" borderId="0" xfId="3" applyFont="1" applyAlignment="1">
      <alignment horizontal="center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6"/>
  <sheetViews>
    <sheetView zoomScaleNormal="100" workbookViewId="0">
      <selection activeCell="H11" sqref="H11"/>
    </sheetView>
  </sheetViews>
  <sheetFormatPr defaultColWidth="9.140625" defaultRowHeight="12.75" x14ac:dyDescent="0.2"/>
  <cols>
    <col min="1" max="1" width="1.140625" style="594" customWidth="1"/>
    <col min="2" max="3" width="4.5703125" style="594" bestFit="1" customWidth="1"/>
    <col min="4" max="4" width="4.7109375" style="594" bestFit="1" customWidth="1"/>
    <col min="5" max="5" width="6.85546875" style="594" bestFit="1" customWidth="1"/>
    <col min="6" max="6" width="8.5703125" style="594" bestFit="1" customWidth="1"/>
    <col min="7" max="7" width="11.140625" style="610" bestFit="1" customWidth="1"/>
    <col min="8" max="8" width="4" style="594" bestFit="1" customWidth="1"/>
    <col min="9" max="9" width="8" style="594" bestFit="1" customWidth="1"/>
    <col min="10" max="10" width="6.85546875" style="594" bestFit="1" customWidth="1"/>
    <col min="11" max="11" width="4.28515625" style="594" bestFit="1" customWidth="1"/>
    <col min="12" max="12" width="12.85546875" style="594" customWidth="1"/>
    <col min="13" max="13" width="10.28515625" style="594" bestFit="1" customWidth="1"/>
    <col min="14" max="14" width="11.42578125" style="594" bestFit="1" customWidth="1"/>
    <col min="15" max="15" width="23" style="594" bestFit="1" customWidth="1"/>
    <col min="16" max="16" width="8.5703125" style="594" bestFit="1" customWidth="1"/>
    <col min="17" max="17" width="6.140625" style="594" customWidth="1"/>
    <col min="18" max="18" width="20.85546875" style="594" bestFit="1" customWidth="1"/>
    <col min="19" max="19" width="12.7109375" style="594" bestFit="1" customWidth="1"/>
    <col min="20" max="16384" width="9.140625" style="594"/>
  </cols>
  <sheetData>
    <row r="1" spans="2:16" ht="5.25" customHeight="1" x14ac:dyDescent="0.2">
      <c r="I1" s="595"/>
    </row>
    <row r="2" spans="2:16" ht="15.75" customHeight="1" x14ac:dyDescent="0.2">
      <c r="B2" s="756" t="s">
        <v>1892</v>
      </c>
      <c r="C2" s="756"/>
      <c r="D2" s="756"/>
      <c r="E2" s="748" t="s">
        <v>2537</v>
      </c>
      <c r="F2" s="748" t="s">
        <v>2570</v>
      </c>
      <c r="G2" s="611"/>
      <c r="H2" s="750"/>
      <c r="I2" s="757" t="s">
        <v>2714</v>
      </c>
      <c r="J2" s="757"/>
      <c r="K2" s="752" t="s">
        <v>2710</v>
      </c>
      <c r="L2" s="752" t="s">
        <v>2597</v>
      </c>
      <c r="M2" s="748" t="s">
        <v>2542</v>
      </c>
      <c r="N2" s="747" t="s">
        <v>2552</v>
      </c>
    </row>
    <row r="3" spans="2:16" s="601" customFormat="1" x14ac:dyDescent="0.2">
      <c r="B3" s="596" t="s">
        <v>1891</v>
      </c>
      <c r="C3" s="597" t="s">
        <v>1890</v>
      </c>
      <c r="D3" s="598" t="s">
        <v>2452</v>
      </c>
      <c r="E3" s="749"/>
      <c r="F3" s="749"/>
      <c r="G3" s="612"/>
      <c r="H3" s="751"/>
      <c r="I3" s="599" t="s">
        <v>2654</v>
      </c>
      <c r="J3" s="600" t="s">
        <v>2229</v>
      </c>
      <c r="K3" s="753"/>
      <c r="L3" s="753"/>
      <c r="M3" s="749"/>
      <c r="N3" s="747"/>
    </row>
    <row r="4" spans="2:16" s="692" customFormat="1" x14ac:dyDescent="0.2">
      <c r="B4" s="692">
        <v>38</v>
      </c>
      <c r="C4" s="692">
        <v>29</v>
      </c>
      <c r="D4" s="692">
        <v>130</v>
      </c>
      <c r="G4" s="693">
        <v>44958</v>
      </c>
      <c r="I4" s="692">
        <f>360-J4</f>
        <v>285</v>
      </c>
      <c r="J4" s="692">
        <v>75</v>
      </c>
      <c r="K4" s="692">
        <v>65</v>
      </c>
      <c r="L4" s="692">
        <v>176</v>
      </c>
      <c r="M4" s="692">
        <v>485.00099999999998</v>
      </c>
      <c r="N4" s="692" t="s">
        <v>2555</v>
      </c>
      <c r="O4" s="692" t="s">
        <v>2604</v>
      </c>
    </row>
    <row r="5" spans="2:16" s="692" customFormat="1" x14ac:dyDescent="0.2">
      <c r="B5" s="692" t="s">
        <v>2538</v>
      </c>
      <c r="C5" s="692">
        <v>8</v>
      </c>
      <c r="D5" s="692">
        <f>D4</f>
        <v>130</v>
      </c>
      <c r="E5" s="692" t="s">
        <v>2572</v>
      </c>
      <c r="F5" s="692" t="s">
        <v>311</v>
      </c>
      <c r="G5" s="693">
        <v>44975</v>
      </c>
      <c r="H5" s="694"/>
      <c r="I5" s="692">
        <f>360-J5</f>
        <v>285</v>
      </c>
      <c r="J5" s="692">
        <v>75</v>
      </c>
      <c r="K5" s="692">
        <v>65</v>
      </c>
      <c r="L5" s="692">
        <v>176</v>
      </c>
      <c r="M5" s="692">
        <v>418.00099999999998</v>
      </c>
      <c r="N5" s="692" t="s">
        <v>2555</v>
      </c>
    </row>
    <row r="6" spans="2:16" x14ac:dyDescent="0.2">
      <c r="B6" s="619"/>
      <c r="G6" s="613">
        <v>44985</v>
      </c>
      <c r="H6" s="673" t="s">
        <v>2606</v>
      </c>
      <c r="P6" s="606"/>
    </row>
    <row r="7" spans="2:16" x14ac:dyDescent="0.2">
      <c r="B7" s="619"/>
      <c r="G7" s="613">
        <v>44987</v>
      </c>
      <c r="H7" s="695" t="s">
        <v>2716</v>
      </c>
      <c r="P7" s="606"/>
    </row>
    <row r="8" spans="2:16" x14ac:dyDescent="0.2">
      <c r="B8" s="619"/>
      <c r="G8" s="613"/>
      <c r="H8" s="695"/>
      <c r="P8" s="606"/>
    </row>
    <row r="9" spans="2:16" x14ac:dyDescent="0.2">
      <c r="B9" s="619"/>
      <c r="G9" s="660" t="s">
        <v>2709</v>
      </c>
      <c r="H9" s="606" t="s">
        <v>2657</v>
      </c>
      <c r="O9" s="602"/>
      <c r="P9" s="606"/>
    </row>
    <row r="10" spans="2:16" x14ac:dyDescent="0.2">
      <c r="B10" s="619"/>
      <c r="G10" s="610">
        <v>45013</v>
      </c>
      <c r="H10" s="696" t="s">
        <v>2717</v>
      </c>
      <c r="O10" s="602"/>
      <c r="P10" s="606"/>
    </row>
    <row r="11" spans="2:16" x14ac:dyDescent="0.2">
      <c r="B11" s="619"/>
      <c r="G11" s="610">
        <v>45015</v>
      </c>
      <c r="H11" s="606"/>
      <c r="I11" s="594">
        <f>I5+K5</f>
        <v>350</v>
      </c>
      <c r="J11" s="594" t="s">
        <v>2678</v>
      </c>
    </row>
    <row r="12" spans="2:16" x14ac:dyDescent="0.2">
      <c r="B12" s="620"/>
      <c r="E12" s="608" t="s">
        <v>2569</v>
      </c>
      <c r="F12" s="602" t="s">
        <v>2661</v>
      </c>
      <c r="G12" s="610">
        <v>45016</v>
      </c>
      <c r="H12" s="606"/>
      <c r="I12" s="602">
        <v>192</v>
      </c>
      <c r="J12" s="594">
        <v>75</v>
      </c>
      <c r="K12" s="606">
        <v>0</v>
      </c>
      <c r="L12" s="606"/>
      <c r="M12" s="594">
        <f>M5-C11-ABS(I11-I12)</f>
        <v>260.00099999999998</v>
      </c>
      <c r="N12" s="606" t="s">
        <v>2565</v>
      </c>
    </row>
    <row r="13" spans="2:16" x14ac:dyDescent="0.2">
      <c r="B13" s="621"/>
      <c r="C13" s="758" t="s">
        <v>2540</v>
      </c>
      <c r="D13" s="758"/>
      <c r="E13" s="758"/>
      <c r="F13" s="758"/>
      <c r="G13" s="758"/>
      <c r="H13" s="758"/>
      <c r="I13" s="758"/>
      <c r="J13" s="758"/>
      <c r="K13" s="758"/>
      <c r="L13" s="758"/>
      <c r="M13" s="758"/>
      <c r="N13" s="758"/>
      <c r="O13" s="758"/>
      <c r="P13" s="758"/>
    </row>
    <row r="14" spans="2:16" ht="12.75" customHeight="1" x14ac:dyDescent="0.2">
      <c r="B14" s="620"/>
      <c r="C14" s="609" t="s">
        <v>2563</v>
      </c>
      <c r="D14" s="607"/>
      <c r="E14" s="748" t="s">
        <v>2537</v>
      </c>
      <c r="F14" s="748" t="s">
        <v>2570</v>
      </c>
      <c r="G14" s="612"/>
      <c r="H14" s="750" t="s">
        <v>2551</v>
      </c>
      <c r="I14" s="754" t="s">
        <v>2559</v>
      </c>
      <c r="J14" s="759" t="s">
        <v>2711</v>
      </c>
      <c r="K14" s="759"/>
      <c r="L14" s="752" t="s">
        <v>2681</v>
      </c>
      <c r="M14" s="748" t="s">
        <v>2542</v>
      </c>
      <c r="N14" s="747" t="s">
        <v>2552</v>
      </c>
    </row>
    <row r="15" spans="2:16" x14ac:dyDescent="0.2">
      <c r="B15" s="620"/>
      <c r="C15" s="597" t="s">
        <v>1890</v>
      </c>
      <c r="D15" s="598" t="s">
        <v>2452</v>
      </c>
      <c r="E15" s="749"/>
      <c r="F15" s="749"/>
      <c r="G15" s="614"/>
      <c r="H15" s="751"/>
      <c r="I15" s="755"/>
      <c r="J15" s="615" t="s">
        <v>2567</v>
      </c>
      <c r="K15" s="616" t="s">
        <v>1891</v>
      </c>
      <c r="L15" s="753"/>
      <c r="M15" s="749"/>
      <c r="N15" s="747"/>
    </row>
    <row r="16" spans="2:16" x14ac:dyDescent="0.2">
      <c r="B16" s="764">
        <v>10</v>
      </c>
      <c r="C16" s="764"/>
      <c r="G16" s="760">
        <v>45017</v>
      </c>
      <c r="H16" s="606" t="s">
        <v>2538</v>
      </c>
      <c r="I16" s="594">
        <v>80</v>
      </c>
      <c r="J16" s="674">
        <f>I12-I16-L16</f>
        <v>102</v>
      </c>
      <c r="K16" s="594">
        <v>75</v>
      </c>
      <c r="L16" s="594">
        <v>10</v>
      </c>
      <c r="O16" s="594" t="s">
        <v>2566</v>
      </c>
    </row>
    <row r="17" spans="2:18" x14ac:dyDescent="0.2">
      <c r="B17" s="620"/>
      <c r="E17" s="602"/>
      <c r="F17" s="602"/>
      <c r="G17" s="761"/>
      <c r="H17" s="620"/>
      <c r="N17" s="606"/>
      <c r="O17" s="594" t="s">
        <v>2564</v>
      </c>
    </row>
    <row r="18" spans="2:18" x14ac:dyDescent="0.2">
      <c r="B18" s="620"/>
      <c r="C18" s="594" t="s">
        <v>2538</v>
      </c>
      <c r="E18" s="695" t="s">
        <v>2715</v>
      </c>
      <c r="F18" s="695" t="s">
        <v>2694</v>
      </c>
      <c r="G18" s="610">
        <v>45020</v>
      </c>
      <c r="H18" s="620"/>
      <c r="M18" s="594">
        <f>M12-B16</f>
        <v>250.00099999999998</v>
      </c>
      <c r="N18" s="606"/>
    </row>
    <row r="19" spans="2:18" x14ac:dyDescent="0.2">
      <c r="B19" s="620"/>
      <c r="E19" s="695"/>
      <c r="F19" s="695"/>
      <c r="H19" s="620"/>
      <c r="N19" s="606"/>
    </row>
    <row r="20" spans="2:18" x14ac:dyDescent="0.2">
      <c r="B20" s="620"/>
      <c r="E20" s="762" t="s">
        <v>2712</v>
      </c>
      <c r="F20" s="763"/>
      <c r="G20" s="610">
        <v>45013</v>
      </c>
      <c r="H20" s="620"/>
      <c r="N20" s="606"/>
      <c r="O20" s="603" t="s">
        <v>2651</v>
      </c>
    </row>
    <row r="21" spans="2:18" x14ac:dyDescent="0.2">
      <c r="B21" s="620"/>
      <c r="E21" s="763"/>
      <c r="F21" s="763"/>
      <c r="G21" s="610" t="s">
        <v>2609</v>
      </c>
      <c r="H21" s="620"/>
      <c r="N21" s="606"/>
      <c r="O21" s="679" t="s">
        <v>2659</v>
      </c>
    </row>
    <row r="22" spans="2:18" x14ac:dyDescent="0.2">
      <c r="B22" s="620"/>
      <c r="E22" s="658"/>
      <c r="F22" s="658"/>
      <c r="H22" s="620"/>
      <c r="N22" s="606"/>
      <c r="O22" s="603"/>
    </row>
    <row r="23" spans="2:18" x14ac:dyDescent="0.2">
      <c r="B23" s="620"/>
      <c r="E23" s="644"/>
      <c r="F23" s="644"/>
      <c r="G23" s="661" t="s">
        <v>2662</v>
      </c>
      <c r="H23" s="659" t="s">
        <v>2656</v>
      </c>
      <c r="N23" s="606"/>
    </row>
    <row r="24" spans="2:18" x14ac:dyDescent="0.2">
      <c r="B24" s="620"/>
      <c r="E24" s="603"/>
      <c r="F24" s="603"/>
      <c r="G24" s="613">
        <v>45045</v>
      </c>
      <c r="H24" s="620"/>
      <c r="K24" s="606"/>
      <c r="L24" s="606"/>
      <c r="O24" s="604" t="s">
        <v>2611</v>
      </c>
    </row>
    <row r="25" spans="2:18" x14ac:dyDescent="0.2">
      <c r="B25" s="620"/>
      <c r="E25" s="602"/>
      <c r="F25" s="602"/>
      <c r="H25" s="620"/>
      <c r="N25" s="606"/>
      <c r="O25" s="603"/>
    </row>
    <row r="26" spans="2:18" x14ac:dyDescent="0.2">
      <c r="B26" s="621"/>
      <c r="C26" s="758" t="s">
        <v>2541</v>
      </c>
      <c r="D26" s="758"/>
      <c r="E26" s="758"/>
      <c r="F26" s="758"/>
      <c r="G26" s="758"/>
      <c r="H26" s="758"/>
      <c r="I26" s="758"/>
      <c r="J26" s="758"/>
      <c r="K26" s="758"/>
      <c r="L26" s="758"/>
      <c r="M26" s="758"/>
      <c r="N26" s="758"/>
      <c r="O26" s="758"/>
      <c r="P26" s="758"/>
    </row>
    <row r="27" spans="2:18" x14ac:dyDescent="0.2">
      <c r="B27" s="620"/>
      <c r="C27" s="594">
        <v>9</v>
      </c>
      <c r="E27" s="608" t="s">
        <v>2652</v>
      </c>
      <c r="F27" s="603" t="s">
        <v>2661</v>
      </c>
      <c r="G27" s="613">
        <v>45048</v>
      </c>
      <c r="H27" s="620"/>
      <c r="I27" s="594">
        <v>0</v>
      </c>
      <c r="J27" s="594">
        <f>J16-25</f>
        <v>77</v>
      </c>
      <c r="K27" s="594">
        <f>J5</f>
        <v>75</v>
      </c>
      <c r="L27" s="594">
        <v>10</v>
      </c>
      <c r="M27" s="594">
        <f>ABS(SUM(I16:L16)-M18-SUM(I27:L27))</f>
        <v>145.00099999999998</v>
      </c>
      <c r="O27" s="594" t="s">
        <v>2608</v>
      </c>
    </row>
    <row r="28" spans="2:18" x14ac:dyDescent="0.2">
      <c r="B28" s="620"/>
      <c r="C28" s="594" t="s">
        <v>2538</v>
      </c>
      <c r="E28" s="608" t="s">
        <v>2607</v>
      </c>
      <c r="F28" s="679" t="s">
        <v>2660</v>
      </c>
      <c r="G28" s="613" t="s">
        <v>2610</v>
      </c>
      <c r="H28" s="620"/>
      <c r="K28" s="606"/>
      <c r="L28" s="606"/>
      <c r="M28" s="594">
        <f>M27-C27</f>
        <v>136.00099999999998</v>
      </c>
      <c r="N28" s="594" t="s">
        <v>2553</v>
      </c>
      <c r="O28" s="594" t="s">
        <v>2556</v>
      </c>
    </row>
    <row r="29" spans="2:18" x14ac:dyDescent="0.2">
      <c r="B29" s="620"/>
      <c r="E29" s="603"/>
      <c r="F29" s="603"/>
      <c r="G29" s="613"/>
      <c r="H29" s="620"/>
      <c r="K29" s="606"/>
      <c r="L29" s="606"/>
      <c r="O29" s="604"/>
    </row>
    <row r="30" spans="2:18" x14ac:dyDescent="0.2">
      <c r="B30" s="620"/>
      <c r="E30" s="603"/>
      <c r="F30" s="603"/>
      <c r="G30" s="642">
        <v>45076</v>
      </c>
      <c r="H30" s="620"/>
      <c r="K30" s="606"/>
      <c r="L30" s="606"/>
      <c r="O30" s="594" t="s">
        <v>2588</v>
      </c>
      <c r="R30" s="604"/>
    </row>
    <row r="31" spans="2:18" x14ac:dyDescent="0.2">
      <c r="B31" s="620"/>
      <c r="C31" s="594">
        <f>20+1</f>
        <v>21</v>
      </c>
      <c r="D31" s="594" t="s">
        <v>2539</v>
      </c>
      <c r="E31" s="603"/>
      <c r="F31" s="603"/>
      <c r="G31" s="642">
        <v>45077</v>
      </c>
      <c r="H31" s="620"/>
      <c r="K31" s="606"/>
      <c r="L31" s="606"/>
      <c r="O31" s="594" t="s">
        <v>2550</v>
      </c>
      <c r="R31" s="604"/>
    </row>
    <row r="32" spans="2:18" x14ac:dyDescent="0.2">
      <c r="B32" s="620"/>
      <c r="E32" s="603"/>
      <c r="F32" s="603"/>
      <c r="G32" s="613">
        <v>45077</v>
      </c>
      <c r="H32" s="606">
        <v>4</v>
      </c>
      <c r="I32" s="594" t="s">
        <v>2557</v>
      </c>
      <c r="K32" s="606"/>
      <c r="L32" s="606"/>
      <c r="R32" s="604"/>
    </row>
    <row r="33" spans="2:18" x14ac:dyDescent="0.2">
      <c r="B33" s="620"/>
      <c r="E33" s="603"/>
      <c r="F33" s="603"/>
      <c r="G33" s="613">
        <v>45077</v>
      </c>
      <c r="H33" s="606">
        <v>4.2</v>
      </c>
      <c r="I33" s="594" t="s">
        <v>2558</v>
      </c>
      <c r="K33" s="606"/>
      <c r="L33" s="606"/>
      <c r="O33" s="594" t="s">
        <v>2568</v>
      </c>
      <c r="R33" s="604"/>
    </row>
    <row r="34" spans="2:18" x14ac:dyDescent="0.2">
      <c r="B34" s="620"/>
      <c r="E34" s="603"/>
      <c r="F34" s="603"/>
      <c r="G34" s="613"/>
      <c r="H34" s="606"/>
      <c r="K34" s="606"/>
      <c r="L34" s="606"/>
      <c r="R34" s="604"/>
    </row>
    <row r="35" spans="2:18" x14ac:dyDescent="0.2">
      <c r="B35" s="620"/>
      <c r="G35" s="641">
        <v>45078</v>
      </c>
      <c r="H35" s="606"/>
      <c r="K35" s="606"/>
      <c r="L35" s="606"/>
      <c r="O35" s="594" t="s">
        <v>2562</v>
      </c>
    </row>
    <row r="36" spans="2:18" x14ac:dyDescent="0.2">
      <c r="B36" s="620"/>
      <c r="C36" s="594" t="s">
        <v>2538</v>
      </c>
      <c r="E36" s="608" t="s">
        <v>2571</v>
      </c>
      <c r="F36" s="605" t="s">
        <v>1883</v>
      </c>
      <c r="G36" s="641">
        <v>45079</v>
      </c>
      <c r="H36" s="606"/>
      <c r="K36" s="606"/>
      <c r="L36" s="606"/>
      <c r="M36" s="594">
        <f>M28-C31</f>
        <v>115.00099999999998</v>
      </c>
      <c r="N36" s="594" t="s">
        <v>2554</v>
      </c>
      <c r="O36" s="594" t="s">
        <v>2612</v>
      </c>
    </row>
    <row r="37" spans="2:18" x14ac:dyDescent="0.2">
      <c r="B37" s="620"/>
      <c r="E37" s="604"/>
      <c r="F37" s="604"/>
      <c r="H37" s="606"/>
      <c r="K37" s="606"/>
      <c r="L37" s="606"/>
    </row>
    <row r="38" spans="2:18" x14ac:dyDescent="0.2">
      <c r="B38" s="620"/>
      <c r="E38" s="605"/>
      <c r="H38" s="606"/>
      <c r="K38" s="606"/>
      <c r="L38" s="606"/>
    </row>
    <row r="39" spans="2:18" x14ac:dyDescent="0.2">
      <c r="B39" s="620"/>
      <c r="E39" s="605"/>
      <c r="G39" s="613">
        <v>45104</v>
      </c>
      <c r="H39" s="606"/>
      <c r="K39" s="606"/>
      <c r="L39" s="606"/>
      <c r="O39" s="594" t="s">
        <v>2548</v>
      </c>
    </row>
    <row r="40" spans="2:18" x14ac:dyDescent="0.2">
      <c r="B40" s="620"/>
      <c r="C40" s="594">
        <f>113+1</f>
        <v>114</v>
      </c>
      <c r="D40" s="594" t="s">
        <v>2539</v>
      </c>
      <c r="G40" s="613">
        <v>45105</v>
      </c>
      <c r="H40" s="606"/>
      <c r="K40" s="606"/>
      <c r="L40" s="606"/>
      <c r="O40" s="594" t="s">
        <v>2549</v>
      </c>
    </row>
    <row r="41" spans="2:18" x14ac:dyDescent="0.2">
      <c r="B41" s="620"/>
      <c r="G41" s="613">
        <v>45107</v>
      </c>
      <c r="H41" s="606"/>
      <c r="K41" s="606"/>
      <c r="L41" s="606"/>
      <c r="O41" s="594" t="s">
        <v>2562</v>
      </c>
    </row>
    <row r="42" spans="2:18" x14ac:dyDescent="0.2">
      <c r="B42" s="620"/>
      <c r="D42" s="594">
        <v>0</v>
      </c>
      <c r="E42" s="643" t="s">
        <v>2545</v>
      </c>
      <c r="F42" s="643" t="s">
        <v>2546</v>
      </c>
      <c r="G42" s="613">
        <v>45110</v>
      </c>
      <c r="H42" s="606"/>
      <c r="K42" s="606"/>
      <c r="L42" s="606"/>
    </row>
    <row r="43" spans="2:18" x14ac:dyDescent="0.2">
      <c r="H43" s="606"/>
      <c r="K43" s="606"/>
      <c r="L43" s="606"/>
    </row>
    <row r="44" spans="2:18" x14ac:dyDescent="0.2">
      <c r="H44" s="606"/>
      <c r="K44" s="606"/>
      <c r="L44" s="606"/>
      <c r="O44" s="622" t="s">
        <v>2547</v>
      </c>
      <c r="P44" s="623">
        <v>10000</v>
      </c>
    </row>
    <row r="45" spans="2:18" x14ac:dyDescent="0.2">
      <c r="O45" s="622" t="s">
        <v>2544</v>
      </c>
      <c r="P45" s="624">
        <f>3.78%-2.5%</f>
        <v>1.2799999999999999E-2</v>
      </c>
    </row>
    <row r="46" spans="2:18" x14ac:dyDescent="0.2">
      <c r="O46" s="622" t="s">
        <v>2543</v>
      </c>
      <c r="P46" s="625">
        <f>P44*P45/12</f>
        <v>10.666666666666666</v>
      </c>
    </row>
  </sheetData>
  <mergeCells count="22">
    <mergeCell ref="C26:P26"/>
    <mergeCell ref="C13:P13"/>
    <mergeCell ref="J14:K14"/>
    <mergeCell ref="L14:L15"/>
    <mergeCell ref="G16:G17"/>
    <mergeCell ref="E20:F21"/>
    <mergeCell ref="B16:C16"/>
    <mergeCell ref="B2:D2"/>
    <mergeCell ref="I2:J2"/>
    <mergeCell ref="E2:E3"/>
    <mergeCell ref="F2:F3"/>
    <mergeCell ref="M2:M3"/>
    <mergeCell ref="K2:K3"/>
    <mergeCell ref="N2:N3"/>
    <mergeCell ref="E14:E15"/>
    <mergeCell ref="F14:F15"/>
    <mergeCell ref="M14:M15"/>
    <mergeCell ref="N14:N15"/>
    <mergeCell ref="H14:H15"/>
    <mergeCell ref="H2:H3"/>
    <mergeCell ref="L2:L3"/>
    <mergeCell ref="I14:I15"/>
  </mergeCells>
  <pageMargins left="0.25" right="0.25" top="0.75" bottom="0.75" header="0.3" footer="0.3"/>
  <pageSetup paperSize="9" scale="91" orientation="landscape" horizont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1056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3" customWidth="1"/>
    <col min="2" max="2" width="26.85546875" style="383" bestFit="1" customWidth="1"/>
    <col min="3" max="3" width="17.85546875" style="394" bestFit="1" customWidth="1"/>
    <col min="4" max="4" width="10" style="383" bestFit="1" customWidth="1"/>
    <col min="5" max="16384" width="9.140625" style="383"/>
  </cols>
  <sheetData>
    <row r="2" spans="2:5" x14ac:dyDescent="0.25">
      <c r="B2" s="383" t="s">
        <v>1902</v>
      </c>
    </row>
    <row r="3" spans="2:5" x14ac:dyDescent="0.25">
      <c r="B3" s="383" t="s">
        <v>1901</v>
      </c>
      <c r="C3" s="765" t="s">
        <v>1914</v>
      </c>
      <c r="D3" s="765"/>
    </row>
    <row r="4" spans="2:5" x14ac:dyDescent="0.25">
      <c r="B4" s="383" t="s">
        <v>1898</v>
      </c>
      <c r="D4" s="396">
        <v>64</v>
      </c>
    </row>
    <row r="5" spans="2:5" x14ac:dyDescent="0.25">
      <c r="B5" s="383" t="s">
        <v>1897</v>
      </c>
      <c r="D5" s="396">
        <v>1000</v>
      </c>
    </row>
    <row r="6" spans="2:5" x14ac:dyDescent="0.25">
      <c r="B6" s="384" t="s">
        <v>1896</v>
      </c>
      <c r="C6" s="395"/>
      <c r="D6" s="386">
        <v>70000</v>
      </c>
      <c r="E6" s="383" t="s">
        <v>1917</v>
      </c>
    </row>
    <row r="7" spans="2:5" x14ac:dyDescent="0.25">
      <c r="B7" s="383" t="s">
        <v>1929</v>
      </c>
      <c r="C7" s="394">
        <f>SUM(D4:D6)</f>
        <v>71064</v>
      </c>
      <c r="D7" s="396"/>
    </row>
    <row r="8" spans="2:5" x14ac:dyDescent="0.25">
      <c r="B8" s="383" t="s">
        <v>1926</v>
      </c>
      <c r="C8" s="394" t="s">
        <v>433</v>
      </c>
      <c r="D8" s="396">
        <v>13000</v>
      </c>
    </row>
    <row r="9" spans="2:5" x14ac:dyDescent="0.25">
      <c r="B9" s="384" t="s">
        <v>1899</v>
      </c>
      <c r="C9" s="395" t="s">
        <v>433</v>
      </c>
      <c r="D9" s="386">
        <v>6000</v>
      </c>
    </row>
    <row r="10" spans="2:5" x14ac:dyDescent="0.25">
      <c r="B10" s="383" t="s">
        <v>1963</v>
      </c>
      <c r="D10" s="396">
        <f>SUM(D4:D9)</f>
        <v>90064</v>
      </c>
      <c r="E10" s="383" t="s">
        <v>1950</v>
      </c>
    </row>
    <row r="12" spans="2:5" x14ac:dyDescent="0.25">
      <c r="B12" s="383" t="s">
        <v>1900</v>
      </c>
      <c r="C12" s="394" t="s">
        <v>1914</v>
      </c>
    </row>
    <row r="13" spans="2:5" x14ac:dyDescent="0.25">
      <c r="B13" s="383" t="s">
        <v>1895</v>
      </c>
      <c r="C13" s="394" t="s">
        <v>1914</v>
      </c>
    </row>
    <row r="14" spans="2:5" x14ac:dyDescent="0.25">
      <c r="B14" s="383" t="s">
        <v>1894</v>
      </c>
      <c r="C14" s="394" t="s">
        <v>1914</v>
      </c>
    </row>
    <row r="15" spans="2:5" x14ac:dyDescent="0.25">
      <c r="B15" s="383" t="s">
        <v>1893</v>
      </c>
      <c r="C15" s="394">
        <v>510000</v>
      </c>
      <c r="D15" s="394"/>
    </row>
    <row r="16" spans="2:5" x14ac:dyDescent="0.25">
      <c r="B16" s="383" t="s">
        <v>1935</v>
      </c>
      <c r="C16" s="394">
        <v>38000</v>
      </c>
    </row>
    <row r="19" spans="2:3" x14ac:dyDescent="0.25">
      <c r="B19" s="383" t="s">
        <v>2069</v>
      </c>
      <c r="C19" s="394">
        <f>SUM(C7:C17)</f>
        <v>619064</v>
      </c>
    </row>
    <row r="22" spans="2:3" ht="28.5" x14ac:dyDescent="0.45">
      <c r="B22" s="400" t="s">
        <v>1966</v>
      </c>
    </row>
    <row r="23" spans="2:3" x14ac:dyDescent="0.25">
      <c r="B23" s="383" t="s">
        <v>1965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9"/>
  <sheetViews>
    <sheetView zoomScaleNormal="100" workbookViewId="0">
      <selection activeCell="G21" sqref="G21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3" t="s">
        <v>336</v>
      </c>
      <c r="C2" s="263" t="s">
        <v>335</v>
      </c>
      <c r="D2" s="263" t="s">
        <v>1059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">
      <c r="B3" s="263"/>
      <c r="C3" s="263"/>
      <c r="D3" s="263" t="s">
        <v>2636</v>
      </c>
      <c r="E3" s="263"/>
      <c r="F3" s="263"/>
      <c r="G3" s="767">
        <v>44958</v>
      </c>
      <c r="H3" s="768"/>
      <c r="I3" s="648"/>
      <c r="J3" s="767">
        <v>43891</v>
      </c>
      <c r="K3" s="768"/>
      <c r="L3" s="306"/>
      <c r="M3" s="767">
        <v>43739</v>
      </c>
      <c r="N3" s="768"/>
    </row>
    <row r="4" spans="2:14" x14ac:dyDescent="0.2">
      <c r="B4" s="63" t="s">
        <v>324</v>
      </c>
      <c r="C4" s="71" t="s">
        <v>2642</v>
      </c>
      <c r="D4" s="63" t="s">
        <v>1053</v>
      </c>
      <c r="E4" s="63" t="s">
        <v>309</v>
      </c>
      <c r="F4" s="63" t="s">
        <v>1200</v>
      </c>
      <c r="G4" s="652"/>
      <c r="H4" s="233">
        <f>K4</f>
        <v>20000</v>
      </c>
      <c r="I4" s="233"/>
      <c r="J4" s="652"/>
      <c r="K4" s="656">
        <f>N4</f>
        <v>20000</v>
      </c>
      <c r="L4" s="233"/>
      <c r="M4" s="652"/>
      <c r="N4" s="233">
        <v>20000</v>
      </c>
    </row>
    <row r="5" spans="2:14" x14ac:dyDescent="0.2">
      <c r="B5" s="63" t="s">
        <v>324</v>
      </c>
      <c r="C5" s="71" t="s">
        <v>2642</v>
      </c>
      <c r="D5" s="71" t="s">
        <v>1053</v>
      </c>
      <c r="E5" s="63" t="s">
        <v>2643</v>
      </c>
      <c r="F5" s="63" t="s">
        <v>1200</v>
      </c>
      <c r="G5" s="652"/>
      <c r="H5" s="233">
        <f>300*6</f>
        <v>1800</v>
      </c>
      <c r="I5" s="233"/>
      <c r="J5" s="652"/>
      <c r="K5" s="656">
        <f>N5</f>
        <v>1200</v>
      </c>
      <c r="L5" s="233"/>
      <c r="M5" s="652"/>
      <c r="N5" s="233">
        <f>200*6</f>
        <v>1200</v>
      </c>
    </row>
    <row r="6" spans="2:14" x14ac:dyDescent="0.2">
      <c r="B6" s="63" t="s">
        <v>317</v>
      </c>
      <c r="C6" s="71" t="s">
        <v>2642</v>
      </c>
      <c r="D6" s="71" t="s">
        <v>1060</v>
      </c>
      <c r="E6" s="63" t="s">
        <v>2646</v>
      </c>
      <c r="F6" s="63" t="s">
        <v>1200</v>
      </c>
      <c r="G6" s="652"/>
      <c r="H6" s="233">
        <v>23000</v>
      </c>
      <c r="I6" s="233"/>
      <c r="J6" s="652"/>
      <c r="K6" s="233">
        <v>0</v>
      </c>
      <c r="L6" s="233"/>
      <c r="M6" s="652"/>
      <c r="N6" s="233">
        <v>0</v>
      </c>
    </row>
    <row r="7" spans="2:14" s="645" customFormat="1" x14ac:dyDescent="0.2">
      <c r="B7" s="63" t="s">
        <v>317</v>
      </c>
      <c r="C7" s="71" t="s">
        <v>317</v>
      </c>
      <c r="D7" s="71" t="s">
        <v>1060</v>
      </c>
      <c r="E7" s="63" t="s">
        <v>2645</v>
      </c>
      <c r="F7" s="63" t="s">
        <v>1200</v>
      </c>
      <c r="G7" s="652"/>
      <c r="H7" s="233">
        <v>2000</v>
      </c>
      <c r="I7" s="233"/>
      <c r="J7" s="652"/>
      <c r="K7" s="233">
        <v>564</v>
      </c>
      <c r="L7" s="233"/>
      <c r="M7" s="652"/>
      <c r="N7" s="233">
        <v>6100</v>
      </c>
    </row>
    <row r="8" spans="2:14" x14ac:dyDescent="0.2">
      <c r="B8" s="63" t="s">
        <v>317</v>
      </c>
      <c r="C8" s="71" t="s">
        <v>317</v>
      </c>
      <c r="D8" s="71" t="s">
        <v>1054</v>
      </c>
      <c r="E8" s="63" t="s">
        <v>2647</v>
      </c>
      <c r="F8" s="63" t="s">
        <v>1200</v>
      </c>
      <c r="G8" s="652"/>
      <c r="H8" s="233">
        <v>1500</v>
      </c>
      <c r="I8" s="233"/>
      <c r="J8" s="652"/>
      <c r="K8" s="233">
        <v>1642</v>
      </c>
      <c r="L8" s="233"/>
      <c r="M8" s="652"/>
      <c r="N8" s="233">
        <v>1300</v>
      </c>
    </row>
    <row r="9" spans="2:14" x14ac:dyDescent="0.2">
      <c r="B9" s="63" t="s">
        <v>317</v>
      </c>
      <c r="C9" s="71" t="s">
        <v>317</v>
      </c>
      <c r="D9" s="71" t="s">
        <v>1054</v>
      </c>
      <c r="E9" s="63" t="s">
        <v>2648</v>
      </c>
      <c r="F9" s="63" t="s">
        <v>329</v>
      </c>
      <c r="G9" s="652"/>
      <c r="H9" s="233">
        <v>1500</v>
      </c>
      <c r="I9" s="233"/>
      <c r="J9" s="652"/>
      <c r="K9" s="233">
        <v>2031</v>
      </c>
      <c r="L9" s="233"/>
      <c r="M9" s="652"/>
      <c r="N9" s="233">
        <v>107000</v>
      </c>
    </row>
    <row r="10" spans="2:14" x14ac:dyDescent="0.2">
      <c r="B10" s="63" t="s">
        <v>317</v>
      </c>
      <c r="C10" s="71" t="s">
        <v>317</v>
      </c>
      <c r="D10" s="71" t="s">
        <v>1060</v>
      </c>
      <c r="E10" s="63" t="s">
        <v>2649</v>
      </c>
      <c r="F10" s="63" t="s">
        <v>1200</v>
      </c>
      <c r="G10" s="652"/>
      <c r="H10" s="233">
        <f>13700+2000</f>
        <v>15700</v>
      </c>
      <c r="I10" s="233"/>
      <c r="J10" s="652"/>
      <c r="K10" s="233">
        <v>57781</v>
      </c>
      <c r="L10" s="233"/>
      <c r="M10" s="652"/>
      <c r="N10" s="233">
        <v>0</v>
      </c>
    </row>
    <row r="11" spans="2:14" x14ac:dyDescent="0.2">
      <c r="B11" s="63" t="s">
        <v>317</v>
      </c>
      <c r="C11" s="71"/>
      <c r="D11" s="71" t="s">
        <v>1060</v>
      </c>
      <c r="E11" s="63" t="s">
        <v>2624</v>
      </c>
      <c r="F11" s="63" t="s">
        <v>2630</v>
      </c>
      <c r="G11" s="652"/>
      <c r="H11" s="233" t="s">
        <v>2626</v>
      </c>
      <c r="I11" s="233"/>
      <c r="J11" s="652"/>
      <c r="K11" s="233">
        <v>-46000</v>
      </c>
      <c r="L11" s="233"/>
      <c r="M11" s="652"/>
      <c r="N11" s="233">
        <v>-36000</v>
      </c>
    </row>
    <row r="12" spans="2:14" ht="5.25" customHeight="1" x14ac:dyDescent="0.2">
      <c r="B12" s="63"/>
      <c r="C12" s="71"/>
      <c r="D12" s="71"/>
      <c r="E12" s="63" t="s">
        <v>1055</v>
      </c>
      <c r="F12" s="63" t="s">
        <v>1200</v>
      </c>
      <c r="G12" s="652"/>
      <c r="H12" s="233">
        <v>0</v>
      </c>
      <c r="I12" s="233"/>
      <c r="J12" s="652"/>
      <c r="K12" s="654">
        <f>N12</f>
        <v>20000</v>
      </c>
      <c r="L12" s="233"/>
      <c r="M12" s="652"/>
      <c r="N12" s="233">
        <v>20000</v>
      </c>
    </row>
    <row r="13" spans="2:14" x14ac:dyDescent="0.2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1200</v>
      </c>
      <c r="G13" s="652"/>
      <c r="H13" s="233">
        <v>2500</v>
      </c>
      <c r="I13" s="233"/>
      <c r="J13" s="652"/>
      <c r="K13" s="656">
        <f>N13</f>
        <v>2500</v>
      </c>
      <c r="L13" s="233"/>
      <c r="M13" s="652"/>
      <c r="N13" s="233">
        <v>2500</v>
      </c>
    </row>
    <row r="14" spans="2:14" x14ac:dyDescent="0.2">
      <c r="B14" s="63"/>
      <c r="C14" s="71" t="s">
        <v>316</v>
      </c>
      <c r="D14" s="63" t="s">
        <v>331</v>
      </c>
      <c r="E14" s="63" t="s">
        <v>871</v>
      </c>
      <c r="F14" s="63" t="s">
        <v>1200</v>
      </c>
      <c r="G14" s="652"/>
      <c r="H14" s="233">
        <v>5000</v>
      </c>
      <c r="I14" s="233"/>
      <c r="J14" s="652"/>
      <c r="K14" s="656">
        <f>N14</f>
        <v>5000</v>
      </c>
      <c r="L14" s="233"/>
      <c r="M14" s="652"/>
      <c r="N14" s="233">
        <v>5000</v>
      </c>
    </row>
    <row r="15" spans="2:14" x14ac:dyDescent="0.2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1200</v>
      </c>
      <c r="G15" s="652"/>
      <c r="H15" s="233">
        <v>14000</v>
      </c>
      <c r="I15" s="233"/>
      <c r="J15" s="652"/>
      <c r="K15" s="233">
        <v>1300</v>
      </c>
      <c r="L15" s="233"/>
      <c r="M15" s="652"/>
      <c r="N15" s="233">
        <v>900</v>
      </c>
    </row>
    <row r="16" spans="2:14" s="646" customFormat="1" x14ac:dyDescent="0.2">
      <c r="B16" s="63" t="s">
        <v>324</v>
      </c>
      <c r="C16" s="71" t="s">
        <v>317</v>
      </c>
      <c r="D16" s="71" t="s">
        <v>331</v>
      </c>
      <c r="E16" s="63" t="s">
        <v>2613</v>
      </c>
      <c r="F16" s="71" t="s">
        <v>1200</v>
      </c>
      <c r="G16" s="652"/>
      <c r="H16" s="233">
        <v>5000</v>
      </c>
      <c r="I16" s="233"/>
      <c r="J16" s="652"/>
      <c r="K16" s="656">
        <f>N16</f>
        <v>5000</v>
      </c>
      <c r="L16" s="233"/>
      <c r="M16" s="652"/>
      <c r="N16" s="233">
        <v>5000</v>
      </c>
    </row>
    <row r="17" spans="2:14" ht="13.15" customHeight="1" x14ac:dyDescent="0.2">
      <c r="B17" s="63"/>
      <c r="C17" s="771" t="s">
        <v>2655</v>
      </c>
      <c r="D17" s="71" t="s">
        <v>1197</v>
      </c>
      <c r="E17" s="63" t="s">
        <v>2638</v>
      </c>
      <c r="F17" s="63" t="s">
        <v>1200</v>
      </c>
      <c r="G17" s="652"/>
      <c r="H17" s="233">
        <f>N17</f>
        <v>90000</v>
      </c>
      <c r="I17" s="233"/>
      <c r="J17" s="652"/>
      <c r="K17" s="656">
        <f>N17</f>
        <v>90000</v>
      </c>
      <c r="L17" s="233"/>
      <c r="M17" s="652"/>
      <c r="N17" s="233">
        <v>90000</v>
      </c>
    </row>
    <row r="18" spans="2:14" x14ac:dyDescent="0.2">
      <c r="B18" s="63"/>
      <c r="C18" s="772"/>
      <c r="D18" s="63" t="s">
        <v>331</v>
      </c>
      <c r="E18" s="63" t="s">
        <v>2640</v>
      </c>
      <c r="F18" s="63" t="s">
        <v>1200</v>
      </c>
      <c r="G18" s="652"/>
      <c r="H18" s="233">
        <f>N18+169000</f>
        <v>439000</v>
      </c>
      <c r="I18" s="233"/>
      <c r="J18" s="652"/>
      <c r="K18" s="233">
        <f>N18+169000*40%</f>
        <v>337600</v>
      </c>
      <c r="L18" s="233"/>
      <c r="M18" s="652"/>
      <c r="N18" s="233">
        <v>270000</v>
      </c>
    </row>
    <row r="19" spans="2:14" x14ac:dyDescent="0.2">
      <c r="B19" s="63" t="s">
        <v>317</v>
      </c>
      <c r="C19" s="772"/>
      <c r="D19" s="63" t="s">
        <v>331</v>
      </c>
      <c r="E19" s="63" t="s">
        <v>2639</v>
      </c>
      <c r="F19" s="63" t="s">
        <v>329</v>
      </c>
      <c r="G19" s="652">
        <f>750000-418000</f>
        <v>332000</v>
      </c>
      <c r="H19" s="233"/>
      <c r="I19" s="233"/>
      <c r="J19" s="657">
        <f>M19</f>
        <v>600000</v>
      </c>
      <c r="K19" s="233"/>
      <c r="L19" s="233"/>
      <c r="M19" s="653">
        <v>600000</v>
      </c>
      <c r="N19" s="233"/>
    </row>
    <row r="20" spans="2:14" x14ac:dyDescent="0.2">
      <c r="B20" s="63" t="s">
        <v>317</v>
      </c>
      <c r="C20" s="772"/>
      <c r="D20" s="63" t="s">
        <v>331</v>
      </c>
      <c r="E20" s="63" t="s">
        <v>2637</v>
      </c>
      <c r="F20" s="63" t="s">
        <v>1200</v>
      </c>
      <c r="G20" s="652">
        <f>200000</f>
        <v>200000</v>
      </c>
      <c r="H20" s="233"/>
      <c r="I20" s="233"/>
      <c r="J20" s="657">
        <f>M20</f>
        <v>200000</v>
      </c>
      <c r="K20" s="233"/>
      <c r="L20" s="233"/>
      <c r="M20" s="653">
        <v>200000</v>
      </c>
      <c r="N20" s="233"/>
    </row>
    <row r="21" spans="2:14" x14ac:dyDescent="0.2">
      <c r="B21" s="63" t="s">
        <v>317</v>
      </c>
      <c r="C21" s="772"/>
      <c r="D21" s="71" t="s">
        <v>1054</v>
      </c>
      <c r="E21" s="63" t="s">
        <v>1202</v>
      </c>
      <c r="F21" s="63" t="s">
        <v>1201</v>
      </c>
      <c r="G21" s="653">
        <f>1000+15000+18000</f>
        <v>34000</v>
      </c>
      <c r="H21" s="233"/>
      <c r="I21" s="233"/>
      <c r="J21" s="653">
        <f>37303+14272+15932</f>
        <v>67507</v>
      </c>
      <c r="K21" s="233"/>
      <c r="L21" s="233"/>
      <c r="M21" s="653">
        <f>(35+13+14)*1000</f>
        <v>62000</v>
      </c>
      <c r="N21" s="233"/>
    </row>
    <row r="22" spans="2:14" x14ac:dyDescent="0.2">
      <c r="B22" s="63" t="s">
        <v>317</v>
      </c>
      <c r="C22" s="772"/>
      <c r="D22" s="71" t="s">
        <v>2633</v>
      </c>
      <c r="E22" s="63" t="s">
        <v>1052</v>
      </c>
      <c r="F22" s="63" t="s">
        <v>1200</v>
      </c>
      <c r="G22" s="652">
        <f>202000+64000</f>
        <v>266000</v>
      </c>
      <c r="H22" s="233"/>
      <c r="I22" s="233"/>
      <c r="J22" s="652">
        <f>57247+54415</f>
        <v>111662</v>
      </c>
      <c r="K22" s="233"/>
      <c r="L22" s="233"/>
      <c r="M22" s="652">
        <f>51797+50452</f>
        <v>102249</v>
      </c>
      <c r="N22" s="233"/>
    </row>
    <row r="23" spans="2:14" x14ac:dyDescent="0.2">
      <c r="B23" s="63" t="s">
        <v>317</v>
      </c>
      <c r="C23" s="772"/>
      <c r="D23" s="71" t="s">
        <v>2633</v>
      </c>
      <c r="E23" s="63" t="s">
        <v>2616</v>
      </c>
      <c r="F23" s="63" t="s">
        <v>1200</v>
      </c>
      <c r="G23" s="653">
        <f>(113000+20000)</f>
        <v>133000</v>
      </c>
      <c r="H23" s="233"/>
      <c r="I23" s="233"/>
      <c r="J23" s="653">
        <v>24201</v>
      </c>
      <c r="K23" s="233"/>
      <c r="L23" s="233"/>
      <c r="M23" s="653">
        <v>17000</v>
      </c>
      <c r="N23" s="233"/>
    </row>
    <row r="24" spans="2:14" x14ac:dyDescent="0.2">
      <c r="B24" s="63" t="s">
        <v>324</v>
      </c>
      <c r="C24" s="772"/>
      <c r="D24" s="63" t="s">
        <v>1199</v>
      </c>
      <c r="E24" s="63" t="s">
        <v>1198</v>
      </c>
      <c r="F24" s="63" t="s">
        <v>1201</v>
      </c>
      <c r="G24" s="652">
        <v>5000</v>
      </c>
      <c r="H24" s="233"/>
      <c r="I24" s="233"/>
      <c r="J24" s="652">
        <v>5000</v>
      </c>
      <c r="K24" s="233"/>
      <c r="L24" s="233"/>
      <c r="M24" s="652">
        <v>5000</v>
      </c>
      <c r="N24" s="233"/>
    </row>
    <row r="25" spans="2:14" s="650" customFormat="1" x14ac:dyDescent="0.2">
      <c r="B25" s="63" t="s">
        <v>2614</v>
      </c>
      <c r="C25" s="773"/>
      <c r="D25" s="71" t="s">
        <v>331</v>
      </c>
      <c r="E25" s="63" t="s">
        <v>2653</v>
      </c>
      <c r="F25" s="63" t="s">
        <v>329</v>
      </c>
      <c r="G25" s="653">
        <f>15000*3</f>
        <v>45000</v>
      </c>
      <c r="H25" s="233"/>
      <c r="I25" s="233"/>
      <c r="J25" s="655">
        <v>0</v>
      </c>
      <c r="K25" s="233"/>
      <c r="L25" s="233"/>
      <c r="M25" s="653">
        <v>0</v>
      </c>
      <c r="N25" s="233"/>
    </row>
    <row r="26" spans="2:14" x14ac:dyDescent="0.2">
      <c r="B26" s="63" t="s">
        <v>2614</v>
      </c>
      <c r="C26" s="71" t="s">
        <v>316</v>
      </c>
      <c r="D26" s="71" t="s">
        <v>331</v>
      </c>
      <c r="E26" s="63" t="s">
        <v>2641</v>
      </c>
      <c r="F26" s="63" t="s">
        <v>1200</v>
      </c>
      <c r="G26" s="653" t="s">
        <v>2615</v>
      </c>
      <c r="H26" s="233"/>
      <c r="I26" s="233"/>
      <c r="J26" s="657">
        <f>M26</f>
        <v>20000</v>
      </c>
      <c r="K26" s="233"/>
      <c r="L26" s="233"/>
      <c r="M26" s="653">
        <v>20000</v>
      </c>
      <c r="N26" s="233"/>
    </row>
    <row r="27" spans="2:14" x14ac:dyDescent="0.2">
      <c r="B27" s="63" t="s">
        <v>317</v>
      </c>
      <c r="C27" s="71" t="s">
        <v>317</v>
      </c>
      <c r="D27" s="71" t="s">
        <v>1199</v>
      </c>
      <c r="E27" s="63" t="s">
        <v>2632</v>
      </c>
      <c r="F27" s="63" t="s">
        <v>1201</v>
      </c>
      <c r="G27" s="653">
        <v>1000</v>
      </c>
      <c r="H27" s="233" t="s">
        <v>2618</v>
      </c>
      <c r="I27" s="233"/>
      <c r="J27" s="653">
        <v>92574</v>
      </c>
      <c r="K27" s="233"/>
      <c r="L27" s="233"/>
      <c r="M27" s="653">
        <v>102000</v>
      </c>
      <c r="N27" s="233"/>
    </row>
    <row r="28" spans="2:14" x14ac:dyDescent="0.2">
      <c r="B28" s="63" t="s">
        <v>324</v>
      </c>
      <c r="C28" s="71" t="s">
        <v>337</v>
      </c>
      <c r="D28" s="71" t="s">
        <v>331</v>
      </c>
      <c r="E28" s="63" t="s">
        <v>2628</v>
      </c>
      <c r="F28" s="63" t="s">
        <v>1200</v>
      </c>
      <c r="G28" s="653">
        <v>40000</v>
      </c>
      <c r="H28" s="233"/>
      <c r="I28" s="233"/>
      <c r="J28" s="653">
        <v>27907</v>
      </c>
      <c r="K28" s="233"/>
      <c r="L28" s="233"/>
      <c r="M28" s="653">
        <v>6000</v>
      </c>
      <c r="N28" s="233"/>
    </row>
    <row r="29" spans="2:14" x14ac:dyDescent="0.2">
      <c r="B29" s="63" t="s">
        <v>317</v>
      </c>
      <c r="C29" s="71" t="s">
        <v>317</v>
      </c>
      <c r="D29" s="71" t="s">
        <v>1060</v>
      </c>
      <c r="E29" s="63" t="s">
        <v>2635</v>
      </c>
      <c r="F29" s="63" t="s">
        <v>1200</v>
      </c>
      <c r="G29" s="653">
        <v>2000</v>
      </c>
      <c r="H29" s="233"/>
      <c r="I29" s="233"/>
      <c r="J29" s="653">
        <v>28176</v>
      </c>
      <c r="K29" s="233"/>
      <c r="L29" s="233"/>
      <c r="M29" s="653">
        <v>20000</v>
      </c>
      <c r="N29" s="233"/>
    </row>
    <row r="30" spans="2:14" s="646" customFormat="1" x14ac:dyDescent="0.2">
      <c r="B30" s="63" t="s">
        <v>317</v>
      </c>
      <c r="C30" s="71" t="s">
        <v>317</v>
      </c>
      <c r="D30" s="71" t="s">
        <v>1060</v>
      </c>
      <c r="E30" s="63" t="s">
        <v>2634</v>
      </c>
      <c r="F30" s="63" t="s">
        <v>1200</v>
      </c>
      <c r="G30" s="653">
        <f>176000</f>
        <v>176000</v>
      </c>
      <c r="H30" s="233"/>
      <c r="I30" s="233"/>
      <c r="J30" s="678">
        <v>0</v>
      </c>
      <c r="K30" s="233"/>
      <c r="L30" s="233"/>
      <c r="M30" s="653">
        <v>0</v>
      </c>
      <c r="N30" s="233"/>
    </row>
    <row r="31" spans="2:14" ht="25.5" x14ac:dyDescent="0.2">
      <c r="B31" s="63" t="s">
        <v>317</v>
      </c>
      <c r="C31" s="71" t="s">
        <v>317</v>
      </c>
      <c r="D31" s="71" t="s">
        <v>2683</v>
      </c>
      <c r="E31" s="677" t="s">
        <v>2687</v>
      </c>
      <c r="F31" s="186" t="s">
        <v>2684</v>
      </c>
      <c r="G31" s="653">
        <v>437000</v>
      </c>
      <c r="H31" s="233"/>
      <c r="I31" s="233"/>
      <c r="J31" s="653">
        <f>27564</f>
        <v>27564</v>
      </c>
      <c r="K31" s="233"/>
      <c r="L31" s="233"/>
      <c r="M31" s="653">
        <v>20000</v>
      </c>
      <c r="N31" s="233"/>
    </row>
    <row r="32" spans="2:14" x14ac:dyDescent="0.2">
      <c r="B32" s="63" t="s">
        <v>317</v>
      </c>
      <c r="C32" s="71"/>
      <c r="D32" s="71"/>
      <c r="E32" s="63" t="s">
        <v>2624</v>
      </c>
      <c r="F32" s="71" t="s">
        <v>2630</v>
      </c>
      <c r="G32" s="653" t="s">
        <v>2625</v>
      </c>
      <c r="H32" s="233"/>
      <c r="I32" s="233"/>
      <c r="J32" s="653">
        <v>-30000</v>
      </c>
      <c r="K32" s="233"/>
      <c r="L32" s="233"/>
      <c r="M32" s="653">
        <v>-40000</v>
      </c>
      <c r="N32" s="233"/>
    </row>
    <row r="33" spans="2:14" s="676" customFormat="1" x14ac:dyDescent="0.2">
      <c r="B33" s="63"/>
      <c r="C33" s="71"/>
      <c r="D33" s="71" t="s">
        <v>1053</v>
      </c>
      <c r="E33" s="677" t="s">
        <v>2688</v>
      </c>
      <c r="F33" s="186" t="s">
        <v>1200</v>
      </c>
      <c r="G33" s="653">
        <v>-1000</v>
      </c>
      <c r="H33" s="233"/>
      <c r="I33" s="233"/>
      <c r="J33" s="678">
        <v>0</v>
      </c>
      <c r="K33" s="233"/>
      <c r="L33" s="233"/>
      <c r="M33" s="653">
        <v>0</v>
      </c>
      <c r="N33" s="233"/>
    </row>
    <row r="34" spans="2:14" x14ac:dyDescent="0.2">
      <c r="B34" s="63" t="s">
        <v>317</v>
      </c>
      <c r="C34" s="71" t="s">
        <v>317</v>
      </c>
      <c r="D34" s="71" t="s">
        <v>1196</v>
      </c>
      <c r="E34" s="677" t="s">
        <v>1899</v>
      </c>
      <c r="F34" s="63" t="s">
        <v>1201</v>
      </c>
      <c r="G34" s="653">
        <v>7000</v>
      </c>
      <c r="H34" s="233"/>
      <c r="I34" s="233"/>
      <c r="J34" s="653">
        <v>20000</v>
      </c>
      <c r="K34" s="233"/>
      <c r="L34" s="233"/>
      <c r="M34" s="653">
        <v>0</v>
      </c>
      <c r="N34" s="233"/>
    </row>
    <row r="35" spans="2:14" s="676" customFormat="1" x14ac:dyDescent="0.2">
      <c r="B35" s="63"/>
      <c r="C35" s="71"/>
      <c r="D35" s="71"/>
      <c r="E35" s="63" t="s">
        <v>2685</v>
      </c>
      <c r="F35" s="71" t="s">
        <v>2630</v>
      </c>
      <c r="G35" s="653" t="s">
        <v>2686</v>
      </c>
      <c r="H35" s="233"/>
      <c r="I35" s="233"/>
      <c r="J35" s="653" t="s">
        <v>433</v>
      </c>
      <c r="K35" s="233"/>
      <c r="L35" s="233"/>
      <c r="M35" s="653" t="s">
        <v>433</v>
      </c>
      <c r="N35" s="233"/>
    </row>
    <row r="36" spans="2:14" x14ac:dyDescent="0.2">
      <c r="B36" s="63" t="s">
        <v>317</v>
      </c>
      <c r="C36" s="71" t="s">
        <v>317</v>
      </c>
      <c r="D36" s="71"/>
      <c r="E36" s="63" t="s">
        <v>2629</v>
      </c>
      <c r="F36" s="63" t="s">
        <v>1201</v>
      </c>
      <c r="G36" s="653" t="s">
        <v>332</v>
      </c>
      <c r="H36" s="233"/>
      <c r="I36" s="233"/>
      <c r="J36" s="653" t="s">
        <v>332</v>
      </c>
      <c r="K36" s="233"/>
      <c r="L36" s="233"/>
      <c r="M36" s="653" t="s">
        <v>332</v>
      </c>
      <c r="N36" s="233"/>
    </row>
    <row r="37" spans="2:14" x14ac:dyDescent="0.2">
      <c r="E37" s="212"/>
      <c r="F37" s="212" t="s">
        <v>2622</v>
      </c>
      <c r="G37" s="114">
        <f>SUM(G4:G36)</f>
        <v>1677000</v>
      </c>
      <c r="H37" s="649">
        <f>SUM(H4:H36)</f>
        <v>621000</v>
      </c>
      <c r="J37" s="114">
        <f>SUM(J4:J36)</f>
        <v>1194591</v>
      </c>
      <c r="K37" s="649">
        <f>SUM(K4:K36)</f>
        <v>498618</v>
      </c>
      <c r="M37" s="114">
        <f>SUM(M4:M36)</f>
        <v>1114249</v>
      </c>
      <c r="N37" s="649">
        <f>SUM(N4:N36)</f>
        <v>493000</v>
      </c>
    </row>
    <row r="38" spans="2:14" s="646" customFormat="1" x14ac:dyDescent="0.2">
      <c r="E38" s="212"/>
      <c r="F38" s="212" t="s">
        <v>2689</v>
      </c>
      <c r="G38" s="114">
        <v>1677000</v>
      </c>
      <c r="H38" s="649">
        <v>621000</v>
      </c>
      <c r="I38" s="2"/>
      <c r="J38" s="114">
        <v>1194591</v>
      </c>
      <c r="K38" s="649">
        <v>498618</v>
      </c>
      <c r="L38" s="2"/>
      <c r="M38" s="114">
        <v>1114249</v>
      </c>
      <c r="N38" s="649">
        <v>493000</v>
      </c>
    </row>
    <row r="39" spans="2:14" s="647" customFormat="1" x14ac:dyDescent="0.2">
      <c r="E39" s="651" t="s">
        <v>2650</v>
      </c>
      <c r="F39" s="207">
        <v>1.33</v>
      </c>
      <c r="G39" s="114"/>
      <c r="H39" s="114" t="s">
        <v>2617</v>
      </c>
      <c r="I39" s="2"/>
      <c r="J39" s="114"/>
      <c r="K39" s="649"/>
      <c r="L39" s="2"/>
    </row>
    <row r="40" spans="2:14" s="647" customFormat="1" x14ac:dyDescent="0.2">
      <c r="E40" s="212"/>
      <c r="F40" s="212" t="s">
        <v>2627</v>
      </c>
      <c r="G40" s="770">
        <f>G37/F39+H37</f>
        <v>1881902.2556390977</v>
      </c>
      <c r="H40" s="770"/>
      <c r="I40" s="2"/>
      <c r="J40" s="114"/>
      <c r="K40" s="2"/>
      <c r="L40" s="2"/>
      <c r="M40" s="114"/>
      <c r="N40" s="2"/>
    </row>
    <row r="41" spans="2:14" s="647" customFormat="1" x14ac:dyDescent="0.2">
      <c r="E41" s="212"/>
      <c r="F41" s="212" t="s">
        <v>2623</v>
      </c>
      <c r="G41" s="769">
        <f>H37*F39+G37</f>
        <v>2502930</v>
      </c>
      <c r="H41" s="769"/>
      <c r="I41" s="2"/>
      <c r="J41" s="769">
        <f>K37*1.37+J37</f>
        <v>1877697.6600000001</v>
      </c>
      <c r="K41" s="769"/>
      <c r="L41" s="2"/>
      <c r="M41" s="769">
        <f>N37*1.37+M37</f>
        <v>1789659</v>
      </c>
      <c r="N41" s="769"/>
    </row>
    <row r="42" spans="2:14" x14ac:dyDescent="0.2">
      <c r="I42" s="114"/>
      <c r="L42" s="114"/>
      <c r="N42" s="114"/>
    </row>
    <row r="43" spans="2:14" x14ac:dyDescent="0.2">
      <c r="H43" s="114"/>
      <c r="I43" s="114"/>
      <c r="K43" s="114"/>
      <c r="L43" s="114"/>
      <c r="N43" s="114"/>
    </row>
    <row r="44" spans="2:14" x14ac:dyDescent="0.2">
      <c r="B44" s="724" t="s">
        <v>1203</v>
      </c>
      <c r="C44" s="724"/>
      <c r="D44" s="724"/>
      <c r="E44" s="724"/>
      <c r="F44" s="724"/>
      <c r="G44" s="724"/>
      <c r="H44" s="724"/>
      <c r="I44" s="724"/>
      <c r="J44" s="724"/>
      <c r="K44" s="724"/>
      <c r="L44" s="724"/>
      <c r="M44" s="724"/>
      <c r="N44" s="724"/>
    </row>
    <row r="45" spans="2:14" x14ac:dyDescent="0.2">
      <c r="B45" s="724" t="s">
        <v>2621</v>
      </c>
      <c r="C45" s="724"/>
      <c r="D45" s="724"/>
      <c r="E45" s="724"/>
      <c r="F45" s="724"/>
      <c r="G45" s="724"/>
      <c r="H45" s="724"/>
      <c r="I45" s="724"/>
      <c r="J45" s="724"/>
      <c r="K45" s="724"/>
      <c r="L45" s="724"/>
      <c r="M45" s="724"/>
      <c r="N45" s="724"/>
    </row>
    <row r="46" spans="2:14" x14ac:dyDescent="0.2">
      <c r="B46" s="724" t="s">
        <v>2620</v>
      </c>
      <c r="C46" s="724"/>
      <c r="D46" s="724"/>
      <c r="E46" s="724"/>
      <c r="F46" s="724"/>
      <c r="G46" s="724"/>
      <c r="H46" s="724"/>
      <c r="I46" s="724"/>
      <c r="J46" s="724"/>
      <c r="K46" s="724"/>
      <c r="L46" s="724"/>
      <c r="M46" s="724"/>
      <c r="N46" s="724"/>
    </row>
    <row r="47" spans="2:14" x14ac:dyDescent="0.2">
      <c r="B47" s="766" t="s">
        <v>2619</v>
      </c>
      <c r="C47" s="766"/>
      <c r="D47" s="766"/>
      <c r="E47" s="766"/>
      <c r="F47" s="766"/>
      <c r="G47" s="766"/>
      <c r="H47" s="766"/>
      <c r="I47" s="766"/>
      <c r="J47" s="766"/>
      <c r="K47" s="766"/>
      <c r="L47" s="766"/>
      <c r="M47" s="766"/>
      <c r="N47" s="766"/>
    </row>
    <row r="48" spans="2:14" x14ac:dyDescent="0.2">
      <c r="B48" s="766"/>
      <c r="C48" s="766"/>
      <c r="D48" s="766"/>
      <c r="E48" s="766"/>
      <c r="F48" s="766"/>
      <c r="G48" s="766"/>
      <c r="H48" s="766"/>
      <c r="I48" s="766"/>
      <c r="J48" s="766"/>
      <c r="K48" s="766"/>
      <c r="L48" s="766"/>
      <c r="M48" s="766"/>
      <c r="N48" s="766"/>
    </row>
    <row r="49" spans="2:14" x14ac:dyDescent="0.2">
      <c r="B49" s="766"/>
      <c r="C49" s="766"/>
      <c r="D49" s="766"/>
      <c r="E49" s="766"/>
      <c r="F49" s="766"/>
      <c r="G49" s="766"/>
      <c r="H49" s="766"/>
      <c r="I49" s="766"/>
      <c r="J49" s="766"/>
      <c r="K49" s="766"/>
      <c r="L49" s="766"/>
      <c r="M49" s="766"/>
      <c r="N49" s="766"/>
    </row>
  </sheetData>
  <mergeCells count="12">
    <mergeCell ref="B47:N49"/>
    <mergeCell ref="B44:N44"/>
    <mergeCell ref="B46:N46"/>
    <mergeCell ref="M3:N3"/>
    <mergeCell ref="J3:K3"/>
    <mergeCell ref="B45:N45"/>
    <mergeCell ref="G3:H3"/>
    <mergeCell ref="G41:H41"/>
    <mergeCell ref="J41:K41"/>
    <mergeCell ref="M41:N41"/>
    <mergeCell ref="G40:H40"/>
    <mergeCell ref="C17:C25"/>
  </mergeCells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71" customWidth="1"/>
    <col min="2" max="2" width="4.140625" style="441" customWidth="1"/>
    <col min="3" max="3" width="4.85546875" style="441" customWidth="1"/>
    <col min="4" max="4" width="4.5703125" style="371" bestFit="1" customWidth="1"/>
    <col min="5" max="5" width="7.85546875" style="371" bestFit="1" customWidth="1"/>
    <col min="6" max="6" width="4.7109375" style="441" bestFit="1" customWidth="1"/>
    <col min="7" max="7" width="5.5703125" style="441" bestFit="1" customWidth="1"/>
    <col min="8" max="8" width="8.28515625" style="387" bestFit="1" customWidth="1"/>
    <col min="9" max="10" width="6.7109375" style="372" bestFit="1" customWidth="1"/>
    <col min="11" max="11" width="1.85546875" style="372" customWidth="1"/>
    <col min="12" max="13" width="4.5703125" style="371" bestFit="1" customWidth="1"/>
    <col min="14" max="14" width="8" style="441" bestFit="1" customWidth="1"/>
    <col min="15" max="15" width="6.140625" style="371" bestFit="1" customWidth="1"/>
    <col min="16" max="16" width="0.7109375" style="441" customWidth="1"/>
    <col min="17" max="17" width="11.5703125" style="441" customWidth="1"/>
    <col min="18" max="18" width="5.140625" style="371" bestFit="1" customWidth="1"/>
    <col min="19" max="19" width="14" style="371" customWidth="1"/>
    <col min="20" max="20" width="7.85546875" style="371" bestFit="1" customWidth="1"/>
    <col min="21" max="21" width="6.85546875" style="371" customWidth="1"/>
    <col min="22" max="22" width="6.140625" style="371" customWidth="1"/>
    <col min="23" max="23" width="7.7109375" style="371" bestFit="1" customWidth="1"/>
    <col min="24" max="24" width="6.140625" style="371" customWidth="1"/>
    <col min="25" max="25" width="9.140625" style="371"/>
    <col min="26" max="26" width="6.140625" style="371" customWidth="1"/>
    <col min="27" max="16384" width="9.140625" style="371"/>
  </cols>
  <sheetData>
    <row r="1" spans="2:28" ht="5.25" customHeight="1" x14ac:dyDescent="0.25">
      <c r="L1" s="372"/>
    </row>
    <row r="2" spans="2:28" ht="15.75" customHeight="1" x14ac:dyDescent="0.25">
      <c r="B2" s="776" t="s">
        <v>2097</v>
      </c>
      <c r="C2" s="776"/>
      <c r="D2" s="777" t="s">
        <v>1892</v>
      </c>
      <c r="E2" s="777"/>
      <c r="F2" s="515"/>
      <c r="G2" s="515"/>
      <c r="H2" s="388"/>
      <c r="I2" s="780" t="s">
        <v>2288</v>
      </c>
      <c r="J2" s="781"/>
      <c r="K2" s="781"/>
      <c r="L2" s="781"/>
      <c r="M2" s="781"/>
      <c r="N2" s="781"/>
      <c r="O2" s="782"/>
      <c r="P2" s="469"/>
      <c r="Q2" s="783" t="s">
        <v>2324</v>
      </c>
      <c r="R2" s="453"/>
    </row>
    <row r="3" spans="2:28" s="441" customFormat="1" ht="15.75" customHeight="1" x14ac:dyDescent="0.25">
      <c r="B3" s="448"/>
      <c r="C3" s="454"/>
      <c r="D3" s="442"/>
      <c r="E3" s="442"/>
      <c r="F3" s="788" t="s">
        <v>2319</v>
      </c>
      <c r="G3" s="789"/>
      <c r="H3" s="388"/>
      <c r="I3" s="452"/>
      <c r="J3" s="516"/>
      <c r="K3" s="785" t="s">
        <v>2462</v>
      </c>
      <c r="L3" s="786"/>
      <c r="M3" s="787"/>
      <c r="N3" s="521"/>
      <c r="O3" s="449"/>
      <c r="P3" s="513"/>
      <c r="Q3" s="784"/>
      <c r="R3" s="382"/>
    </row>
    <row r="4" spans="2:28" ht="31.5" x14ac:dyDescent="0.25">
      <c r="B4" s="441" t="s">
        <v>2096</v>
      </c>
      <c r="C4" s="441" t="s">
        <v>2095</v>
      </c>
      <c r="D4" s="380" t="s">
        <v>1891</v>
      </c>
      <c r="E4" s="564" t="s">
        <v>2512</v>
      </c>
      <c r="F4" s="565" t="s">
        <v>2452</v>
      </c>
      <c r="G4" s="566" t="s">
        <v>2453</v>
      </c>
      <c r="H4" s="389" t="s">
        <v>468</v>
      </c>
      <c r="I4" s="450" t="s">
        <v>1889</v>
      </c>
      <c r="J4" s="451" t="s">
        <v>2306</v>
      </c>
      <c r="K4" s="450"/>
      <c r="L4" s="451" t="s">
        <v>1890</v>
      </c>
      <c r="M4" s="450" t="s">
        <v>2229</v>
      </c>
      <c r="N4" s="450" t="s">
        <v>2294</v>
      </c>
      <c r="O4" s="385"/>
      <c r="P4" s="470"/>
      <c r="Q4" s="445"/>
      <c r="R4" s="381" t="s">
        <v>1888</v>
      </c>
    </row>
    <row r="5" spans="2:28" s="412" customFormat="1" ht="13.5" customHeight="1" x14ac:dyDescent="0.25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2295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25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2296</v>
      </c>
      <c r="O6" s="498">
        <v>206</v>
      </c>
      <c r="P6" s="498"/>
      <c r="Q6" s="494"/>
      <c r="R6" s="494"/>
      <c r="S6" s="500" t="s">
        <v>2094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25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25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2289</v>
      </c>
      <c r="O8" s="503"/>
      <c r="P8" s="503"/>
      <c r="Q8" s="506"/>
      <c r="R8" s="506"/>
      <c r="S8" s="778" t="s">
        <v>1887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25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2290</v>
      </c>
      <c r="O9" s="503">
        <v>139</v>
      </c>
      <c r="P9" s="503"/>
      <c r="Q9" s="503"/>
      <c r="R9" s="503">
        <f>-ABS(T8)</f>
        <v>-500</v>
      </c>
      <c r="S9" s="778"/>
      <c r="T9" s="492" t="s">
        <v>1886</v>
      </c>
      <c r="U9" s="492" t="s">
        <v>517</v>
      </c>
      <c r="V9" s="493" t="s">
        <v>1883</v>
      </c>
      <c r="W9" s="492"/>
      <c r="X9" s="492" t="s">
        <v>1885</v>
      </c>
      <c r="Y9" s="493" t="s">
        <v>1939</v>
      </c>
    </row>
    <row r="10" spans="2:28" s="412" customFormat="1" ht="13.5" customHeight="1" x14ac:dyDescent="0.25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25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2291</v>
      </c>
      <c r="O11" s="488">
        <v>141</v>
      </c>
      <c r="P11" s="488"/>
      <c r="Q11" s="488"/>
      <c r="R11" s="488">
        <v>498</v>
      </c>
      <c r="S11" s="509" t="s">
        <v>2234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25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2292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25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79" t="s">
        <v>1884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25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79"/>
      <c r="T14" s="492" t="s">
        <v>2241</v>
      </c>
      <c r="U14" s="492" t="s">
        <v>2240</v>
      </c>
      <c r="V14" s="492"/>
      <c r="W14" s="507" t="s">
        <v>1882</v>
      </c>
    </row>
    <row r="15" spans="2:28" s="487" customFormat="1" x14ac:dyDescent="0.25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2226</v>
      </c>
      <c r="T15" s="502">
        <f>U6+V8-(39-38)+0.6</f>
        <v>180.35999999999999</v>
      </c>
      <c r="U15" s="523" t="s">
        <v>2264</v>
      </c>
      <c r="X15" s="502"/>
      <c r="Y15" s="502"/>
      <c r="Z15" s="502"/>
      <c r="AA15" s="502"/>
      <c r="AB15" s="502"/>
    </row>
    <row r="16" spans="2:28" s="487" customFormat="1" x14ac:dyDescent="0.25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25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25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25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25">
      <c r="B20" s="500">
        <v>15</v>
      </c>
      <c r="C20" s="640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25">
      <c r="B21" s="444"/>
      <c r="C21" s="464"/>
      <c r="D21" s="375"/>
      <c r="E21" s="375"/>
      <c r="F21" s="375"/>
      <c r="G21" s="375"/>
      <c r="H21" s="390" t="s">
        <v>2299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2246</v>
      </c>
      <c r="U21" s="440">
        <v>13</v>
      </c>
    </row>
    <row r="22" spans="2:28" s="430" customFormat="1" x14ac:dyDescent="0.25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2239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25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2233</v>
      </c>
      <c r="P23" s="432"/>
      <c r="Q23" s="443">
        <f>D23+E23+G23+J23+K23</f>
        <v>295.76</v>
      </c>
      <c r="R23" s="375">
        <v>486</v>
      </c>
      <c r="T23" s="433" t="s">
        <v>2238</v>
      </c>
      <c r="U23" s="440">
        <v>38</v>
      </c>
      <c r="V23" s="471" t="s">
        <v>2236</v>
      </c>
      <c r="W23" s="440"/>
      <c r="X23" s="440"/>
      <c r="Y23" s="440"/>
      <c r="Z23" s="440"/>
      <c r="AA23" s="440"/>
      <c r="AB23" s="440"/>
    </row>
    <row r="24" spans="2:28" s="441" customFormat="1" x14ac:dyDescent="0.25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25">
      <c r="B25" s="468"/>
      <c r="C25" s="466"/>
      <c r="D25" s="377"/>
      <c r="E25" s="377" t="s">
        <v>1199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2237</v>
      </c>
      <c r="R25" s="377" t="s">
        <v>1199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25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2233</v>
      </c>
      <c r="P26" s="398"/>
      <c r="Q26" s="377">
        <f>D26+E26+J26</f>
        <v>307.76</v>
      </c>
      <c r="R26" s="377">
        <v>460</v>
      </c>
      <c r="S26" s="462" t="s">
        <v>2235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25">
      <c r="B27" s="468"/>
      <c r="C27" s="466"/>
      <c r="D27" s="774" t="s">
        <v>1559</v>
      </c>
      <c r="E27" s="775"/>
      <c r="F27" s="563"/>
      <c r="G27" s="377"/>
      <c r="H27" s="456" t="s">
        <v>2259</v>
      </c>
      <c r="I27" s="378"/>
      <c r="J27" s="457">
        <f>J26-(R26-D26-E26)</f>
        <v>-152.24</v>
      </c>
      <c r="K27" s="518" t="s">
        <v>2300</v>
      </c>
      <c r="L27" s="458"/>
      <c r="M27" s="397"/>
      <c r="N27" s="397"/>
      <c r="O27" s="398" t="s">
        <v>2233</v>
      </c>
      <c r="P27" s="398"/>
      <c r="Q27" s="476" t="s">
        <v>2242</v>
      </c>
      <c r="R27" s="476"/>
      <c r="S27" s="481" t="s">
        <v>2261</v>
      </c>
      <c r="T27" s="463"/>
      <c r="U27" s="484" t="s">
        <v>2265</v>
      </c>
      <c r="W27" s="440"/>
      <c r="X27" s="440"/>
      <c r="Y27" s="440"/>
      <c r="Z27" s="440"/>
      <c r="AA27" s="440"/>
      <c r="AB27" s="440"/>
    </row>
    <row r="28" spans="2:28" s="441" customFormat="1" x14ac:dyDescent="0.25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25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2263</v>
      </c>
      <c r="I29" s="378"/>
      <c r="J29" s="457"/>
      <c r="K29" s="458"/>
      <c r="L29" s="458"/>
      <c r="M29" s="397"/>
      <c r="N29" s="397"/>
      <c r="O29" s="398"/>
      <c r="P29" s="398"/>
      <c r="Q29" s="482" t="s">
        <v>2266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25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2259</v>
      </c>
      <c r="I30" s="378"/>
      <c r="J30" s="378"/>
      <c r="K30" s="378"/>
      <c r="L30" s="378"/>
      <c r="M30" s="378"/>
      <c r="N30" s="378"/>
      <c r="O30" s="377"/>
      <c r="P30" s="377"/>
      <c r="Q30" s="473" t="s">
        <v>2262</v>
      </c>
      <c r="R30" s="463"/>
      <c r="S30" s="483"/>
      <c r="T30" s="473"/>
      <c r="U30" s="480"/>
      <c r="V30" s="480"/>
      <c r="W30" s="480"/>
    </row>
    <row r="31" spans="2:28" s="430" customFormat="1" x14ac:dyDescent="0.25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25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25">
      <c r="Q33" s="373"/>
      <c r="R33" s="373"/>
    </row>
    <row r="36" spans="3:18" ht="23.25" x14ac:dyDescent="0.35">
      <c r="C36" s="517" t="s">
        <v>2293</v>
      </c>
    </row>
    <row r="37" spans="3:18" ht="23.25" x14ac:dyDescent="0.35">
      <c r="C37" s="517" t="s">
        <v>2297</v>
      </c>
    </row>
    <row r="38" spans="3:18" x14ac:dyDescent="0.25">
      <c r="C38" s="441" t="s">
        <v>2298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708" t="s">
        <v>124</v>
      </c>
      <c r="C1" s="708"/>
      <c r="D1" s="712" t="s">
        <v>292</v>
      </c>
      <c r="E1" s="712"/>
      <c r="F1" s="712" t="s">
        <v>345</v>
      </c>
      <c r="G1" s="712"/>
      <c r="H1" s="709" t="s">
        <v>127</v>
      </c>
      <c r="I1" s="709"/>
      <c r="J1" s="710" t="s">
        <v>292</v>
      </c>
      <c r="K1" s="710"/>
      <c r="L1" s="711" t="s">
        <v>528</v>
      </c>
      <c r="M1" s="711"/>
      <c r="N1" s="709" t="s">
        <v>146</v>
      </c>
      <c r="O1" s="709"/>
      <c r="P1" s="710" t="s">
        <v>293</v>
      </c>
      <c r="Q1" s="710"/>
      <c r="R1" s="711" t="s">
        <v>530</v>
      </c>
      <c r="S1" s="711"/>
      <c r="T1" s="697" t="s">
        <v>193</v>
      </c>
      <c r="U1" s="697"/>
      <c r="V1" s="710" t="s">
        <v>292</v>
      </c>
      <c r="W1" s="710"/>
      <c r="X1" s="699" t="s">
        <v>532</v>
      </c>
      <c r="Y1" s="699"/>
      <c r="Z1" s="697" t="s">
        <v>241</v>
      </c>
      <c r="AA1" s="697"/>
      <c r="AB1" s="698" t="s">
        <v>292</v>
      </c>
      <c r="AC1" s="698"/>
      <c r="AD1" s="707" t="s">
        <v>532</v>
      </c>
      <c r="AE1" s="707"/>
      <c r="AF1" s="697" t="s">
        <v>373</v>
      </c>
      <c r="AG1" s="697"/>
      <c r="AH1" s="698" t="s">
        <v>292</v>
      </c>
      <c r="AI1" s="698"/>
      <c r="AJ1" s="699" t="s">
        <v>538</v>
      </c>
      <c r="AK1" s="699"/>
      <c r="AL1" s="697" t="s">
        <v>395</v>
      </c>
      <c r="AM1" s="697"/>
      <c r="AN1" s="705" t="s">
        <v>292</v>
      </c>
      <c r="AO1" s="705"/>
      <c r="AP1" s="703" t="s">
        <v>539</v>
      </c>
      <c r="AQ1" s="703"/>
      <c r="AR1" s="697" t="s">
        <v>422</v>
      </c>
      <c r="AS1" s="697"/>
      <c r="AV1" s="703" t="s">
        <v>285</v>
      </c>
      <c r="AW1" s="703"/>
      <c r="AX1" s="706" t="s">
        <v>1010</v>
      </c>
      <c r="AY1" s="706"/>
      <c r="AZ1" s="706"/>
      <c r="BA1" s="213"/>
      <c r="BB1" s="701">
        <v>42942</v>
      </c>
      <c r="BC1" s="702"/>
      <c r="BD1" s="702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00" t="s">
        <v>261</v>
      </c>
      <c r="U4" s="700"/>
      <c r="X4" s="122" t="s">
        <v>233</v>
      </c>
      <c r="Y4" s="126">
        <f>Y3-Y6</f>
        <v>4.9669099999591708</v>
      </c>
      <c r="Z4" s="700" t="s">
        <v>262</v>
      </c>
      <c r="AA4" s="700"/>
      <c r="AD4" s="157" t="s">
        <v>233</v>
      </c>
      <c r="AE4" s="157">
        <f>AE3-AE5</f>
        <v>-52.526899999851594</v>
      </c>
      <c r="AF4" s="700" t="s">
        <v>262</v>
      </c>
      <c r="AG4" s="700"/>
      <c r="AH4" s="146"/>
      <c r="AI4" s="146"/>
      <c r="AJ4" s="157" t="s">
        <v>233</v>
      </c>
      <c r="AK4" s="157">
        <f>AK3-AK5</f>
        <v>94.988909999992757</v>
      </c>
      <c r="AL4" s="700" t="s">
        <v>262</v>
      </c>
      <c r="AM4" s="700"/>
      <c r="AP4" s="173" t="s">
        <v>233</v>
      </c>
      <c r="AQ4" s="177">
        <f>AQ3-AQ5</f>
        <v>33.841989999942598</v>
      </c>
      <c r="AR4" s="700" t="s">
        <v>262</v>
      </c>
      <c r="AS4" s="700"/>
      <c r="AX4" s="700" t="s">
        <v>572</v>
      </c>
      <c r="AY4" s="700"/>
      <c r="BB4" s="700" t="s">
        <v>575</v>
      </c>
      <c r="BC4" s="700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700"/>
      <c r="U5" s="700"/>
      <c r="V5" s="3" t="s">
        <v>258</v>
      </c>
      <c r="W5">
        <v>2050</v>
      </c>
      <c r="X5" s="82"/>
      <c r="Z5" s="700"/>
      <c r="AA5" s="700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00"/>
      <c r="AG5" s="700"/>
      <c r="AH5" s="146"/>
      <c r="AI5" s="146"/>
      <c r="AJ5" s="157" t="s">
        <v>358</v>
      </c>
      <c r="AK5" s="165">
        <f>SUM(AK11:AK59)</f>
        <v>30858.011000000002</v>
      </c>
      <c r="AL5" s="700"/>
      <c r="AM5" s="700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00"/>
      <c r="AS5" s="700"/>
      <c r="AX5" s="700"/>
      <c r="AY5" s="700"/>
      <c r="BB5" s="700"/>
      <c r="BC5" s="700"/>
      <c r="BD5" s="704" t="s">
        <v>1011</v>
      </c>
      <c r="BE5" s="704"/>
      <c r="BF5" s="704"/>
      <c r="BG5" s="704"/>
      <c r="BH5" s="704"/>
      <c r="BI5" s="704"/>
      <c r="BJ5" s="704"/>
      <c r="BK5" s="704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1277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1278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1058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1057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13" t="s">
        <v>264</v>
      </c>
      <c r="W23" s="714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15"/>
      <c r="W24" s="716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717" t="s">
        <v>1001</v>
      </c>
      <c r="C24" s="717"/>
      <c r="D24" s="717"/>
      <c r="E24" s="717"/>
      <c r="F24" s="717"/>
      <c r="G24" s="717"/>
      <c r="H24" s="717"/>
      <c r="I24" s="717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1" bestFit="1" customWidth="1"/>
    <col min="4" max="4" width="12.85546875" bestFit="1" customWidth="1"/>
    <col min="5" max="5" width="9.140625" style="291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1304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1305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1306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08" t="s">
        <v>917</v>
      </c>
      <c r="C1" s="708"/>
      <c r="D1" s="707" t="s">
        <v>523</v>
      </c>
      <c r="E1" s="707"/>
      <c r="F1" s="708" t="s">
        <v>521</v>
      </c>
      <c r="G1" s="708"/>
      <c r="H1" s="718" t="s">
        <v>557</v>
      </c>
      <c r="I1" s="718"/>
      <c r="J1" s="707" t="s">
        <v>523</v>
      </c>
      <c r="K1" s="707"/>
      <c r="L1" s="708" t="s">
        <v>916</v>
      </c>
      <c r="M1" s="708"/>
      <c r="N1" s="718" t="s">
        <v>557</v>
      </c>
      <c r="O1" s="718"/>
      <c r="P1" s="707" t="s">
        <v>523</v>
      </c>
      <c r="Q1" s="707"/>
      <c r="R1" s="708" t="s">
        <v>560</v>
      </c>
      <c r="S1" s="708"/>
      <c r="T1" s="718" t="s">
        <v>557</v>
      </c>
      <c r="U1" s="718"/>
      <c r="V1" s="707" t="s">
        <v>523</v>
      </c>
      <c r="W1" s="707"/>
      <c r="X1" s="708" t="s">
        <v>915</v>
      </c>
      <c r="Y1" s="708"/>
      <c r="Z1" s="718" t="s">
        <v>557</v>
      </c>
      <c r="AA1" s="718"/>
      <c r="AB1" s="707" t="s">
        <v>523</v>
      </c>
      <c r="AC1" s="707"/>
      <c r="AD1" s="708" t="s">
        <v>599</v>
      </c>
      <c r="AE1" s="708"/>
      <c r="AF1" s="718" t="s">
        <v>557</v>
      </c>
      <c r="AG1" s="718"/>
      <c r="AH1" s="707" t="s">
        <v>523</v>
      </c>
      <c r="AI1" s="707"/>
      <c r="AJ1" s="708" t="s">
        <v>914</v>
      </c>
      <c r="AK1" s="708"/>
      <c r="AL1" s="718" t="s">
        <v>634</v>
      </c>
      <c r="AM1" s="718"/>
      <c r="AN1" s="707" t="s">
        <v>635</v>
      </c>
      <c r="AO1" s="707"/>
      <c r="AP1" s="708" t="s">
        <v>629</v>
      </c>
      <c r="AQ1" s="708"/>
      <c r="AR1" s="718" t="s">
        <v>557</v>
      </c>
      <c r="AS1" s="718"/>
      <c r="AT1" s="707" t="s">
        <v>523</v>
      </c>
      <c r="AU1" s="707"/>
      <c r="AV1" s="708" t="s">
        <v>913</v>
      </c>
      <c r="AW1" s="708"/>
      <c r="AX1" s="718" t="s">
        <v>557</v>
      </c>
      <c r="AY1" s="718"/>
      <c r="AZ1" s="707" t="s">
        <v>523</v>
      </c>
      <c r="BA1" s="707"/>
      <c r="BB1" s="708" t="s">
        <v>661</v>
      </c>
      <c r="BC1" s="708"/>
      <c r="BD1" s="718" t="s">
        <v>557</v>
      </c>
      <c r="BE1" s="718"/>
      <c r="BF1" s="707" t="s">
        <v>523</v>
      </c>
      <c r="BG1" s="707"/>
      <c r="BH1" s="708" t="s">
        <v>912</v>
      </c>
      <c r="BI1" s="708"/>
      <c r="BJ1" s="718" t="s">
        <v>557</v>
      </c>
      <c r="BK1" s="718"/>
      <c r="BL1" s="707" t="s">
        <v>523</v>
      </c>
      <c r="BM1" s="707"/>
      <c r="BN1" s="708" t="s">
        <v>931</v>
      </c>
      <c r="BO1" s="708"/>
      <c r="BP1" s="718" t="s">
        <v>557</v>
      </c>
      <c r="BQ1" s="718"/>
      <c r="BR1" s="707" t="s">
        <v>523</v>
      </c>
      <c r="BS1" s="707"/>
      <c r="BT1" s="708" t="s">
        <v>911</v>
      </c>
      <c r="BU1" s="708"/>
      <c r="BV1" s="718" t="s">
        <v>712</v>
      </c>
      <c r="BW1" s="718"/>
      <c r="BX1" s="707" t="s">
        <v>713</v>
      </c>
      <c r="BY1" s="707"/>
      <c r="BZ1" s="708" t="s">
        <v>711</v>
      </c>
      <c r="CA1" s="708"/>
      <c r="CB1" s="718" t="s">
        <v>738</v>
      </c>
      <c r="CC1" s="718"/>
      <c r="CD1" s="707" t="s">
        <v>739</v>
      </c>
      <c r="CE1" s="707"/>
      <c r="CF1" s="708" t="s">
        <v>910</v>
      </c>
      <c r="CG1" s="708"/>
      <c r="CH1" s="718" t="s">
        <v>738</v>
      </c>
      <c r="CI1" s="718"/>
      <c r="CJ1" s="707" t="s">
        <v>739</v>
      </c>
      <c r="CK1" s="707"/>
      <c r="CL1" s="708" t="s">
        <v>756</v>
      </c>
      <c r="CM1" s="708"/>
      <c r="CN1" s="718" t="s">
        <v>738</v>
      </c>
      <c r="CO1" s="718"/>
      <c r="CP1" s="707" t="s">
        <v>739</v>
      </c>
      <c r="CQ1" s="707"/>
      <c r="CR1" s="708" t="s">
        <v>909</v>
      </c>
      <c r="CS1" s="708"/>
      <c r="CT1" s="718" t="s">
        <v>738</v>
      </c>
      <c r="CU1" s="718"/>
      <c r="CV1" s="722" t="s">
        <v>739</v>
      </c>
      <c r="CW1" s="722"/>
      <c r="CX1" s="708" t="s">
        <v>777</v>
      </c>
      <c r="CY1" s="708"/>
      <c r="CZ1" s="718" t="s">
        <v>738</v>
      </c>
      <c r="DA1" s="718"/>
      <c r="DB1" s="722" t="s">
        <v>739</v>
      </c>
      <c r="DC1" s="722"/>
      <c r="DD1" s="708" t="s">
        <v>908</v>
      </c>
      <c r="DE1" s="708"/>
      <c r="DF1" s="718" t="s">
        <v>824</v>
      </c>
      <c r="DG1" s="718"/>
      <c r="DH1" s="722" t="s">
        <v>825</v>
      </c>
      <c r="DI1" s="722"/>
      <c r="DJ1" s="708" t="s">
        <v>817</v>
      </c>
      <c r="DK1" s="708"/>
      <c r="DL1" s="718" t="s">
        <v>824</v>
      </c>
      <c r="DM1" s="718"/>
      <c r="DN1" s="722" t="s">
        <v>739</v>
      </c>
      <c r="DO1" s="722"/>
      <c r="DP1" s="708" t="s">
        <v>907</v>
      </c>
      <c r="DQ1" s="708"/>
      <c r="DR1" s="718" t="s">
        <v>824</v>
      </c>
      <c r="DS1" s="718"/>
      <c r="DT1" s="722" t="s">
        <v>739</v>
      </c>
      <c r="DU1" s="722"/>
      <c r="DV1" s="708" t="s">
        <v>906</v>
      </c>
      <c r="DW1" s="708"/>
      <c r="DX1" s="718" t="s">
        <v>824</v>
      </c>
      <c r="DY1" s="718"/>
      <c r="DZ1" s="722" t="s">
        <v>739</v>
      </c>
      <c r="EA1" s="722"/>
      <c r="EB1" s="708" t="s">
        <v>905</v>
      </c>
      <c r="EC1" s="708"/>
      <c r="ED1" s="718" t="s">
        <v>824</v>
      </c>
      <c r="EE1" s="718"/>
      <c r="EF1" s="722" t="s">
        <v>739</v>
      </c>
      <c r="EG1" s="722"/>
      <c r="EH1" s="708" t="s">
        <v>891</v>
      </c>
      <c r="EI1" s="708"/>
      <c r="EJ1" s="718" t="s">
        <v>824</v>
      </c>
      <c r="EK1" s="718"/>
      <c r="EL1" s="722" t="s">
        <v>946</v>
      </c>
      <c r="EM1" s="722"/>
      <c r="EN1" s="708" t="s">
        <v>932</v>
      </c>
      <c r="EO1" s="708"/>
      <c r="EP1" s="718" t="s">
        <v>824</v>
      </c>
      <c r="EQ1" s="718"/>
      <c r="ER1" s="722" t="s">
        <v>960</v>
      </c>
      <c r="ES1" s="722"/>
      <c r="ET1" s="708" t="s">
        <v>947</v>
      </c>
      <c r="EU1" s="708"/>
      <c r="EV1" s="718" t="s">
        <v>824</v>
      </c>
      <c r="EW1" s="718"/>
      <c r="EX1" s="722" t="s">
        <v>538</v>
      </c>
      <c r="EY1" s="722"/>
      <c r="EZ1" s="708" t="s">
        <v>964</v>
      </c>
      <c r="FA1" s="708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1564</v>
      </c>
      <c r="FD3" s="331"/>
      <c r="FE3" s="331"/>
      <c r="FF3" s="331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1569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1570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21" t="s">
        <v>787</v>
      </c>
      <c r="CU7" s="708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1571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21" t="s">
        <v>786</v>
      </c>
      <c r="DA8" s="708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21" t="s">
        <v>786</v>
      </c>
      <c r="DG8" s="708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21" t="s">
        <v>786</v>
      </c>
      <c r="DM8" s="708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21" t="s">
        <v>786</v>
      </c>
      <c r="DS8" s="708"/>
      <c r="DT8" s="145" t="s">
        <v>791</v>
      </c>
      <c r="DU8" s="145">
        <f>SUM(DU13:DU17)</f>
        <v>32</v>
      </c>
      <c r="DV8" s="63"/>
      <c r="DW8" s="63"/>
      <c r="DX8" s="721" t="s">
        <v>786</v>
      </c>
      <c r="DY8" s="708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21" t="s">
        <v>938</v>
      </c>
      <c r="EK8" s="708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1572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21" t="s">
        <v>938</v>
      </c>
      <c r="EQ9" s="708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21" t="s">
        <v>938</v>
      </c>
      <c r="EW9" s="708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21" t="s">
        <v>938</v>
      </c>
      <c r="EE11" s="708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21" t="s">
        <v>786</v>
      </c>
      <c r="CU12" s="708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1562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97" t="s">
        <v>790</v>
      </c>
      <c r="CU19" s="697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1565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24" t="s">
        <v>866</v>
      </c>
      <c r="FA21" s="724"/>
      <c r="FC21" s="244">
        <f>FC20-FC22</f>
        <v>113457.16899999997</v>
      </c>
      <c r="FD21" s="236"/>
      <c r="FE21" s="723" t="s">
        <v>1563</v>
      </c>
      <c r="FF21" s="723"/>
      <c r="FG21" s="723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24" t="s">
        <v>879</v>
      </c>
      <c r="FA22" s="724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1566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24" t="s">
        <v>1012</v>
      </c>
      <c r="FA23" s="724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24" t="s">
        <v>1092</v>
      </c>
      <c r="FA24" s="724"/>
      <c r="FC24" s="332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24"/>
      <c r="FD27" s="325"/>
      <c r="FE27" s="326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1567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19" t="s">
        <v>1560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720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19" t="s">
        <v>1561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720"/>
      <c r="FD32" s="246">
        <f>FC22-FC24-SUM(FD29:FD31)</f>
        <v>11389.822000000036</v>
      </c>
      <c r="FE32" s="63" t="s">
        <v>1568</v>
      </c>
      <c r="FF32" t="s">
        <v>999</v>
      </c>
    </row>
    <row r="33" spans="4:160" s="1" customFormat="1" ht="18" x14ac:dyDescent="0.25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G77"/>
  <sheetViews>
    <sheetView tabSelected="1" topLeftCell="IY1" zoomScaleNormal="100" workbookViewId="0">
      <selection activeCell="JE21" sqref="JE21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09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09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09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6" customWidth="1"/>
    <col min="255" max="255" width="9.140625" style="626" bestFit="1" customWidth="1"/>
    <col min="256" max="256" width="15.85546875" style="626" customWidth="1"/>
    <col min="257" max="257" width="11.85546875" style="626" bestFit="1" customWidth="1"/>
    <col min="258" max="258" width="18.28515625" style="626" customWidth="1"/>
    <col min="259" max="259" width="10.28515625" style="626" customWidth="1"/>
    <col min="260" max="260" width="14.5703125" style="684" customWidth="1"/>
    <col min="261" max="261" width="9.140625" style="684" bestFit="1" customWidth="1"/>
    <col min="262" max="262" width="15.85546875" style="684" customWidth="1"/>
    <col min="263" max="263" width="11.85546875" style="684" bestFit="1" customWidth="1"/>
    <col min="264" max="264" width="18.28515625" style="684" customWidth="1"/>
    <col min="265" max="265" width="12.42578125" style="684" customWidth="1"/>
    <col min="266" max="266" width="7.140625" style="684" customWidth="1"/>
    <col min="267" max="267" width="6.140625" customWidth="1"/>
  </cols>
  <sheetData>
    <row r="1" spans="1:267" s="145" customFormat="1" x14ac:dyDescent="0.2">
      <c r="A1" s="730" t="s">
        <v>1226</v>
      </c>
      <c r="B1" s="730"/>
      <c r="C1" s="705" t="s">
        <v>292</v>
      </c>
      <c r="D1" s="705"/>
      <c r="E1" s="703" t="s">
        <v>1022</v>
      </c>
      <c r="F1" s="703"/>
      <c r="G1" s="730" t="s">
        <v>1227</v>
      </c>
      <c r="H1" s="730"/>
      <c r="I1" s="705" t="s">
        <v>292</v>
      </c>
      <c r="J1" s="705"/>
      <c r="K1" s="703" t="s">
        <v>1023</v>
      </c>
      <c r="L1" s="703"/>
      <c r="M1" s="730" t="s">
        <v>1228</v>
      </c>
      <c r="N1" s="730"/>
      <c r="O1" s="705" t="s">
        <v>292</v>
      </c>
      <c r="P1" s="705"/>
      <c r="Q1" s="703" t="s">
        <v>1073</v>
      </c>
      <c r="R1" s="703"/>
      <c r="S1" s="730" t="s">
        <v>1229</v>
      </c>
      <c r="T1" s="730"/>
      <c r="U1" s="705" t="s">
        <v>292</v>
      </c>
      <c r="V1" s="705"/>
      <c r="W1" s="703" t="s">
        <v>635</v>
      </c>
      <c r="X1" s="703"/>
      <c r="Y1" s="730" t="s">
        <v>1230</v>
      </c>
      <c r="Z1" s="730"/>
      <c r="AA1" s="705" t="s">
        <v>292</v>
      </c>
      <c r="AB1" s="705"/>
      <c r="AC1" s="703" t="s">
        <v>1100</v>
      </c>
      <c r="AD1" s="703"/>
      <c r="AE1" s="730" t="s">
        <v>1231</v>
      </c>
      <c r="AF1" s="730"/>
      <c r="AG1" s="705" t="s">
        <v>292</v>
      </c>
      <c r="AH1" s="705"/>
      <c r="AI1" s="703" t="s">
        <v>1150</v>
      </c>
      <c r="AJ1" s="703"/>
      <c r="AK1" s="730" t="s">
        <v>1234</v>
      </c>
      <c r="AL1" s="730"/>
      <c r="AM1" s="705" t="s">
        <v>1148</v>
      </c>
      <c r="AN1" s="705"/>
      <c r="AO1" s="703" t="s">
        <v>1149</v>
      </c>
      <c r="AP1" s="703"/>
      <c r="AQ1" s="730" t="s">
        <v>1235</v>
      </c>
      <c r="AR1" s="730"/>
      <c r="AS1" s="705" t="s">
        <v>1148</v>
      </c>
      <c r="AT1" s="705"/>
      <c r="AU1" s="703" t="s">
        <v>1194</v>
      </c>
      <c r="AV1" s="703"/>
      <c r="AW1" s="730" t="s">
        <v>1232</v>
      </c>
      <c r="AX1" s="730"/>
      <c r="AY1" s="703" t="s">
        <v>1258</v>
      </c>
      <c r="AZ1" s="703"/>
      <c r="BA1" s="730" t="s">
        <v>1232</v>
      </c>
      <c r="BB1" s="730"/>
      <c r="BC1" s="705" t="s">
        <v>824</v>
      </c>
      <c r="BD1" s="705"/>
      <c r="BE1" s="703" t="s">
        <v>1225</v>
      </c>
      <c r="BF1" s="703"/>
      <c r="BG1" s="730" t="s">
        <v>1233</v>
      </c>
      <c r="BH1" s="730"/>
      <c r="BI1" s="705" t="s">
        <v>824</v>
      </c>
      <c r="BJ1" s="705"/>
      <c r="BK1" s="703" t="s">
        <v>1225</v>
      </c>
      <c r="BL1" s="703"/>
      <c r="BM1" s="730" t="s">
        <v>1243</v>
      </c>
      <c r="BN1" s="730"/>
      <c r="BO1" s="705" t="s">
        <v>824</v>
      </c>
      <c r="BP1" s="705"/>
      <c r="BQ1" s="703" t="s">
        <v>1261</v>
      </c>
      <c r="BR1" s="703"/>
      <c r="BS1" s="730" t="s">
        <v>1260</v>
      </c>
      <c r="BT1" s="730"/>
      <c r="BU1" s="705" t="s">
        <v>824</v>
      </c>
      <c r="BV1" s="705"/>
      <c r="BW1" s="703" t="s">
        <v>1265</v>
      </c>
      <c r="BX1" s="703"/>
      <c r="BY1" s="730" t="s">
        <v>1287</v>
      </c>
      <c r="BZ1" s="730"/>
      <c r="CA1" s="705" t="s">
        <v>824</v>
      </c>
      <c r="CB1" s="705"/>
      <c r="CC1" s="703" t="s">
        <v>1261</v>
      </c>
      <c r="CD1" s="703"/>
      <c r="CE1" s="730" t="s">
        <v>1308</v>
      </c>
      <c r="CF1" s="730"/>
      <c r="CG1" s="705" t="s">
        <v>824</v>
      </c>
      <c r="CH1" s="705"/>
      <c r="CI1" s="703" t="s">
        <v>1265</v>
      </c>
      <c r="CJ1" s="703"/>
      <c r="CK1" s="730" t="s">
        <v>1324</v>
      </c>
      <c r="CL1" s="730"/>
      <c r="CM1" s="705" t="s">
        <v>824</v>
      </c>
      <c r="CN1" s="705"/>
      <c r="CO1" s="703" t="s">
        <v>1261</v>
      </c>
      <c r="CP1" s="703"/>
      <c r="CQ1" s="730" t="s">
        <v>1352</v>
      </c>
      <c r="CR1" s="730"/>
      <c r="CS1" s="726" t="s">
        <v>824</v>
      </c>
      <c r="CT1" s="726"/>
      <c r="CU1" s="703" t="s">
        <v>1408</v>
      </c>
      <c r="CV1" s="703"/>
      <c r="CW1" s="730" t="s">
        <v>1391</v>
      </c>
      <c r="CX1" s="730"/>
      <c r="CY1" s="726" t="s">
        <v>824</v>
      </c>
      <c r="CZ1" s="726"/>
      <c r="DA1" s="703" t="s">
        <v>1614</v>
      </c>
      <c r="DB1" s="703"/>
      <c r="DC1" s="730" t="s">
        <v>1411</v>
      </c>
      <c r="DD1" s="730"/>
      <c r="DE1" s="726" t="s">
        <v>824</v>
      </c>
      <c r="DF1" s="726"/>
      <c r="DG1" s="703" t="s">
        <v>1508</v>
      </c>
      <c r="DH1" s="703"/>
      <c r="DI1" s="730" t="s">
        <v>1611</v>
      </c>
      <c r="DJ1" s="730"/>
      <c r="DK1" s="726" t="s">
        <v>824</v>
      </c>
      <c r="DL1" s="726"/>
      <c r="DM1" s="703" t="s">
        <v>1408</v>
      </c>
      <c r="DN1" s="703"/>
      <c r="DO1" s="730" t="s">
        <v>1612</v>
      </c>
      <c r="DP1" s="730"/>
      <c r="DQ1" s="726" t="s">
        <v>824</v>
      </c>
      <c r="DR1" s="726"/>
      <c r="DS1" s="703" t="s">
        <v>1607</v>
      </c>
      <c r="DT1" s="703"/>
      <c r="DU1" s="730" t="s">
        <v>1613</v>
      </c>
      <c r="DV1" s="730"/>
      <c r="DW1" s="726" t="s">
        <v>824</v>
      </c>
      <c r="DX1" s="726"/>
      <c r="DY1" s="703" t="s">
        <v>1633</v>
      </c>
      <c r="DZ1" s="703"/>
      <c r="EA1" s="725" t="s">
        <v>1628</v>
      </c>
      <c r="EB1" s="725"/>
      <c r="EC1" s="726" t="s">
        <v>824</v>
      </c>
      <c r="ED1" s="726"/>
      <c r="EE1" s="703" t="s">
        <v>1607</v>
      </c>
      <c r="EF1" s="703"/>
      <c r="EG1" s="368"/>
      <c r="EH1" s="725" t="s">
        <v>1658</v>
      </c>
      <c r="EI1" s="725"/>
      <c r="EJ1" s="726" t="s">
        <v>824</v>
      </c>
      <c r="EK1" s="726"/>
      <c r="EL1" s="703" t="s">
        <v>1692</v>
      </c>
      <c r="EM1" s="703"/>
      <c r="EN1" s="725" t="s">
        <v>1683</v>
      </c>
      <c r="EO1" s="725"/>
      <c r="EP1" s="726" t="s">
        <v>824</v>
      </c>
      <c r="EQ1" s="726"/>
      <c r="ER1" s="703" t="s">
        <v>1732</v>
      </c>
      <c r="ES1" s="703"/>
      <c r="ET1" s="725" t="s">
        <v>1725</v>
      </c>
      <c r="EU1" s="725"/>
      <c r="EV1" s="726" t="s">
        <v>824</v>
      </c>
      <c r="EW1" s="726"/>
      <c r="EX1" s="703" t="s">
        <v>1633</v>
      </c>
      <c r="EY1" s="703"/>
      <c r="EZ1" s="725" t="s">
        <v>1760</v>
      </c>
      <c r="FA1" s="725"/>
      <c r="FB1" s="726" t="s">
        <v>824</v>
      </c>
      <c r="FC1" s="726"/>
      <c r="FD1" s="703" t="s">
        <v>1614</v>
      </c>
      <c r="FE1" s="703"/>
      <c r="FF1" s="725" t="s">
        <v>1799</v>
      </c>
      <c r="FG1" s="725"/>
      <c r="FH1" s="726" t="s">
        <v>824</v>
      </c>
      <c r="FI1" s="726"/>
      <c r="FJ1" s="703" t="s">
        <v>1408</v>
      </c>
      <c r="FK1" s="703"/>
      <c r="FL1" s="725" t="s">
        <v>1834</v>
      </c>
      <c r="FM1" s="725"/>
      <c r="FN1" s="726" t="s">
        <v>824</v>
      </c>
      <c r="FO1" s="726"/>
      <c r="FP1" s="703" t="s">
        <v>1881</v>
      </c>
      <c r="FQ1" s="703"/>
      <c r="FR1" s="725" t="s">
        <v>1870</v>
      </c>
      <c r="FS1" s="725"/>
      <c r="FT1" s="726" t="s">
        <v>824</v>
      </c>
      <c r="FU1" s="726"/>
      <c r="FV1" s="703" t="s">
        <v>1881</v>
      </c>
      <c r="FW1" s="703"/>
      <c r="FX1" s="725" t="s">
        <v>2014</v>
      </c>
      <c r="FY1" s="725"/>
      <c r="FZ1" s="726" t="s">
        <v>824</v>
      </c>
      <c r="GA1" s="726"/>
      <c r="GB1" s="703" t="s">
        <v>1633</v>
      </c>
      <c r="GC1" s="703"/>
      <c r="GD1" s="725" t="s">
        <v>2015</v>
      </c>
      <c r="GE1" s="725"/>
      <c r="GF1" s="726" t="s">
        <v>824</v>
      </c>
      <c r="GG1" s="726"/>
      <c r="GH1" s="703" t="s">
        <v>1607</v>
      </c>
      <c r="GI1" s="703"/>
      <c r="GJ1" s="725" t="s">
        <v>2024</v>
      </c>
      <c r="GK1" s="725"/>
      <c r="GL1" s="726" t="s">
        <v>824</v>
      </c>
      <c r="GM1" s="726"/>
      <c r="GN1" s="703" t="s">
        <v>1607</v>
      </c>
      <c r="GO1" s="703"/>
      <c r="GP1" s="725" t="s">
        <v>2066</v>
      </c>
      <c r="GQ1" s="725"/>
      <c r="GR1" s="726" t="s">
        <v>824</v>
      </c>
      <c r="GS1" s="726"/>
      <c r="GT1" s="703" t="s">
        <v>1692</v>
      </c>
      <c r="GU1" s="703"/>
      <c r="GV1" s="725" t="s">
        <v>2100</v>
      </c>
      <c r="GW1" s="725"/>
      <c r="GX1" s="726" t="s">
        <v>824</v>
      </c>
      <c r="GY1" s="726"/>
      <c r="GZ1" s="703" t="s">
        <v>2139</v>
      </c>
      <c r="HA1" s="703"/>
      <c r="HB1" s="725" t="s">
        <v>2159</v>
      </c>
      <c r="HC1" s="725"/>
      <c r="HD1" s="726" t="s">
        <v>824</v>
      </c>
      <c r="HE1" s="726"/>
      <c r="HF1" s="703" t="s">
        <v>1732</v>
      </c>
      <c r="HG1" s="703"/>
      <c r="HH1" s="725" t="s">
        <v>2172</v>
      </c>
      <c r="HI1" s="725"/>
      <c r="HJ1" s="726" t="s">
        <v>824</v>
      </c>
      <c r="HK1" s="726"/>
      <c r="HL1" s="703" t="s">
        <v>1408</v>
      </c>
      <c r="HM1" s="703"/>
      <c r="HN1" s="725" t="s">
        <v>2218</v>
      </c>
      <c r="HO1" s="725"/>
      <c r="HP1" s="726" t="s">
        <v>824</v>
      </c>
      <c r="HQ1" s="726"/>
      <c r="HR1" s="703" t="s">
        <v>1408</v>
      </c>
      <c r="HS1" s="703"/>
      <c r="HT1" s="725" t="s">
        <v>2274</v>
      </c>
      <c r="HU1" s="725"/>
      <c r="HV1" s="726" t="s">
        <v>824</v>
      </c>
      <c r="HW1" s="726"/>
      <c r="HX1" s="703" t="s">
        <v>1633</v>
      </c>
      <c r="HY1" s="703"/>
      <c r="HZ1" s="725" t="s">
        <v>2336</v>
      </c>
      <c r="IA1" s="725"/>
      <c r="IB1" s="726" t="s">
        <v>824</v>
      </c>
      <c r="IC1" s="726"/>
      <c r="ID1" s="703" t="s">
        <v>1732</v>
      </c>
      <c r="IE1" s="703"/>
      <c r="IF1" s="725" t="s">
        <v>2404</v>
      </c>
      <c r="IG1" s="725"/>
      <c r="IH1" s="726" t="s">
        <v>824</v>
      </c>
      <c r="II1" s="726"/>
      <c r="IJ1" s="703" t="s">
        <v>1607</v>
      </c>
      <c r="IK1" s="703"/>
      <c r="IL1" s="725" t="s">
        <v>2480</v>
      </c>
      <c r="IM1" s="725"/>
      <c r="IN1" s="726" t="s">
        <v>824</v>
      </c>
      <c r="IO1" s="726"/>
      <c r="IP1" s="703" t="s">
        <v>1633</v>
      </c>
      <c r="IQ1" s="703"/>
      <c r="IR1" s="725" t="s">
        <v>2587</v>
      </c>
      <c r="IS1" s="725"/>
      <c r="IT1" s="726" t="s">
        <v>824</v>
      </c>
      <c r="IU1" s="726"/>
      <c r="IV1" s="703" t="s">
        <v>1765</v>
      </c>
      <c r="IW1" s="703"/>
      <c r="IX1" s="725" t="s">
        <v>2701</v>
      </c>
      <c r="IY1" s="725"/>
      <c r="IZ1" s="726" t="s">
        <v>824</v>
      </c>
      <c r="JA1" s="726"/>
      <c r="JB1" s="703" t="s">
        <v>1765</v>
      </c>
      <c r="JC1" s="703"/>
      <c r="JD1" s="725" t="s">
        <v>2338</v>
      </c>
      <c r="JE1" s="725"/>
      <c r="JF1" s="636"/>
    </row>
    <row r="2" spans="1:267" x14ac:dyDescent="0.2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1994</v>
      </c>
      <c r="FY2" s="2">
        <f>FY3+FW15</f>
        <v>201710.53</v>
      </c>
      <c r="FZ2" s="60"/>
      <c r="GD2" t="s">
        <v>1994</v>
      </c>
      <c r="GE2" s="2">
        <f>GE3+(FY2-FY3+GC15)</f>
        <v>232108.07</v>
      </c>
      <c r="GF2" s="60"/>
      <c r="GL2" s="60"/>
      <c r="GP2" t="s">
        <v>2202</v>
      </c>
      <c r="GQ2" s="2">
        <f>GQ3-SUM(GQ38:GQ40)</f>
        <v>4523.6810000000114</v>
      </c>
      <c r="GR2" s="60"/>
      <c r="GV2" t="s">
        <v>2202</v>
      </c>
      <c r="GW2" s="2">
        <f>GW3-SUM(GQ39:GQ40)</f>
        <v>16070.489999999998</v>
      </c>
      <c r="GX2" s="60"/>
      <c r="HB2" t="s">
        <v>2202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2202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2202</v>
      </c>
      <c r="HO2" s="2">
        <f>HO3-(GQ39-HG38-HG37-HM36)</f>
        <v>34567.509999999995</v>
      </c>
      <c r="HP2" s="60"/>
      <c r="HT2" t="s">
        <v>2202</v>
      </c>
      <c r="HU2" s="2">
        <f>HU3-(GQ39-HG38-HG37-HM36)</f>
        <v>40329.19</v>
      </c>
      <c r="HV2" s="60"/>
      <c r="HX2" s="341" t="s">
        <v>296</v>
      </c>
      <c r="HY2" s="280">
        <f>HW3+HU3-IA3</f>
        <v>618929.12000000011</v>
      </c>
      <c r="HZ2" t="s">
        <v>2202</v>
      </c>
      <c r="IA2" s="2">
        <f>IA3-($GQ$39-$HG$38-$HG$37-$HM$36)</f>
        <v>115434.10000000002</v>
      </c>
      <c r="IB2" t="s">
        <v>295</v>
      </c>
      <c r="IC2" s="537">
        <f>SUM(IC3:IC22)</f>
        <v>16754.070999999996</v>
      </c>
      <c r="ID2" s="341" t="s">
        <v>296</v>
      </c>
      <c r="IE2" s="280">
        <f>IC2+IA3-IG2</f>
        <v>59936.531000000017</v>
      </c>
      <c r="IF2" t="s">
        <v>1928</v>
      </c>
      <c r="IG2" s="370">
        <f>SUM(IG3:IG33)</f>
        <v>76124.19</v>
      </c>
      <c r="IH2" t="s">
        <v>295</v>
      </c>
      <c r="II2" s="537">
        <f>SUM(II3:II30)</f>
        <v>15115.660000000002</v>
      </c>
      <c r="IJ2" s="341" t="s">
        <v>296</v>
      </c>
      <c r="IK2" s="280">
        <f>II2+IG2-IM2</f>
        <v>13100.419999999984</v>
      </c>
      <c r="IL2" t="s">
        <v>1928</v>
      </c>
      <c r="IM2" s="370">
        <f>SUM(IM3:IM29)</f>
        <v>78139.430000000022</v>
      </c>
      <c r="IN2" t="s">
        <v>295</v>
      </c>
      <c r="IO2" s="537">
        <f>SUM(IO3:IO26)</f>
        <v>14255.219999999998</v>
      </c>
      <c r="IP2" s="341" t="s">
        <v>296</v>
      </c>
      <c r="IQ2" s="280">
        <f>IO2+IM2-IS2</f>
        <v>11408.650000000023</v>
      </c>
      <c r="IR2" t="s">
        <v>1928</v>
      </c>
      <c r="IS2" s="370">
        <f>SUM(IS3:IS31)</f>
        <v>80986</v>
      </c>
      <c r="IT2" s="626" t="s">
        <v>295</v>
      </c>
      <c r="IU2" s="537">
        <f>SUM(IU3:IU19)</f>
        <v>42019.250000000007</v>
      </c>
      <c r="IV2" s="341" t="s">
        <v>296</v>
      </c>
      <c r="IW2" s="280">
        <f>IU2+IS2-IY2</f>
        <v>11439.987000000023</v>
      </c>
      <c r="IX2" s="626" t="s">
        <v>1928</v>
      </c>
      <c r="IY2" s="370">
        <f>SUM(IY3:IY23)</f>
        <v>111565.26299999998</v>
      </c>
      <c r="IZ2" s="684" t="s">
        <v>295</v>
      </c>
      <c r="JA2" s="537">
        <f>SUM(JA3:JA17)</f>
        <v>0</v>
      </c>
      <c r="JB2" s="341" t="s">
        <v>296</v>
      </c>
      <c r="JC2" s="280">
        <f>JA2+IY2-JE2</f>
        <v>104.13299999997253</v>
      </c>
      <c r="JD2" s="684" t="s">
        <v>1928</v>
      </c>
      <c r="JE2" s="370">
        <f>SUM(JE3:JE23)</f>
        <v>111461.13</v>
      </c>
      <c r="JF2" s="668"/>
    </row>
    <row r="3" spans="1:267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1259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1928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1928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1928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2199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2199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2199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2420</v>
      </c>
      <c r="HG3" s="52">
        <f>HG2-HG8-HG7</f>
        <v>22350.936666666661</v>
      </c>
      <c r="HH3" t="s">
        <v>2199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2420</v>
      </c>
      <c r="HM3" s="2">
        <f>HM2-HK25-HK24</f>
        <v>23006.927666666677</v>
      </c>
      <c r="HN3" t="s">
        <v>2219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2199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2416</v>
      </c>
      <c r="HY3" s="280"/>
      <c r="HZ3" t="s">
        <v>2381</v>
      </c>
      <c r="IA3" s="370">
        <f>SUM(IA6:IA39)</f>
        <v>119306.65000000002</v>
      </c>
      <c r="IB3" t="s">
        <v>641</v>
      </c>
      <c r="IC3" s="537">
        <v>15104.63</v>
      </c>
      <c r="ID3" s="341" t="s">
        <v>2420</v>
      </c>
      <c r="IE3" s="280">
        <f>IE2-IC26-IC27</f>
        <v>6802.6743333333507</v>
      </c>
      <c r="IF3" t="s">
        <v>2382</v>
      </c>
      <c r="IG3" s="275">
        <f>$IA$6</f>
        <v>-420000</v>
      </c>
      <c r="IH3" t="s">
        <v>641</v>
      </c>
      <c r="II3" s="537">
        <v>15104.63</v>
      </c>
      <c r="IJ3" t="s">
        <v>2434</v>
      </c>
      <c r="IK3" s="280">
        <f>IK2-II42-II41</f>
        <v>9220.5533333333187</v>
      </c>
      <c r="IL3" t="s">
        <v>2382</v>
      </c>
      <c r="IM3" s="275">
        <f>$IA$6</f>
        <v>-420000</v>
      </c>
      <c r="IN3" t="s">
        <v>641</v>
      </c>
      <c r="IO3" s="587">
        <v>15104.63</v>
      </c>
      <c r="IP3" t="s">
        <v>2434</v>
      </c>
      <c r="IQ3" s="280">
        <f>IQ2-IO34-IO33-IQ57</f>
        <v>5631.8933333333571</v>
      </c>
      <c r="IR3" t="s">
        <v>2382</v>
      </c>
      <c r="IS3" s="275">
        <f>$IA$6</f>
        <v>-420000</v>
      </c>
      <c r="IT3" s="626" t="s">
        <v>641</v>
      </c>
      <c r="IU3" s="587">
        <v>43151.3</v>
      </c>
      <c r="IV3" s="626" t="s">
        <v>2434</v>
      </c>
      <c r="IW3" s="280">
        <f>IW2-IU25-IU24-IW44</f>
        <v>5412.0003333333552</v>
      </c>
      <c r="IX3" s="626" t="s">
        <v>2382</v>
      </c>
      <c r="IY3" s="275">
        <f>$IA$6</f>
        <v>-420000</v>
      </c>
      <c r="IZ3" s="684" t="s">
        <v>641</v>
      </c>
      <c r="JA3" s="587"/>
      <c r="JB3" s="684" t="s">
        <v>2434</v>
      </c>
      <c r="JC3" s="280">
        <f>JC2-JA23-JA22-JC44</f>
        <v>104.13299999997253</v>
      </c>
      <c r="JD3" s="684" t="s">
        <v>2382</v>
      </c>
      <c r="JE3" s="275">
        <f>$IA$6</f>
        <v>-420000</v>
      </c>
      <c r="JF3" s="668"/>
    </row>
    <row r="4" spans="1:267" ht="12.75" customHeight="1" thickBot="1" x14ac:dyDescent="0.25">
      <c r="A4" s="700" t="s">
        <v>1003</v>
      </c>
      <c r="B4" s="700"/>
      <c r="E4" s="173" t="s">
        <v>233</v>
      </c>
      <c r="F4" s="177">
        <f>F3-F5</f>
        <v>17</v>
      </c>
      <c r="G4" s="700" t="s">
        <v>1003</v>
      </c>
      <c r="H4" s="700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1195</v>
      </c>
      <c r="R4" s="248">
        <f>R3-R8</f>
        <v>1290.8099999999995</v>
      </c>
      <c r="S4" s="186" t="s">
        <v>1006</v>
      </c>
      <c r="T4" s="64"/>
      <c r="W4" s="174" t="s">
        <v>1195</v>
      </c>
      <c r="X4" s="248">
        <f>X3-X8</f>
        <v>3163.5489999999995</v>
      </c>
      <c r="Y4" s="186" t="s">
        <v>1006</v>
      </c>
      <c r="Z4" s="64"/>
      <c r="AC4" s="174" t="s">
        <v>1195</v>
      </c>
      <c r="AD4" s="248">
        <f>AD3-AD7</f>
        <v>1487.7609999999995</v>
      </c>
      <c r="AE4" s="186" t="s">
        <v>1006</v>
      </c>
      <c r="AF4" s="64"/>
      <c r="AI4" s="174" t="s">
        <v>1195</v>
      </c>
      <c r="AJ4" s="248">
        <f>AJ3-AJ7</f>
        <v>1545.6700000000055</v>
      </c>
      <c r="AK4" s="186" t="s">
        <v>1006</v>
      </c>
      <c r="AL4" s="64"/>
      <c r="AO4" s="174" t="s">
        <v>1195</v>
      </c>
      <c r="AP4" s="248">
        <f>AP3-AP7</f>
        <v>7455.0509999999995</v>
      </c>
      <c r="AQ4" s="186" t="s">
        <v>1006</v>
      </c>
      <c r="AR4" s="64"/>
      <c r="AU4" s="173" t="s">
        <v>1195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1195</v>
      </c>
      <c r="BF4" s="248">
        <f>BF3-BF7</f>
        <v>3846.3210000000108</v>
      </c>
      <c r="BG4" s="186" t="s">
        <v>1006</v>
      </c>
      <c r="BH4" s="64"/>
      <c r="BK4" s="269" t="s">
        <v>1195</v>
      </c>
      <c r="BL4" s="268">
        <f>BL3-BL7</f>
        <v>1986.3499999999869</v>
      </c>
      <c r="BM4" s="186" t="s">
        <v>1006</v>
      </c>
      <c r="BN4" s="64"/>
      <c r="BQ4" s="269" t="s">
        <v>1195</v>
      </c>
      <c r="BR4" s="268">
        <f>BR3-BR7</f>
        <v>2641.1200000000076</v>
      </c>
      <c r="BS4" s="186" t="s">
        <v>1006</v>
      </c>
      <c r="BT4" s="233"/>
      <c r="BW4" s="269" t="s">
        <v>1195</v>
      </c>
      <c r="BX4" s="268">
        <f>BX3-BX7</f>
        <v>2767.6290000000081</v>
      </c>
      <c r="BY4" s="186" t="s">
        <v>1006</v>
      </c>
      <c r="BZ4" s="64"/>
      <c r="CC4" s="269" t="s">
        <v>1195</v>
      </c>
      <c r="CD4" s="268">
        <f>CD3-CD7</f>
        <v>2896.2299999999977</v>
      </c>
      <c r="CE4" s="186" t="s">
        <v>1006</v>
      </c>
      <c r="CF4" s="64"/>
      <c r="CI4" s="269" t="s">
        <v>1195</v>
      </c>
      <c r="CJ4" s="268">
        <f>CJ3-CJ7</f>
        <v>3338.7009999999827</v>
      </c>
      <c r="CK4" s="186" t="s">
        <v>1006</v>
      </c>
      <c r="CL4" s="64"/>
      <c r="CO4" s="269" t="s">
        <v>1195</v>
      </c>
      <c r="CP4" s="268">
        <f>CP3-CP7</f>
        <v>2095.6600000000094</v>
      </c>
      <c r="CQ4" s="186" t="s">
        <v>1006</v>
      </c>
      <c r="CR4" s="64"/>
      <c r="CU4" s="269" t="s">
        <v>1195</v>
      </c>
      <c r="CV4" s="268">
        <f>CV3-CV7</f>
        <v>3172.9400000000114</v>
      </c>
      <c r="CW4" s="186" t="s">
        <v>1006</v>
      </c>
      <c r="CX4" s="64"/>
      <c r="DA4" s="223" t="s">
        <v>1195</v>
      </c>
      <c r="DB4" s="268">
        <f>DB3-DB7</f>
        <v>4604.6600000000053</v>
      </c>
      <c r="DC4" s="186" t="s">
        <v>1006</v>
      </c>
      <c r="DD4" s="64"/>
      <c r="DG4" s="223" t="s">
        <v>1195</v>
      </c>
      <c r="DH4" s="309">
        <f>DH3-DH7</f>
        <v>6875.0489999999863</v>
      </c>
      <c r="DI4" s="186" t="s">
        <v>1006</v>
      </c>
      <c r="DJ4" s="64"/>
      <c r="DM4" s="223" t="s">
        <v>1195</v>
      </c>
      <c r="DN4" s="309">
        <f>DN3-DN7</f>
        <v>4726.7400000000016</v>
      </c>
      <c r="DO4" s="186" t="s">
        <v>1522</v>
      </c>
      <c r="DP4" s="64">
        <v>1597</v>
      </c>
      <c r="DS4" s="210" t="s">
        <v>1195</v>
      </c>
      <c r="DT4" s="293">
        <f>DT3-DT8</f>
        <v>12719.120000000024</v>
      </c>
      <c r="DU4" s="186" t="s">
        <v>1544</v>
      </c>
      <c r="DV4" s="64">
        <v>784</v>
      </c>
      <c r="DY4" t="s">
        <v>1195</v>
      </c>
      <c r="DZ4" s="293">
        <f>DZ3-DZ7</f>
        <v>2984.0000000000027</v>
      </c>
      <c r="EA4" s="186" t="s">
        <v>1544</v>
      </c>
      <c r="EB4" s="63">
        <v>1433</v>
      </c>
      <c r="EE4" t="s">
        <v>1195</v>
      </c>
      <c r="EF4" s="293">
        <f>EF3-EF7</f>
        <v>2794.4399999999723</v>
      </c>
      <c r="EG4" s="293"/>
      <c r="EH4" s="1" t="s">
        <v>1647</v>
      </c>
      <c r="EI4" s="1">
        <v>-360</v>
      </c>
      <c r="EL4" t="s">
        <v>1195</v>
      </c>
      <c r="EM4" s="293">
        <f>EM3-EM7</f>
        <v>3430.2000000000189</v>
      </c>
      <c r="EN4" s="1" t="s">
        <v>1647</v>
      </c>
      <c r="EO4" s="1">
        <v>-1059</v>
      </c>
      <c r="ER4" t="s">
        <v>1742</v>
      </c>
      <c r="ES4" s="293">
        <f>ES3-ES7</f>
        <v>5040.3799999999919</v>
      </c>
      <c r="ET4" s="1" t="s">
        <v>1647</v>
      </c>
      <c r="EU4" s="1">
        <v>-2168</v>
      </c>
      <c r="EX4" t="s">
        <v>2036</v>
      </c>
      <c r="EY4" s="293">
        <f>EY3-EY7</f>
        <v>3574.4209999999985</v>
      </c>
      <c r="EZ4" s="1" t="s">
        <v>1647</v>
      </c>
      <c r="FA4" s="1">
        <v>-1778</v>
      </c>
      <c r="FD4" t="s">
        <v>2036</v>
      </c>
      <c r="FE4" s="293">
        <f>FE3-FE7</f>
        <v>3502.921000000008</v>
      </c>
      <c r="FF4" s="1" t="s">
        <v>1647</v>
      </c>
      <c r="FG4" s="1">
        <v>-1252</v>
      </c>
      <c r="FJ4" t="s">
        <v>2036</v>
      </c>
      <c r="FK4" s="293">
        <f>FK3-FK7</f>
        <v>3295.199999999998</v>
      </c>
      <c r="FL4" t="s">
        <v>1823</v>
      </c>
      <c r="FM4" s="2">
        <v>160000</v>
      </c>
      <c r="FP4" t="s">
        <v>2036</v>
      </c>
      <c r="FQ4" s="293">
        <f>FQ3-FQ8-FQ7</f>
        <v>4761.7000000000071</v>
      </c>
      <c r="FR4" t="s">
        <v>1823</v>
      </c>
      <c r="FS4" s="2">
        <v>198000</v>
      </c>
      <c r="FV4" t="s">
        <v>2036</v>
      </c>
      <c r="FW4" s="293">
        <f>FW3-FW8-FW7</f>
        <v>5622.1610000000019</v>
      </c>
      <c r="FX4" t="s">
        <v>1918</v>
      </c>
      <c r="FY4" s="2">
        <v>180000</v>
      </c>
      <c r="GB4" t="s">
        <v>2036</v>
      </c>
      <c r="GC4" s="293">
        <f>GC3-GC8-GC7</f>
        <v>2747.1799999999898</v>
      </c>
      <c r="GD4" t="s">
        <v>1918</v>
      </c>
      <c r="GE4" s="2">
        <v>145000</v>
      </c>
      <c r="GH4" t="s">
        <v>2036</v>
      </c>
      <c r="GI4" s="293">
        <f>GI3-GI8-GI7</f>
        <v>5855.1089999999813</v>
      </c>
      <c r="GJ4" t="s">
        <v>1918</v>
      </c>
      <c r="GK4" s="2">
        <v>164000</v>
      </c>
      <c r="GN4" t="s">
        <v>2036</v>
      </c>
      <c r="GO4" s="293">
        <f>GO3-GO8-GO7</f>
        <v>4720.0899999999965</v>
      </c>
      <c r="GP4" t="s">
        <v>1918</v>
      </c>
      <c r="GQ4" s="2">
        <v>176000</v>
      </c>
      <c r="GT4" t="s">
        <v>2036</v>
      </c>
      <c r="GU4" s="293">
        <f>GU3-GU8-GU7</f>
        <v>2094.1210000000328</v>
      </c>
      <c r="GV4" t="s">
        <v>1918</v>
      </c>
      <c r="GW4" s="2">
        <v>105000</v>
      </c>
      <c r="GZ4" t="s">
        <v>2036</v>
      </c>
      <c r="HA4" s="293">
        <f>HA3-HA8-HA7</f>
        <v>6840.9766666666601</v>
      </c>
      <c r="HB4" t="s">
        <v>1918</v>
      </c>
      <c r="HC4" s="2">
        <v>103000</v>
      </c>
      <c r="HF4" t="s">
        <v>2421</v>
      </c>
      <c r="HG4" s="293">
        <f>HG3-SUM(HG37:HG38)</f>
        <v>1983.4866666666603</v>
      </c>
      <c r="HH4" t="s">
        <v>1918</v>
      </c>
      <c r="HI4" s="2">
        <v>85000</v>
      </c>
      <c r="HJ4" t="s">
        <v>641</v>
      </c>
      <c r="HK4">
        <v>15123.78</v>
      </c>
      <c r="HL4" t="s">
        <v>2421</v>
      </c>
      <c r="HM4" s="280">
        <f>HM3-HM36</f>
        <v>2246.9276666666774</v>
      </c>
      <c r="HN4" t="s">
        <v>1918</v>
      </c>
      <c r="HO4" s="2">
        <v>78000</v>
      </c>
      <c r="HP4" t="s">
        <v>641</v>
      </c>
      <c r="HQ4">
        <v>15123.78</v>
      </c>
      <c r="HR4" t="s">
        <v>2036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2420</v>
      </c>
      <c r="HY4" s="2">
        <f>HY2-HW25-HW24</f>
        <v>11602.456666666758</v>
      </c>
      <c r="HZ4" t="s">
        <v>2383</v>
      </c>
      <c r="IA4" s="370"/>
      <c r="IB4" t="s">
        <v>2387</v>
      </c>
      <c r="IC4" s="537">
        <v>-1437.02</v>
      </c>
      <c r="ID4" t="s">
        <v>2433</v>
      </c>
      <c r="IE4" s="280">
        <f>IE3-IE57</f>
        <v>3490.8843333333507</v>
      </c>
      <c r="IF4" s="1" t="s">
        <v>1647</v>
      </c>
      <c r="IG4" s="145">
        <v>-192</v>
      </c>
      <c r="IH4" t="s">
        <v>2464</v>
      </c>
      <c r="II4" s="537">
        <v>-1437.02</v>
      </c>
      <c r="IJ4" s="567" t="s">
        <v>2486</v>
      </c>
      <c r="IK4" s="280">
        <f>IK3-II43</f>
        <v>5752.8033333333187</v>
      </c>
      <c r="IL4" s="1" t="s">
        <v>2316</v>
      </c>
      <c r="IM4" s="279">
        <v>-75000</v>
      </c>
      <c r="IN4" t="s">
        <v>2464</v>
      </c>
      <c r="IO4" s="537">
        <v>-1437.02</v>
      </c>
      <c r="IP4" t="s">
        <v>1220</v>
      </c>
      <c r="IQ4" s="293">
        <f>IQ2-IQ5</f>
        <v>2.970000000024811</v>
      </c>
      <c r="IR4" s="1" t="s">
        <v>2316</v>
      </c>
      <c r="IS4" s="279">
        <v>-75000</v>
      </c>
      <c r="IT4" s="670" t="s">
        <v>2256</v>
      </c>
      <c r="IU4" s="587">
        <v>-1437.02</v>
      </c>
      <c r="IV4" s="626" t="s">
        <v>1220</v>
      </c>
      <c r="IW4" s="293">
        <f>IW2-IW5</f>
        <v>0.48700000001917942</v>
      </c>
      <c r="IX4" s="672" t="s">
        <v>2682</v>
      </c>
      <c r="IY4" s="675">
        <v>0.13300000000000001</v>
      </c>
      <c r="IZ4" s="684" t="s">
        <v>2256</v>
      </c>
      <c r="JA4" s="587"/>
      <c r="JB4" s="684" t="s">
        <v>1220</v>
      </c>
      <c r="JC4" s="293">
        <f>JC2-JC5</f>
        <v>-0.73700000002747856</v>
      </c>
      <c r="JD4" s="684" t="s">
        <v>2702</v>
      </c>
      <c r="JE4" s="675">
        <v>-140000</v>
      </c>
      <c r="JF4" s="668"/>
    </row>
    <row r="5" spans="1:267" x14ac:dyDescent="0.2">
      <c r="A5" s="700"/>
      <c r="B5" s="700"/>
      <c r="E5" s="173" t="s">
        <v>358</v>
      </c>
      <c r="F5" s="177">
        <f>SUM(F15:F56)</f>
        <v>12750</v>
      </c>
      <c r="G5" s="700"/>
      <c r="H5" s="700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1220</v>
      </c>
      <c r="AP5" s="248">
        <f>AP3-AP6</f>
        <v>5.3509999999987485</v>
      </c>
      <c r="AQ5" s="186" t="s">
        <v>438</v>
      </c>
      <c r="AR5" s="64">
        <v>1096</v>
      </c>
      <c r="AU5" s="173" t="s">
        <v>1220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1220</v>
      </c>
      <c r="BF5" s="248">
        <f>BF3-BF6</f>
        <v>18.941000000011172</v>
      </c>
      <c r="BG5" s="186" t="s">
        <v>438</v>
      </c>
      <c r="BH5" s="64">
        <v>916</v>
      </c>
      <c r="BK5" s="269" t="s">
        <v>1220</v>
      </c>
      <c r="BL5" s="268">
        <f>BL3-BL6</f>
        <v>9.8299999999867396</v>
      </c>
      <c r="BM5" s="186" t="s">
        <v>438</v>
      </c>
      <c r="BN5" s="64">
        <v>1684</v>
      </c>
      <c r="BQ5" s="269" t="s">
        <v>1220</v>
      </c>
      <c r="BR5" s="268">
        <f>BR3-BR6</f>
        <v>7.5800000000072032</v>
      </c>
      <c r="BS5" s="186" t="s">
        <v>438</v>
      </c>
      <c r="BT5" s="233">
        <v>1251</v>
      </c>
      <c r="BW5" s="269" t="s">
        <v>1220</v>
      </c>
      <c r="BX5" s="268">
        <f>BX3-BX6</f>
        <v>2.0890000000072177</v>
      </c>
      <c r="BY5" s="186" t="s">
        <v>438</v>
      </c>
      <c r="BZ5" s="64">
        <v>1449</v>
      </c>
      <c r="CC5" s="269" t="s">
        <v>1220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1220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1220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1220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1220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1220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1220</v>
      </c>
      <c r="DN5" s="309">
        <f>DN3-DN6</f>
        <v>10.819999999999709</v>
      </c>
      <c r="DO5" s="186" t="s">
        <v>1523</v>
      </c>
      <c r="DP5" s="64">
        <v>11789</v>
      </c>
      <c r="DQ5" s="9" t="s">
        <v>641</v>
      </c>
      <c r="DR5" s="292">
        <v>14054.71</v>
      </c>
      <c r="DS5" s="210" t="s">
        <v>1643</v>
      </c>
      <c r="DT5" s="262">
        <f>DT4-DT25</f>
        <v>2378.5700000000252</v>
      </c>
      <c r="DU5" s="186" t="s">
        <v>1523</v>
      </c>
      <c r="DV5" s="64">
        <v>2251</v>
      </c>
      <c r="DW5" t="s">
        <v>641</v>
      </c>
      <c r="DX5" s="52">
        <v>14054.71</v>
      </c>
      <c r="DY5" t="s">
        <v>1220</v>
      </c>
      <c r="DZ5" s="293">
        <f>DZ3-DZ6</f>
        <v>2.1700000000028012</v>
      </c>
      <c r="EA5" s="186" t="s">
        <v>1523</v>
      </c>
      <c r="EB5" s="63">
        <v>9686</v>
      </c>
      <c r="EC5" t="s">
        <v>641</v>
      </c>
      <c r="ED5" s="52">
        <v>14054.71</v>
      </c>
      <c r="EE5" t="s">
        <v>1220</v>
      </c>
      <c r="EF5" s="293">
        <f>EF3-EF6</f>
        <v>5.1399999999721331</v>
      </c>
      <c r="EG5" s="293"/>
      <c r="EH5" s="1" t="s">
        <v>1648</v>
      </c>
      <c r="EI5" s="1">
        <v>1E-3</v>
      </c>
      <c r="EJ5" t="s">
        <v>641</v>
      </c>
      <c r="EK5" s="52">
        <v>14054.71</v>
      </c>
      <c r="EL5" t="s">
        <v>1220</v>
      </c>
      <c r="EM5" s="293">
        <f>EM3-EM6</f>
        <v>2.1700000000200816</v>
      </c>
      <c r="EN5" s="1" t="s">
        <v>1648</v>
      </c>
      <c r="EO5" s="1">
        <v>1E-3</v>
      </c>
      <c r="EP5" t="s">
        <v>641</v>
      </c>
      <c r="EQ5" s="52">
        <v>14054.71</v>
      </c>
      <c r="ER5" t="s">
        <v>1220</v>
      </c>
      <c r="ES5" s="293">
        <f>ES3-ES6</f>
        <v>3.9099999999925785</v>
      </c>
      <c r="ET5" s="1" t="s">
        <v>1648</v>
      </c>
      <c r="EU5" s="1">
        <v>1E-3</v>
      </c>
      <c r="EV5" t="s">
        <v>641</v>
      </c>
      <c r="EW5" s="52">
        <v>14054.71</v>
      </c>
      <c r="EX5" t="s">
        <v>1220</v>
      </c>
      <c r="EY5" s="293">
        <f>EY3-EY6</f>
        <v>-1.1690000000007785</v>
      </c>
      <c r="EZ5" s="1" t="s">
        <v>1648</v>
      </c>
      <c r="FA5" s="366">
        <v>9</v>
      </c>
      <c r="FB5" t="s">
        <v>641</v>
      </c>
      <c r="FC5" s="52">
        <v>14054.71</v>
      </c>
      <c r="FD5" t="s">
        <v>1220</v>
      </c>
      <c r="FE5" s="293">
        <f>FE3-FE6</f>
        <v>6.0000000000090949</v>
      </c>
      <c r="FF5" s="1" t="s">
        <v>1648</v>
      </c>
      <c r="FG5" s="366">
        <v>7</v>
      </c>
      <c r="FH5" t="s">
        <v>641</v>
      </c>
      <c r="FI5" s="248">
        <v>14040</v>
      </c>
      <c r="FJ5" t="s">
        <v>1220</v>
      </c>
      <c r="FK5" s="293">
        <f>FK3-FK6</f>
        <v>8.3399999999983265</v>
      </c>
      <c r="FL5" s="1" t="s">
        <v>1647</v>
      </c>
      <c r="FM5">
        <v>-1400</v>
      </c>
      <c r="FN5" t="s">
        <v>641</v>
      </c>
      <c r="FO5" s="248">
        <v>14040.45</v>
      </c>
      <c r="FP5" t="s">
        <v>1220</v>
      </c>
      <c r="FQ5" s="293">
        <f>FQ3-FQ6</f>
        <v>6.0500000000138243</v>
      </c>
      <c r="FR5" s="1" t="s">
        <v>1647</v>
      </c>
      <c r="FS5">
        <v>-3496</v>
      </c>
      <c r="FT5" t="s">
        <v>641</v>
      </c>
      <c r="FU5" s="248">
        <v>14040.45</v>
      </c>
      <c r="FV5" t="s">
        <v>1220</v>
      </c>
      <c r="FW5" s="293">
        <f>FW3-FW6</f>
        <v>-4.2489999999961583</v>
      </c>
      <c r="FX5" t="s">
        <v>1938</v>
      </c>
      <c r="FY5" s="275">
        <v>-12000</v>
      </c>
      <c r="FZ5" t="s">
        <v>2011</v>
      </c>
      <c r="GB5" t="s">
        <v>1220</v>
      </c>
      <c r="GC5" s="293">
        <f>GC3-GC6</f>
        <v>1.2699999999895226</v>
      </c>
      <c r="GD5" t="s">
        <v>1938</v>
      </c>
      <c r="GE5" s="275">
        <v>-11000</v>
      </c>
      <c r="GF5" t="s">
        <v>1998</v>
      </c>
      <c r="GH5" t="s">
        <v>1220</v>
      </c>
      <c r="GI5" s="293">
        <f>GI3-GI6</f>
        <v>-1.8210000000181026</v>
      </c>
      <c r="GJ5" t="s">
        <v>1993</v>
      </c>
      <c r="GK5" s="275">
        <v>-10000</v>
      </c>
      <c r="GL5" t="s">
        <v>641</v>
      </c>
      <c r="GM5">
        <v>15123.78</v>
      </c>
      <c r="GN5" t="s">
        <v>1220</v>
      </c>
      <c r="GO5" s="293">
        <f>GO3-GO6</f>
        <v>-4.7600000000029468</v>
      </c>
      <c r="GP5" t="s">
        <v>1993</v>
      </c>
      <c r="GQ5" s="275">
        <v>-9000</v>
      </c>
      <c r="GR5" t="s">
        <v>641</v>
      </c>
      <c r="GS5">
        <v>15123.78</v>
      </c>
      <c r="GT5" t="s">
        <v>1220</v>
      </c>
      <c r="GU5" s="293">
        <f>GU3-GU6</f>
        <v>-0.27899999996589031</v>
      </c>
      <c r="GV5" t="s">
        <v>1993</v>
      </c>
      <c r="GW5" s="275">
        <v>-9000</v>
      </c>
      <c r="GX5" t="s">
        <v>641</v>
      </c>
      <c r="GY5">
        <v>15123.78</v>
      </c>
      <c r="GZ5" t="s">
        <v>1220</v>
      </c>
      <c r="HA5" s="293">
        <f>HA3-HA6</f>
        <v>0.60799999999289867</v>
      </c>
      <c r="HB5" t="s">
        <v>1993</v>
      </c>
      <c r="HC5" s="275">
        <v>-6000</v>
      </c>
      <c r="HD5" t="s">
        <v>641</v>
      </c>
      <c r="HE5">
        <v>15123.78</v>
      </c>
      <c r="HF5" t="s">
        <v>1220</v>
      </c>
      <c r="HG5" s="293">
        <f>HG2-HG6</f>
        <v>-2.2200000000048021</v>
      </c>
      <c r="HH5" t="s">
        <v>1993</v>
      </c>
      <c r="HI5" s="275">
        <v>-6000</v>
      </c>
      <c r="HJ5" t="s">
        <v>2250</v>
      </c>
      <c r="HK5">
        <v>-1437.02</v>
      </c>
      <c r="HL5" t="s">
        <v>1220</v>
      </c>
      <c r="HM5" s="293">
        <f>HM2-HM6</f>
        <v>-0.18999999998777639</v>
      </c>
      <c r="HN5" t="s">
        <v>1993</v>
      </c>
      <c r="HO5" s="275">
        <v>-6000</v>
      </c>
      <c r="HP5" t="s">
        <v>2256</v>
      </c>
      <c r="HQ5">
        <v>-1437.02</v>
      </c>
      <c r="HR5" t="s">
        <v>1220</v>
      </c>
      <c r="HS5" s="293">
        <f>HS3-HS6</f>
        <v>-0.41000000000894943</v>
      </c>
      <c r="HT5" s="434" t="s">
        <v>1993</v>
      </c>
      <c r="HU5" s="435">
        <f>HO5-HT7</f>
        <v>-13000</v>
      </c>
      <c r="HV5" t="s">
        <v>2388</v>
      </c>
      <c r="HW5" s="52">
        <v>-1437.02</v>
      </c>
      <c r="HX5" t="s">
        <v>2417</v>
      </c>
      <c r="HY5" s="280">
        <f>HY4-HY53</f>
        <v>4272.9566666667579</v>
      </c>
      <c r="HZ5" t="s">
        <v>2384</v>
      </c>
      <c r="IA5" s="370"/>
      <c r="IB5" t="s">
        <v>1595</v>
      </c>
      <c r="IC5" s="537"/>
      <c r="ID5" t="s">
        <v>1220</v>
      </c>
      <c r="IE5" s="293">
        <f>IE2-IE6</f>
        <v>-0.92899999998917338</v>
      </c>
      <c r="IF5" s="6" t="s">
        <v>1911</v>
      </c>
      <c r="IG5" s="366">
        <v>14.67</v>
      </c>
      <c r="IH5" t="s">
        <v>2457</v>
      </c>
      <c r="II5" s="537">
        <v>100</v>
      </c>
      <c r="IJ5" t="s">
        <v>1220</v>
      </c>
      <c r="IK5" s="293">
        <f>IK2-IK6</f>
        <v>1.0099999999856664</v>
      </c>
      <c r="IL5" s="569" t="s">
        <v>2439</v>
      </c>
      <c r="IM5" s="2">
        <v>0</v>
      </c>
      <c r="IO5" s="537"/>
      <c r="IP5" t="s">
        <v>358</v>
      </c>
      <c r="IQ5" s="280">
        <f>SUM(IQ6:IQ57)</f>
        <v>11405.679999999998</v>
      </c>
      <c r="IR5" s="66" t="s">
        <v>2439</v>
      </c>
      <c r="IS5" s="2">
        <v>0</v>
      </c>
      <c r="IT5" s="626" t="s">
        <v>2676</v>
      </c>
      <c r="IU5" s="537">
        <f>-30-11-12-13</f>
        <v>-66</v>
      </c>
      <c r="IV5" s="626" t="s">
        <v>358</v>
      </c>
      <c r="IW5" s="280">
        <f>SUM(IW6:IW39)</f>
        <v>11439.500000000004</v>
      </c>
      <c r="IX5" s="630" t="s">
        <v>2316</v>
      </c>
      <c r="IY5" s="279">
        <v>-75000</v>
      </c>
      <c r="IZ5" s="684" t="s">
        <v>2676</v>
      </c>
      <c r="JA5" s="537"/>
      <c r="JB5" s="684" t="s">
        <v>358</v>
      </c>
      <c r="JC5" s="280">
        <f>SUM(JC6:JC39)</f>
        <v>104.87</v>
      </c>
      <c r="JD5" s="688" t="s">
        <v>2316</v>
      </c>
      <c r="JE5" s="279">
        <v>-75000</v>
      </c>
      <c r="JF5" s="668"/>
    </row>
    <row r="6" spans="1:267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1063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1122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1122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1524</v>
      </c>
      <c r="DP6" s="64" t="s">
        <v>650</v>
      </c>
      <c r="DR6" s="315"/>
      <c r="DS6" s="210" t="s">
        <v>1220</v>
      </c>
      <c r="DT6" s="286">
        <f>DT3-DT7</f>
        <v>31.529000000031374</v>
      </c>
      <c r="DU6" s="186" t="s">
        <v>1286</v>
      </c>
      <c r="DV6" s="64">
        <v>-10</v>
      </c>
      <c r="DX6" s="52"/>
      <c r="DY6" t="s">
        <v>358</v>
      </c>
      <c r="DZ6" s="339">
        <f>SUM(DZ12:DZ47)</f>
        <v>4914.88</v>
      </c>
      <c r="EA6" t="s">
        <v>1147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1544</v>
      </c>
      <c r="EI6" s="1">
        <v>967</v>
      </c>
      <c r="EL6" t="s">
        <v>358</v>
      </c>
      <c r="EM6" s="339">
        <f>SUM(EM12:EM50)</f>
        <v>5228.0999999999985</v>
      </c>
      <c r="EN6" s="66" t="s">
        <v>1544</v>
      </c>
      <c r="EO6" s="1">
        <v>891</v>
      </c>
      <c r="ER6" t="s">
        <v>358</v>
      </c>
      <c r="ES6" s="362">
        <f>SUM(ES12:ES48)</f>
        <v>7266.5499999999993</v>
      </c>
      <c r="ET6" s="66" t="s">
        <v>1544</v>
      </c>
      <c r="EU6" s="1">
        <v>556</v>
      </c>
      <c r="EX6" t="s">
        <v>358</v>
      </c>
      <c r="EY6" s="339">
        <f>SUM(EY12:EY50)</f>
        <v>5475.6799999999994</v>
      </c>
      <c r="EZ6" s="66" t="s">
        <v>1544</v>
      </c>
      <c r="FA6">
        <v>1233</v>
      </c>
      <c r="FD6" t="s">
        <v>358</v>
      </c>
      <c r="FE6" s="293">
        <f>SUM(FE12:FE45)</f>
        <v>5297.0209999999988</v>
      </c>
      <c r="FF6" s="66" t="s">
        <v>1544</v>
      </c>
      <c r="FG6">
        <v>1591</v>
      </c>
      <c r="FH6" t="s">
        <v>1835</v>
      </c>
      <c r="FJ6" t="s">
        <v>358</v>
      </c>
      <c r="FK6" s="293">
        <f>SUM(FK12:FK45)</f>
        <v>5086.9699999999993</v>
      </c>
      <c r="FL6" s="1" t="s">
        <v>1648</v>
      </c>
      <c r="FM6" s="366">
        <v>97</v>
      </c>
      <c r="FN6" t="s">
        <v>1856</v>
      </c>
      <c r="FO6" s="248"/>
      <c r="FP6" t="s">
        <v>358</v>
      </c>
      <c r="FQ6" s="293">
        <f>SUM(FQ13:FQ57)</f>
        <v>17555.769999999993</v>
      </c>
      <c r="FR6" s="1" t="s">
        <v>1648</v>
      </c>
      <c r="FS6" s="366">
        <v>97.53</v>
      </c>
      <c r="FT6" t="s">
        <v>1937</v>
      </c>
      <c r="FU6" s="248">
        <v>558</v>
      </c>
      <c r="FV6" t="s">
        <v>358</v>
      </c>
      <c r="FW6" s="293">
        <f>SUM(FW13:FW48)</f>
        <v>76726.42</v>
      </c>
      <c r="FX6" t="s">
        <v>1919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1919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1919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1919</v>
      </c>
      <c r="GQ6" s="2">
        <v>-81000</v>
      </c>
      <c r="GR6" t="s">
        <v>2250</v>
      </c>
      <c r="GS6">
        <v>-1437.02</v>
      </c>
      <c r="GT6" t="s">
        <v>358</v>
      </c>
      <c r="GU6" s="293">
        <f>SUM(GU13:GU54)</f>
        <v>90984.639999999999</v>
      </c>
      <c r="GV6" t="s">
        <v>1919</v>
      </c>
      <c r="GW6" s="2">
        <v>-82000</v>
      </c>
      <c r="GX6" t="s">
        <v>2250</v>
      </c>
      <c r="GY6">
        <v>-1437.02</v>
      </c>
      <c r="GZ6" t="s">
        <v>358</v>
      </c>
      <c r="HA6" s="293">
        <f>SUM(HA13:HA50)</f>
        <v>10745.362000000001</v>
      </c>
      <c r="HB6" t="s">
        <v>2154</v>
      </c>
      <c r="HC6" s="275"/>
      <c r="HD6" t="s">
        <v>2250</v>
      </c>
      <c r="HE6">
        <v>-1437.02</v>
      </c>
      <c r="HF6" t="s">
        <v>358</v>
      </c>
      <c r="HG6" s="293">
        <f>SUM(HG13:HG43)</f>
        <v>27438.16</v>
      </c>
      <c r="HH6" t="s">
        <v>1919</v>
      </c>
      <c r="HI6" s="2">
        <v>-82000</v>
      </c>
      <c r="HJ6" t="s">
        <v>2181</v>
      </c>
      <c r="HK6">
        <f>50+15</f>
        <v>65</v>
      </c>
      <c r="HL6" t="s">
        <v>358</v>
      </c>
      <c r="HM6" s="280">
        <f>SUM(HM7:HM39)</f>
        <v>27357.731</v>
      </c>
      <c r="HN6" t="s">
        <v>1919</v>
      </c>
      <c r="HO6" s="2">
        <v>-77000</v>
      </c>
      <c r="HP6" t="s">
        <v>2181</v>
      </c>
      <c r="HQ6">
        <v>51</v>
      </c>
      <c r="HR6" t="s">
        <v>358</v>
      </c>
      <c r="HS6" s="280">
        <f>SUM(HS7:HS44)</f>
        <v>8267.1200000000008</v>
      </c>
      <c r="HT6" s="436" t="s">
        <v>2227</v>
      </c>
      <c r="HU6" s="437">
        <f>HO6+HT7</f>
        <v>-70000</v>
      </c>
      <c r="HV6" t="s">
        <v>2310</v>
      </c>
      <c r="HW6" s="52">
        <v>679999</v>
      </c>
      <c r="HX6" t="s">
        <v>1220</v>
      </c>
      <c r="HY6" s="293">
        <f>HY2-HY7</f>
        <v>0.61000000033527613</v>
      </c>
      <c r="HZ6" t="s">
        <v>2382</v>
      </c>
      <c r="IA6" s="275">
        <v>-420000</v>
      </c>
      <c r="IB6" t="s">
        <v>2362</v>
      </c>
      <c r="IC6" s="538">
        <v>17.8</v>
      </c>
      <c r="ID6" t="s">
        <v>358</v>
      </c>
      <c r="IE6" s="280">
        <f>SUM(IE7:IE57)</f>
        <v>59937.460000000006</v>
      </c>
      <c r="IF6" s="327" t="s">
        <v>1648</v>
      </c>
      <c r="IG6" s="416">
        <v>0.08</v>
      </c>
      <c r="IH6" t="s">
        <v>2478</v>
      </c>
      <c r="II6" s="537">
        <v>150</v>
      </c>
      <c r="IJ6" t="s">
        <v>358</v>
      </c>
      <c r="IK6" s="280">
        <f>SUM(IK7:IK59)</f>
        <v>13099.409999999998</v>
      </c>
      <c r="IL6" t="s">
        <v>2461</v>
      </c>
      <c r="IM6" s="275">
        <v>235000</v>
      </c>
      <c r="IO6" s="537"/>
      <c r="IP6" s="358" t="s">
        <v>2496</v>
      </c>
      <c r="IQ6" s="61">
        <v>26</v>
      </c>
      <c r="IR6" t="s">
        <v>2461</v>
      </c>
      <c r="IS6" s="275">
        <v>305005</v>
      </c>
      <c r="IT6" s="626" t="s">
        <v>2669</v>
      </c>
      <c r="IU6" s="537">
        <v>100</v>
      </c>
      <c r="IV6" s="358" t="s">
        <v>2496</v>
      </c>
      <c r="IW6" s="61">
        <v>11</v>
      </c>
      <c r="IX6" s="629" t="s">
        <v>2439</v>
      </c>
      <c r="IY6" s="275">
        <v>-4000</v>
      </c>
      <c r="JA6" s="537"/>
      <c r="JB6" s="358" t="s">
        <v>2496</v>
      </c>
      <c r="JC6" s="61"/>
      <c r="JD6" s="689" t="s">
        <v>2439</v>
      </c>
      <c r="JE6" s="275">
        <v>-4000</v>
      </c>
      <c r="JF6" s="668"/>
    </row>
    <row r="7" spans="1:267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1087</v>
      </c>
      <c r="V7">
        <v>0</v>
      </c>
      <c r="W7" s="173"/>
      <c r="Y7" s="186"/>
      <c r="Z7" s="64"/>
      <c r="AA7" t="s">
        <v>1090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1090</v>
      </c>
      <c r="AH7">
        <v>90</v>
      </c>
      <c r="AI7" s="145" t="s">
        <v>365</v>
      </c>
      <c r="AJ7" s="145">
        <f>SUM(AJ13:AJ13)</f>
        <v>0</v>
      </c>
      <c r="AK7" s="186" t="s">
        <v>1113</v>
      </c>
      <c r="AL7" s="64">
        <v>36000</v>
      </c>
      <c r="AM7" t="s">
        <v>1140</v>
      </c>
      <c r="AN7">
        <v>28</v>
      </c>
      <c r="AO7" s="145" t="s">
        <v>365</v>
      </c>
      <c r="AP7" s="145">
        <f>SUM(AP13:AP17)</f>
        <v>7900</v>
      </c>
      <c r="AQ7" s="186" t="s">
        <v>1113</v>
      </c>
      <c r="AR7" s="64">
        <v>15000</v>
      </c>
      <c r="AS7" t="s">
        <v>1167</v>
      </c>
      <c r="AT7">
        <v>482</v>
      </c>
      <c r="AU7" s="145" t="s">
        <v>365</v>
      </c>
      <c r="AV7" s="145">
        <f>SUM(AV12:AV18)</f>
        <v>4500.07</v>
      </c>
      <c r="AW7" s="186" t="s">
        <v>1113</v>
      </c>
      <c r="AX7" s="64">
        <v>9933</v>
      </c>
      <c r="BA7" s="186" t="s">
        <v>1113</v>
      </c>
      <c r="BB7" s="64">
        <f t="shared" si="0"/>
        <v>9933</v>
      </c>
      <c r="BC7" t="s">
        <v>1090</v>
      </c>
      <c r="BD7" t="s">
        <v>694</v>
      </c>
      <c r="BE7" s="145" t="s">
        <v>365</v>
      </c>
      <c r="BF7" s="145">
        <f>SUM(BF13:BF16)</f>
        <v>100</v>
      </c>
      <c r="BG7" s="186" t="s">
        <v>1113</v>
      </c>
      <c r="BH7" s="64">
        <v>15854</v>
      </c>
      <c r="BI7" s="9" t="s">
        <v>1090</v>
      </c>
      <c r="BJ7" s="9" t="s">
        <v>694</v>
      </c>
      <c r="BK7" s="223" t="s">
        <v>365</v>
      </c>
      <c r="BL7" s="223">
        <f>SUM(BL13:BL16)</f>
        <v>1900.05</v>
      </c>
      <c r="BM7" s="186" t="s">
        <v>1113</v>
      </c>
      <c r="BN7" s="64">
        <v>36824</v>
      </c>
      <c r="BO7" s="9" t="s">
        <v>1090</v>
      </c>
      <c r="BP7" s="6" t="s">
        <v>694</v>
      </c>
      <c r="BQ7" s="223" t="s">
        <v>365</v>
      </c>
      <c r="BR7" s="223">
        <f>SUM(BR13:BR16)</f>
        <v>1900.06</v>
      </c>
      <c r="BS7" s="186" t="s">
        <v>1113</v>
      </c>
      <c r="BT7" s="233">
        <v>37000</v>
      </c>
      <c r="BU7" s="9" t="s">
        <v>1090</v>
      </c>
      <c r="BV7" s="6" t="s">
        <v>694</v>
      </c>
      <c r="BW7" s="223" t="s">
        <v>365</v>
      </c>
      <c r="BX7" s="223">
        <f>SUM(BX13:BX16)</f>
        <v>1900.07</v>
      </c>
      <c r="BY7" s="186" t="s">
        <v>1113</v>
      </c>
      <c r="BZ7" s="64">
        <v>34967</v>
      </c>
      <c r="CA7" s="9" t="s">
        <v>1302</v>
      </c>
      <c r="CB7" s="6">
        <v>0</v>
      </c>
      <c r="CC7" s="223" t="s">
        <v>365</v>
      </c>
      <c r="CD7" s="223">
        <f>SUM(CD13:CD16)</f>
        <v>1900.08</v>
      </c>
      <c r="CE7" s="186" t="s">
        <v>1113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1113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1113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1113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1113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1113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1286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1147</v>
      </c>
      <c r="DV7" s="78">
        <v>441</v>
      </c>
      <c r="DY7" s="252" t="s">
        <v>365</v>
      </c>
      <c r="DZ7" s="342">
        <f>SUM(DZ12:DZ13)</f>
        <v>1933.05</v>
      </c>
      <c r="EA7" s="3" t="s">
        <v>1429</v>
      </c>
      <c r="EB7">
        <v>0</v>
      </c>
      <c r="EC7" s="60" t="s">
        <v>1597</v>
      </c>
      <c r="EE7" s="252" t="s">
        <v>365</v>
      </c>
      <c r="EF7" s="342">
        <f>SUM(EF12:EF13)</f>
        <v>2462.0299999999997</v>
      </c>
      <c r="EG7" s="342"/>
      <c r="EH7" s="66" t="s">
        <v>1523</v>
      </c>
      <c r="EI7" s="1">
        <v>10718</v>
      </c>
      <c r="EJ7" t="s">
        <v>1670</v>
      </c>
      <c r="EK7">
        <v>9.99</v>
      </c>
      <c r="EL7" s="252" t="s">
        <v>365</v>
      </c>
      <c r="EM7" s="342">
        <f>SUM(EM12:EM14)</f>
        <v>1800.07</v>
      </c>
      <c r="EN7" s="66" t="s">
        <v>1523</v>
      </c>
      <c r="EO7" s="1">
        <v>9753</v>
      </c>
      <c r="EP7" s="60" t="s">
        <v>1597</v>
      </c>
      <c r="ER7" s="359" t="s">
        <v>1703</v>
      </c>
      <c r="ES7" s="363">
        <f>SUM(ES12:ES13)</f>
        <v>2230.08</v>
      </c>
      <c r="ET7" s="66" t="s">
        <v>1523</v>
      </c>
      <c r="EU7" s="1">
        <v>4177</v>
      </c>
      <c r="EV7" s="60" t="s">
        <v>1597</v>
      </c>
      <c r="EX7" s="359" t="s">
        <v>1703</v>
      </c>
      <c r="EY7" s="363">
        <f>SUM(EY12:EY13)</f>
        <v>1900.09</v>
      </c>
      <c r="EZ7" s="66" t="s">
        <v>1523</v>
      </c>
      <c r="FA7">
        <v>3507</v>
      </c>
      <c r="FB7" s="60" t="s">
        <v>1597</v>
      </c>
      <c r="FD7" s="359" t="s">
        <v>1703</v>
      </c>
      <c r="FE7" s="293">
        <f>SUM(FE12:FE12)</f>
        <v>1800.1</v>
      </c>
      <c r="FF7" s="66" t="s">
        <v>1523</v>
      </c>
      <c r="FG7">
        <v>9685</v>
      </c>
      <c r="FJ7" s="359" t="s">
        <v>1703</v>
      </c>
      <c r="FK7" s="293">
        <f>SUM(FK12:FK12)</f>
        <v>1800.11</v>
      </c>
      <c r="FL7" s="66" t="s">
        <v>1544</v>
      </c>
      <c r="FM7">
        <v>818</v>
      </c>
      <c r="FN7" t="s">
        <v>1857</v>
      </c>
      <c r="FO7" s="248">
        <v>3740</v>
      </c>
      <c r="FP7" s="359" t="s">
        <v>1976</v>
      </c>
      <c r="FQ7" s="293">
        <f>FQ13</f>
        <v>1800.12</v>
      </c>
      <c r="FR7" s="6" t="s">
        <v>1855</v>
      </c>
      <c r="FS7">
        <v>3740</v>
      </c>
      <c r="FT7" s="349" t="s">
        <v>1957</v>
      </c>
      <c r="FU7">
        <v>15</v>
      </c>
      <c r="FV7" s="359" t="s">
        <v>1976</v>
      </c>
      <c r="FW7" s="293">
        <f>FW13</f>
        <v>1800.01</v>
      </c>
      <c r="FX7" s="1" t="s">
        <v>1647</v>
      </c>
      <c r="FY7">
        <v>-907</v>
      </c>
      <c r="FZ7" t="s">
        <v>447</v>
      </c>
      <c r="GA7" s="248">
        <f>25200*0.8</f>
        <v>20160</v>
      </c>
      <c r="GB7" s="359" t="s">
        <v>1976</v>
      </c>
      <c r="GC7" s="293">
        <f>SUM(GC13:GC14)</f>
        <v>2800.02</v>
      </c>
      <c r="GD7" s="1" t="s">
        <v>1647</v>
      </c>
      <c r="GE7" s="145">
        <v>-1216</v>
      </c>
      <c r="GF7" t="s">
        <v>447</v>
      </c>
      <c r="GG7" s="248">
        <f>10800-4800*0.2</f>
        <v>9840</v>
      </c>
      <c r="GH7" s="359" t="s">
        <v>1976</v>
      </c>
      <c r="GI7" s="293">
        <f>SUM(GI13:GI14)</f>
        <v>3800.0299999999997</v>
      </c>
      <c r="GJ7" s="1" t="s">
        <v>1647</v>
      </c>
      <c r="GK7" s="145">
        <v>-958</v>
      </c>
      <c r="GL7" t="s">
        <v>2010</v>
      </c>
      <c r="GN7" s="359" t="s">
        <v>1976</v>
      </c>
      <c r="GO7" s="293">
        <f>SUM(GO13:GO13)</f>
        <v>1004</v>
      </c>
      <c r="GP7" s="1" t="s">
        <v>1647</v>
      </c>
      <c r="GQ7" s="145">
        <v>-1572</v>
      </c>
      <c r="GS7" s="248"/>
      <c r="GT7" s="359" t="s">
        <v>1976</v>
      </c>
      <c r="GU7" s="293">
        <f>SUM(GU13:GU15)</f>
        <v>4635.2400000000007</v>
      </c>
      <c r="GV7" s="1" t="s">
        <v>1647</v>
      </c>
      <c r="GW7" s="145">
        <v>-1226</v>
      </c>
      <c r="GY7" s="248"/>
      <c r="GZ7" s="359" t="s">
        <v>1976</v>
      </c>
      <c r="HA7" s="293">
        <f>SUM(HA13:HA13)</f>
        <v>1800.06</v>
      </c>
      <c r="HB7" t="s">
        <v>1919</v>
      </c>
      <c r="HC7" s="2">
        <v>-82000</v>
      </c>
      <c r="HF7" s="359" t="s">
        <v>1976</v>
      </c>
      <c r="HG7" s="293">
        <f>SUM(HG13:HG13)</f>
        <v>1900.07</v>
      </c>
      <c r="HH7" s="1" t="s">
        <v>1647</v>
      </c>
      <c r="HI7" s="145">
        <v>-1696</v>
      </c>
      <c r="HJ7" t="s">
        <v>2221</v>
      </c>
      <c r="HK7">
        <v>30.001000000000001</v>
      </c>
      <c r="HL7" s="358" t="s">
        <v>1014</v>
      </c>
      <c r="HM7">
        <v>1900.08</v>
      </c>
      <c r="HN7" t="s">
        <v>2190</v>
      </c>
      <c r="HO7" s="2"/>
      <c r="HP7" t="s">
        <v>2273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2228</v>
      </c>
      <c r="HV7" t="s">
        <v>2181</v>
      </c>
      <c r="HW7" s="52">
        <v>41</v>
      </c>
      <c r="HX7" t="s">
        <v>358</v>
      </c>
      <c r="HY7" s="280">
        <f>SUM(HY8:HY53)</f>
        <v>618928.50999999978</v>
      </c>
      <c r="HZ7" s="1" t="s">
        <v>1647</v>
      </c>
      <c r="IA7" s="145">
        <v>-889</v>
      </c>
      <c r="IB7" t="s">
        <v>1296</v>
      </c>
      <c r="IC7" s="538">
        <v>24.9</v>
      </c>
      <c r="ID7" s="358" t="s">
        <v>1014</v>
      </c>
      <c r="IE7">
        <v>1900.11</v>
      </c>
      <c r="IF7" s="6" t="s">
        <v>2380</v>
      </c>
      <c r="IG7" s="366">
        <v>-8</v>
      </c>
      <c r="IH7" t="s">
        <v>2514</v>
      </c>
      <c r="II7" s="537">
        <v>2.27</v>
      </c>
      <c r="IJ7" s="358" t="s">
        <v>2435</v>
      </c>
      <c r="IK7">
        <v>15</v>
      </c>
      <c r="IL7" s="1" t="s">
        <v>1647</v>
      </c>
      <c r="IM7" s="145">
        <v>-2488</v>
      </c>
      <c r="IN7" t="s">
        <v>2576</v>
      </c>
      <c r="IO7" s="537"/>
      <c r="IP7" s="358" t="s">
        <v>2533</v>
      </c>
      <c r="IQ7" s="61">
        <v>17</v>
      </c>
      <c r="IR7" s="327" t="s">
        <v>2504</v>
      </c>
      <c r="IS7" s="637">
        <v>0</v>
      </c>
      <c r="IT7" s="666" t="s">
        <v>2666</v>
      </c>
      <c r="IU7" s="537">
        <f>10582.19+14077.74-24508</f>
        <v>151.93000000000029</v>
      </c>
      <c r="IV7" s="358" t="s">
        <v>1014</v>
      </c>
      <c r="IW7" s="61">
        <v>1900.02</v>
      </c>
      <c r="IX7" s="261" t="s">
        <v>2679</v>
      </c>
      <c r="IY7" s="2">
        <f>100*(120+1000+330+310)</f>
        <v>176000</v>
      </c>
      <c r="IZ7" s="684" t="s">
        <v>2576</v>
      </c>
      <c r="JA7" s="537"/>
      <c r="JB7" s="358" t="s">
        <v>1014</v>
      </c>
      <c r="JC7" s="61"/>
      <c r="JD7" s="261" t="s">
        <v>2679</v>
      </c>
      <c r="JE7" s="2">
        <f>100*(120+1000+330+310)</f>
        <v>176000</v>
      </c>
      <c r="JF7" s="668"/>
    </row>
    <row r="8" spans="1:267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1115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1127</v>
      </c>
      <c r="AR8" s="69">
        <v>-154</v>
      </c>
      <c r="AU8" s="145" t="s">
        <v>1015</v>
      </c>
      <c r="AV8" s="145">
        <f>SUM(AV26:AV32)</f>
        <v>466.23</v>
      </c>
      <c r="AW8" s="256" t="s">
        <v>1127</v>
      </c>
      <c r="AX8" s="69">
        <v>-152</v>
      </c>
      <c r="BA8" s="256" t="s">
        <v>1127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1127</v>
      </c>
      <c r="BH8" s="69">
        <v>-5</v>
      </c>
      <c r="BK8" s="223" t="s">
        <v>1015</v>
      </c>
      <c r="BL8" s="223">
        <f>SUM(BL24:BL30)</f>
        <v>216.62</v>
      </c>
      <c r="BM8" s="256" t="s">
        <v>1286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1286</v>
      </c>
      <c r="BT8" s="277">
        <v>-25</v>
      </c>
      <c r="BW8" s="223" t="s">
        <v>1015</v>
      </c>
      <c r="BX8" s="223">
        <f>SUM(BX24:BX30)</f>
        <v>325.44</v>
      </c>
      <c r="BY8" s="256" t="s">
        <v>1286</v>
      </c>
      <c r="BZ8" s="69">
        <v>-22</v>
      </c>
      <c r="CA8" s="6" t="s">
        <v>1293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1286</v>
      </c>
      <c r="CF8" s="69">
        <v>-12</v>
      </c>
      <c r="CG8" s="9" t="s">
        <v>1069</v>
      </c>
      <c r="CI8" s="223" t="s">
        <v>1015</v>
      </c>
      <c r="CJ8" s="223">
        <f>SUM(CJ23:CJ30)</f>
        <v>567.42099999999994</v>
      </c>
      <c r="CK8" s="256" t="s">
        <v>1286</v>
      </c>
      <c r="CL8" s="69">
        <v>-15</v>
      </c>
      <c r="CM8" s="9" t="s">
        <v>1069</v>
      </c>
      <c r="CO8" s="223" t="s">
        <v>1015</v>
      </c>
      <c r="CP8" s="223">
        <f>SUM(CP22:CP28)</f>
        <v>440.99099999999999</v>
      </c>
      <c r="CQ8" s="256" t="s">
        <v>1286</v>
      </c>
      <c r="CR8" s="69">
        <v>-21</v>
      </c>
      <c r="CS8" s="9" t="s">
        <v>1069</v>
      </c>
      <c r="CU8" s="223" t="s">
        <v>1015</v>
      </c>
      <c r="CV8" s="223">
        <f>SUM(CV20:CV26)</f>
        <v>450.45100000000002</v>
      </c>
      <c r="CW8" s="186" t="s">
        <v>1286</v>
      </c>
      <c r="CX8" s="64">
        <v>-18</v>
      </c>
      <c r="CY8" s="9" t="s">
        <v>1069</v>
      </c>
      <c r="DA8" s="303" t="s">
        <v>1409</v>
      </c>
      <c r="DB8" s="223">
        <f>DB17</f>
        <v>288.75</v>
      </c>
      <c r="DC8" s="186" t="s">
        <v>1407</v>
      </c>
      <c r="DD8" s="64">
        <v>15000</v>
      </c>
      <c r="DE8" s="9" t="s">
        <v>1069</v>
      </c>
      <c r="DG8" s="303" t="s">
        <v>1409</v>
      </c>
      <c r="DH8" s="309">
        <f>SUM(DH24:DH26)</f>
        <v>566.44000000000005</v>
      </c>
      <c r="DI8" s="186" t="s">
        <v>1407</v>
      </c>
      <c r="DJ8" s="69">
        <v>0</v>
      </c>
      <c r="DK8" s="9" t="s">
        <v>1069</v>
      </c>
      <c r="DM8" s="303" t="s">
        <v>1409</v>
      </c>
      <c r="DN8" s="309">
        <f>SUM(DN20:DN21)</f>
        <v>2874.05</v>
      </c>
      <c r="DO8" s="1" t="s">
        <v>1147</v>
      </c>
      <c r="DP8" s="78">
        <v>2140.8000000000002</v>
      </c>
      <c r="DQ8" s="276" t="s">
        <v>1597</v>
      </c>
      <c r="DS8" s="340" t="s">
        <v>365</v>
      </c>
      <c r="DT8" s="339">
        <f>SUM(DT14:DT18)</f>
        <v>36900.06</v>
      </c>
      <c r="DU8" s="7" t="s">
        <v>1429</v>
      </c>
      <c r="DV8" s="78" t="s">
        <v>1559</v>
      </c>
      <c r="DW8" s="60" t="s">
        <v>1597</v>
      </c>
      <c r="DY8" s="343" t="s">
        <v>1409</v>
      </c>
      <c r="DZ8">
        <f>SUM(DZ14:DZ14)</f>
        <v>0</v>
      </c>
      <c r="EA8" s="63" t="s">
        <v>1164</v>
      </c>
      <c r="EB8" s="63"/>
      <c r="EC8" t="s">
        <v>1578</v>
      </c>
      <c r="ED8">
        <v>42</v>
      </c>
      <c r="EE8" s="343" t="s">
        <v>1409</v>
      </c>
      <c r="EF8">
        <f>SUM(EF14:EF14)</f>
        <v>0</v>
      </c>
      <c r="EH8" t="s">
        <v>1147</v>
      </c>
      <c r="EI8" s="6">
        <v>441</v>
      </c>
      <c r="EJ8" t="s">
        <v>1334</v>
      </c>
      <c r="EL8" s="357" t="s">
        <v>1409</v>
      </c>
      <c r="EM8">
        <f>SUM(EM15:EM15)</f>
        <v>1476</v>
      </c>
      <c r="EN8" t="s">
        <v>1147</v>
      </c>
      <c r="EO8" s="6">
        <v>441</v>
      </c>
      <c r="EP8" t="s">
        <v>1578</v>
      </c>
      <c r="EQ8">
        <v>40</v>
      </c>
      <c r="ER8" s="355" t="s">
        <v>1702</v>
      </c>
      <c r="ES8" s="145">
        <f>SUM(ES17:ES24)</f>
        <v>368.37999999999994</v>
      </c>
      <c r="ET8" t="s">
        <v>1700</v>
      </c>
      <c r="EU8" s="6">
        <v>441</v>
      </c>
      <c r="EV8" t="s">
        <v>1578</v>
      </c>
      <c r="EW8">
        <v>38</v>
      </c>
      <c r="EX8" s="355" t="s">
        <v>1702</v>
      </c>
      <c r="EY8" s="145">
        <f>SUM(EY16:EY23)</f>
        <v>667.03</v>
      </c>
      <c r="EZ8" t="s">
        <v>1700</v>
      </c>
      <c r="FA8" s="6">
        <v>441</v>
      </c>
      <c r="FB8" t="s">
        <v>1578</v>
      </c>
      <c r="FC8">
        <v>45</v>
      </c>
      <c r="FD8" s="355" t="s">
        <v>1702</v>
      </c>
      <c r="FE8" s="145">
        <f>SUM(FE17:FE23)</f>
        <v>397.78999999999996</v>
      </c>
      <c r="FF8" t="s">
        <v>1700</v>
      </c>
      <c r="FG8" s="6">
        <f>333+1092</f>
        <v>1425</v>
      </c>
      <c r="FH8" s="60" t="s">
        <v>1597</v>
      </c>
      <c r="FJ8" s="355" t="s">
        <v>1702</v>
      </c>
      <c r="FK8">
        <f>SUM(FK16:FK23)</f>
        <v>474.22999999999996</v>
      </c>
      <c r="FL8" s="66" t="s">
        <v>1523</v>
      </c>
      <c r="FM8">
        <v>2818</v>
      </c>
      <c r="FN8" t="s">
        <v>1859</v>
      </c>
      <c r="FO8" s="248">
        <v>20000</v>
      </c>
      <c r="FP8" s="401" t="s">
        <v>1977</v>
      </c>
      <c r="FQ8" s="293">
        <f>SUM(FQ14:FQ15)</f>
        <v>11000</v>
      </c>
      <c r="FR8" s="66" t="s">
        <v>1544</v>
      </c>
      <c r="FS8">
        <v>1240</v>
      </c>
      <c r="FT8" t="s">
        <v>1956</v>
      </c>
      <c r="FU8" s="248"/>
      <c r="FV8" s="401" t="s">
        <v>1977</v>
      </c>
      <c r="FW8" s="293">
        <f>SUM(FW14:FW16)</f>
        <v>69300</v>
      </c>
      <c r="FX8" s="6" t="s">
        <v>1911</v>
      </c>
      <c r="FY8">
        <v>-52</v>
      </c>
      <c r="GA8" s="248"/>
      <c r="GB8" s="401" t="s">
        <v>1977</v>
      </c>
      <c r="GC8" s="293">
        <f>SUM(GC15)</f>
        <v>63477.54</v>
      </c>
      <c r="GD8" s="6" t="s">
        <v>1911</v>
      </c>
      <c r="GE8" s="366">
        <v>30</v>
      </c>
      <c r="GF8" t="s">
        <v>1997</v>
      </c>
      <c r="GG8" s="248">
        <v>30</v>
      </c>
      <c r="GH8" s="401" t="s">
        <v>1977</v>
      </c>
      <c r="GI8" s="293">
        <f>SUM(GI15)</f>
        <v>0</v>
      </c>
      <c r="GJ8" s="6" t="s">
        <v>2001</v>
      </c>
      <c r="GK8" s="366">
        <v>300</v>
      </c>
      <c r="GN8" s="401" t="s">
        <v>1977</v>
      </c>
      <c r="GO8" s="293">
        <f>SUM(GO14)</f>
        <v>0</v>
      </c>
      <c r="GP8" s="6" t="s">
        <v>2001</v>
      </c>
      <c r="GQ8" s="366">
        <v>29.05</v>
      </c>
      <c r="GR8" t="s">
        <v>2116</v>
      </c>
      <c r="GS8">
        <v>4000</v>
      </c>
      <c r="GT8" s="401" t="s">
        <v>1977</v>
      </c>
      <c r="GU8" s="293">
        <f>SUM(GU16:GU17)</f>
        <v>84255</v>
      </c>
      <c r="GV8" s="6" t="s">
        <v>2001</v>
      </c>
      <c r="GW8" s="366">
        <v>29.05</v>
      </c>
      <c r="GZ8" s="401" t="s">
        <v>1977</v>
      </c>
      <c r="HA8" s="293">
        <f>SUM(HA14:HA14)</f>
        <v>2104.9333333333334</v>
      </c>
      <c r="HB8" s="1" t="s">
        <v>1647</v>
      </c>
      <c r="HC8" s="145">
        <v>-898</v>
      </c>
      <c r="HD8" s="60" t="s">
        <v>1597</v>
      </c>
      <c r="HF8" s="401" t="s">
        <v>1977</v>
      </c>
      <c r="HG8" s="293">
        <f>SUM(HG14:HG16)</f>
        <v>3184.9333333333334</v>
      </c>
      <c r="HH8" s="6" t="s">
        <v>2001</v>
      </c>
      <c r="HI8" s="366">
        <v>38</v>
      </c>
      <c r="HJ8" t="s">
        <v>1625</v>
      </c>
      <c r="HL8" s="252" t="s">
        <v>2192</v>
      </c>
      <c r="HM8">
        <v>345.6</v>
      </c>
      <c r="HN8" s="1" t="s">
        <v>1647</v>
      </c>
      <c r="HO8" s="145">
        <v>-540</v>
      </c>
      <c r="HQ8" s="248"/>
      <c r="HR8" s="353" t="s">
        <v>2034</v>
      </c>
      <c r="HS8">
        <v>1059.3</v>
      </c>
      <c r="HT8" s="1" t="s">
        <v>1647</v>
      </c>
      <c r="HU8" s="145">
        <v>-1653</v>
      </c>
      <c r="HV8" t="s">
        <v>2283</v>
      </c>
      <c r="HW8" s="52">
        <v>2.1</v>
      </c>
      <c r="HX8" s="358" t="s">
        <v>1014</v>
      </c>
      <c r="HY8">
        <v>1900.1</v>
      </c>
      <c r="HZ8" s="6" t="s">
        <v>2001</v>
      </c>
      <c r="IA8" s="366">
        <v>0</v>
      </c>
      <c r="IB8" t="s">
        <v>2363</v>
      </c>
      <c r="IC8" s="537"/>
      <c r="ID8" s="402" t="s">
        <v>2349</v>
      </c>
      <c r="IE8">
        <v>5.73</v>
      </c>
      <c r="IF8" s="6" t="s">
        <v>1855</v>
      </c>
      <c r="IG8" s="541">
        <v>2499</v>
      </c>
      <c r="II8" s="537"/>
      <c r="IJ8" s="358" t="s">
        <v>1014</v>
      </c>
      <c r="IK8">
        <v>1900.12</v>
      </c>
      <c r="IL8" s="6" t="s">
        <v>1911</v>
      </c>
      <c r="IM8" s="366">
        <v>0</v>
      </c>
      <c r="IN8" t="s">
        <v>2520</v>
      </c>
      <c r="IO8" s="537">
        <v>36.42</v>
      </c>
      <c r="IP8" s="358" t="s">
        <v>1014</v>
      </c>
      <c r="IQ8" s="61">
        <v>1900.01</v>
      </c>
      <c r="IR8" s="1" t="s">
        <v>1647</v>
      </c>
      <c r="IS8" s="636">
        <v>-3061</v>
      </c>
      <c r="IU8" s="537"/>
      <c r="IV8" s="358" t="s">
        <v>2665</v>
      </c>
      <c r="IW8" s="61">
        <v>2000</v>
      </c>
      <c r="IX8" s="626" t="s">
        <v>2461</v>
      </c>
      <c r="IY8" s="275">
        <v>360000</v>
      </c>
      <c r="IZ8" s="684" t="s">
        <v>2675</v>
      </c>
      <c r="JA8" s="537"/>
      <c r="JB8" s="358" t="s">
        <v>2705</v>
      </c>
      <c r="JC8" s="61"/>
      <c r="JD8" s="684" t="s">
        <v>2461</v>
      </c>
      <c r="JE8" s="275">
        <v>505000</v>
      </c>
      <c r="JF8" s="668">
        <v>44974</v>
      </c>
    </row>
    <row r="9" spans="1:267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1074</v>
      </c>
      <c r="T9" s="84">
        <v>200.001</v>
      </c>
      <c r="W9" s="145" t="s">
        <v>1015</v>
      </c>
      <c r="X9" s="145">
        <f>SUM(X26:X30)</f>
        <v>396.68999999999994</v>
      </c>
      <c r="Y9" s="1" t="s">
        <v>1074</v>
      </c>
      <c r="Z9" s="84">
        <v>150.001</v>
      </c>
      <c r="AA9" t="s">
        <v>1091</v>
      </c>
      <c r="AB9">
        <v>0</v>
      </c>
      <c r="AC9" s="145" t="s">
        <v>1017</v>
      </c>
      <c r="AD9" s="145">
        <f>SUM(AD15:AD18)</f>
        <v>0</v>
      </c>
      <c r="AE9" s="1" t="s">
        <v>1074</v>
      </c>
      <c r="AF9" s="84">
        <v>200.001</v>
      </c>
      <c r="AG9" t="s">
        <v>1091</v>
      </c>
      <c r="AH9">
        <v>0</v>
      </c>
      <c r="AI9" s="145" t="s">
        <v>1017</v>
      </c>
      <c r="AJ9" s="145">
        <f>SUM(AJ15:AJ18)</f>
        <v>0</v>
      </c>
      <c r="AK9" s="254" t="s">
        <v>1074</v>
      </c>
      <c r="AL9" s="257">
        <v>250</v>
      </c>
      <c r="AM9" t="s">
        <v>2076</v>
      </c>
      <c r="AN9">
        <v>80</v>
      </c>
      <c r="AO9" s="145" t="s">
        <v>1017</v>
      </c>
      <c r="AP9" s="145">
        <f>SUM(AP21:AP25)</f>
        <v>465</v>
      </c>
      <c r="AQ9" s="254" t="s">
        <v>1074</v>
      </c>
      <c r="AR9" s="257">
        <v>100</v>
      </c>
      <c r="AS9" t="s">
        <v>1069</v>
      </c>
      <c r="AU9" s="145" t="s">
        <v>1017</v>
      </c>
      <c r="AV9" s="145">
        <f>SUM(AV21:AV25)</f>
        <v>522</v>
      </c>
      <c r="AW9" s="254" t="s">
        <v>1074</v>
      </c>
      <c r="AX9" s="257">
        <v>200</v>
      </c>
      <c r="BA9" s="254" t="s">
        <v>1074</v>
      </c>
      <c r="BB9" s="64">
        <f t="shared" si="0"/>
        <v>200</v>
      </c>
      <c r="BC9" t="s">
        <v>1069</v>
      </c>
      <c r="BE9" s="145" t="s">
        <v>1017</v>
      </c>
      <c r="BF9" s="145">
        <f>SUM(BF19:BF23)</f>
        <v>1641.3799999999999</v>
      </c>
      <c r="BG9" s="254" t="s">
        <v>1074</v>
      </c>
      <c r="BH9" s="257">
        <v>150</v>
      </c>
      <c r="BI9" s="9" t="s">
        <v>1069</v>
      </c>
      <c r="BK9" s="223" t="s">
        <v>1017</v>
      </c>
      <c r="BL9" s="223">
        <f>SUM(BL19:BL23)</f>
        <v>387</v>
      </c>
      <c r="BM9" s="254" t="s">
        <v>1074</v>
      </c>
      <c r="BN9" s="257">
        <v>90</v>
      </c>
      <c r="BO9" s="9" t="s">
        <v>1069</v>
      </c>
      <c r="BQ9" s="223" t="s">
        <v>1017</v>
      </c>
      <c r="BR9" s="223">
        <f>SUM(BR19:BR23)</f>
        <v>452</v>
      </c>
      <c r="BS9" s="254" t="s">
        <v>1074</v>
      </c>
      <c r="BT9" s="278">
        <v>100</v>
      </c>
      <c r="BU9" s="9" t="s">
        <v>1069</v>
      </c>
      <c r="BW9" s="223" t="s">
        <v>1017</v>
      </c>
      <c r="BX9" s="223">
        <f>SUM(BX19:BX23)</f>
        <v>172</v>
      </c>
      <c r="BY9" s="254" t="s">
        <v>1074</v>
      </c>
      <c r="BZ9" s="70">
        <v>60</v>
      </c>
      <c r="CA9" s="9" t="s">
        <v>1069</v>
      </c>
      <c r="CC9" s="223" t="s">
        <v>1017</v>
      </c>
      <c r="CD9" s="223">
        <f>SUM(CD19:CD23)</f>
        <v>215</v>
      </c>
      <c r="CE9" s="254" t="s">
        <v>1074</v>
      </c>
      <c r="CF9" s="70">
        <v>110</v>
      </c>
      <c r="CG9" s="9" t="s">
        <v>1111</v>
      </c>
      <c r="CH9" s="9">
        <v>70</v>
      </c>
      <c r="CI9" s="223" t="s">
        <v>1017</v>
      </c>
      <c r="CJ9" s="223">
        <f>SUM(CJ20:CJ22)</f>
        <v>1488.1</v>
      </c>
      <c r="CK9" s="254" t="s">
        <v>1074</v>
      </c>
      <c r="CL9" s="70">
        <v>100</v>
      </c>
      <c r="CM9" s="9" t="s">
        <v>1111</v>
      </c>
      <c r="CN9" s="9">
        <v>63</v>
      </c>
      <c r="CO9" s="223" t="s">
        <v>1017</v>
      </c>
      <c r="CP9" s="223">
        <f>SUM(CP19:CP21)</f>
        <v>0</v>
      </c>
      <c r="CQ9" s="254" t="s">
        <v>1074</v>
      </c>
      <c r="CR9" s="70">
        <v>80</v>
      </c>
      <c r="CS9" s="9" t="s">
        <v>1387</v>
      </c>
      <c r="CT9" s="9">
        <v>60.96</v>
      </c>
      <c r="CU9" s="223" t="s">
        <v>1017</v>
      </c>
      <c r="CV9" s="223">
        <f>SUM(CV18:CV19)</f>
        <v>615.20000000000005</v>
      </c>
      <c r="CW9" s="1" t="s">
        <v>1147</v>
      </c>
      <c r="CX9" s="78">
        <v>2090.39</v>
      </c>
      <c r="CY9" s="9" t="s">
        <v>1387</v>
      </c>
      <c r="CZ9" s="9">
        <v>62</v>
      </c>
      <c r="DA9" s="300" t="s">
        <v>1017</v>
      </c>
      <c r="DB9" s="223">
        <f>SUM(DB18:DB18)</f>
        <v>1316.1</v>
      </c>
      <c r="DC9" s="186" t="s">
        <v>1286</v>
      </c>
      <c r="DD9" s="64">
        <v>-222</v>
      </c>
      <c r="DE9" s="9" t="s">
        <v>1387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1286</v>
      </c>
      <c r="DJ9" s="64">
        <v>0</v>
      </c>
      <c r="DK9" s="9" t="s">
        <v>1387</v>
      </c>
      <c r="DL9" s="9">
        <v>63</v>
      </c>
      <c r="DM9" s="300" t="s">
        <v>1598</v>
      </c>
      <c r="DN9" s="309">
        <f>SUM(DN22:DN24)</f>
        <v>189.2</v>
      </c>
      <c r="DO9" s="7" t="s">
        <v>1429</v>
      </c>
      <c r="DP9" s="78">
        <v>15108</v>
      </c>
      <c r="DQ9" s="9" t="s">
        <v>1578</v>
      </c>
      <c r="DR9" s="9">
        <v>64</v>
      </c>
      <c r="DS9" s="303" t="s">
        <v>1409</v>
      </c>
      <c r="DT9" s="309">
        <f>SUM(DT19:DT19)</f>
        <v>382</v>
      </c>
      <c r="DU9" s="63" t="s">
        <v>1164</v>
      </c>
      <c r="DV9" s="64"/>
      <c r="DW9" t="s">
        <v>1578</v>
      </c>
      <c r="DX9">
        <v>38</v>
      </c>
      <c r="DY9" s="249" t="s">
        <v>1598</v>
      </c>
      <c r="DZ9">
        <f>SUM(DZ15:DZ15)</f>
        <v>0</v>
      </c>
      <c r="EA9" s="63" t="s">
        <v>1112</v>
      </c>
      <c r="EB9" s="63">
        <v>-252</v>
      </c>
      <c r="EE9" s="249" t="s">
        <v>1598</v>
      </c>
      <c r="EF9">
        <f>SUM(EF15:EF15)</f>
        <v>0</v>
      </c>
      <c r="EH9" s="66" t="s">
        <v>1429</v>
      </c>
      <c r="EI9" s="6">
        <v>0</v>
      </c>
      <c r="EJ9" s="6" t="s">
        <v>1671</v>
      </c>
      <c r="EK9">
        <v>5</v>
      </c>
      <c r="EL9" s="354" t="s">
        <v>1699</v>
      </c>
      <c r="EM9">
        <f>SUM(EM16:EM16)</f>
        <v>28.119999999999997</v>
      </c>
      <c r="EN9" s="66" t="s">
        <v>1429</v>
      </c>
      <c r="EO9" s="6">
        <v>0</v>
      </c>
      <c r="ER9" s="356" t="s">
        <v>1701</v>
      </c>
      <c r="ES9" s="145">
        <f>SUM(ES25:ES25)</f>
        <v>0</v>
      </c>
      <c r="ET9" s="66" t="s">
        <v>1429</v>
      </c>
      <c r="EU9" s="6">
        <v>0</v>
      </c>
      <c r="EX9" s="356" t="s">
        <v>1701</v>
      </c>
      <c r="EY9" s="145">
        <f>SUM(EY24:EY26)</f>
        <v>59.949999999999996</v>
      </c>
      <c r="EZ9" s="66" t="s">
        <v>1429</v>
      </c>
      <c r="FA9" s="6">
        <v>0</v>
      </c>
      <c r="FD9" s="356" t="s">
        <v>1701</v>
      </c>
      <c r="FE9" s="145">
        <f>SUM(FE24:FE27)</f>
        <v>117.02</v>
      </c>
      <c r="FF9" s="66" t="s">
        <v>1429</v>
      </c>
      <c r="FG9" s="6">
        <v>0</v>
      </c>
      <c r="FH9" t="s">
        <v>1578</v>
      </c>
      <c r="FI9">
        <v>40</v>
      </c>
      <c r="FJ9" s="356" t="s">
        <v>1701</v>
      </c>
      <c r="FK9">
        <f>SUM(FK24:FK29)</f>
        <v>174.32999999999998</v>
      </c>
      <c r="FL9" t="s">
        <v>1700</v>
      </c>
      <c r="FM9" s="6">
        <f>283+1126</f>
        <v>1409</v>
      </c>
      <c r="FO9" s="248"/>
      <c r="FP9" s="355" t="s">
        <v>1702</v>
      </c>
      <c r="FQ9">
        <f>SUM(FQ19:FQ26)</f>
        <v>550.22</v>
      </c>
      <c r="FR9" s="66" t="s">
        <v>1523</v>
      </c>
      <c r="FS9">
        <v>3754</v>
      </c>
      <c r="FT9" t="s">
        <v>1948</v>
      </c>
      <c r="FU9">
        <v>148</v>
      </c>
      <c r="FV9" s="355" t="s">
        <v>1702</v>
      </c>
      <c r="FW9">
        <f>SUM(FW19:FW26)</f>
        <v>363.97</v>
      </c>
      <c r="FX9" s="1" t="s">
        <v>1648</v>
      </c>
      <c r="FY9" s="366">
        <v>27.53</v>
      </c>
      <c r="FZ9" t="s">
        <v>1974</v>
      </c>
      <c r="GA9" s="248">
        <v>338</v>
      </c>
      <c r="GB9" s="355" t="s">
        <v>1702</v>
      </c>
      <c r="GC9">
        <f>SUM(GC19:GC27)</f>
        <v>540.84999999999991</v>
      </c>
      <c r="GD9" s="1" t="s">
        <v>1648</v>
      </c>
      <c r="GE9" s="366">
        <v>27.53</v>
      </c>
      <c r="GF9" t="s">
        <v>2010</v>
      </c>
      <c r="GH9" s="355" t="s">
        <v>1702</v>
      </c>
      <c r="GI9">
        <f>SUM(GI19:GI28)</f>
        <v>548.71</v>
      </c>
      <c r="GJ9" s="6" t="s">
        <v>1911</v>
      </c>
      <c r="GK9" s="366">
        <v>30</v>
      </c>
      <c r="GL9" t="s">
        <v>2082</v>
      </c>
      <c r="GM9">
        <v>1000.01</v>
      </c>
      <c r="GN9" s="355" t="s">
        <v>1702</v>
      </c>
      <c r="GO9">
        <f>SUM(GO20:GO28)</f>
        <v>454.79999999999995</v>
      </c>
      <c r="GP9" s="6" t="s">
        <v>1911</v>
      </c>
      <c r="GQ9" s="366">
        <v>30</v>
      </c>
      <c r="GT9" s="355" t="s">
        <v>1702</v>
      </c>
      <c r="GU9">
        <f>SUM(GU18:GU25)</f>
        <v>427.03000000000003</v>
      </c>
      <c r="GV9" s="6" t="s">
        <v>1911</v>
      </c>
      <c r="GW9" s="366">
        <v>30</v>
      </c>
      <c r="GX9" s="60" t="s">
        <v>1597</v>
      </c>
      <c r="GZ9" s="355" t="s">
        <v>1702</v>
      </c>
      <c r="HA9" s="420">
        <f>SUM(HA19:HA25)</f>
        <v>880.40666666666687</v>
      </c>
      <c r="HB9" s="6" t="s">
        <v>2001</v>
      </c>
      <c r="HC9" s="366">
        <v>38</v>
      </c>
      <c r="HD9" t="s">
        <v>2162</v>
      </c>
      <c r="HE9">
        <f>63.92+6.4</f>
        <v>70.320000000000007</v>
      </c>
      <c r="HF9" s="355" t="s">
        <v>1702</v>
      </c>
      <c r="HG9" s="420">
        <f>SUM(HG20:HG27)</f>
        <v>957.34666666666681</v>
      </c>
      <c r="HH9" s="6" t="s">
        <v>1911</v>
      </c>
      <c r="HI9" s="366">
        <v>30</v>
      </c>
      <c r="HJ9" s="260" t="s">
        <v>2248</v>
      </c>
      <c r="HK9">
        <f>86</f>
        <v>86</v>
      </c>
      <c r="HL9" s="252" t="s">
        <v>2089</v>
      </c>
      <c r="HM9" s="420">
        <f>HM10*5</f>
        <v>2104.9333333333334</v>
      </c>
      <c r="HN9" s="6" t="s">
        <v>2001</v>
      </c>
      <c r="HO9" s="366">
        <v>0</v>
      </c>
      <c r="HP9" t="s">
        <v>1625</v>
      </c>
      <c r="HR9" s="353" t="s">
        <v>2258</v>
      </c>
      <c r="HS9">
        <v>807.85</v>
      </c>
      <c r="HT9" s="6" t="s">
        <v>2001</v>
      </c>
      <c r="HU9" s="366">
        <v>0</v>
      </c>
      <c r="HV9" t="s">
        <v>2313</v>
      </c>
      <c r="HW9" s="52">
        <v>2.0299999999999998</v>
      </c>
      <c r="HX9" s="353" t="s">
        <v>2378</v>
      </c>
      <c r="HY9">
        <v>535</v>
      </c>
      <c r="HZ9" s="6" t="s">
        <v>1911</v>
      </c>
      <c r="IA9" s="366">
        <v>14.67</v>
      </c>
      <c r="IB9" t="s">
        <v>2181</v>
      </c>
      <c r="IC9" s="537">
        <v>50</v>
      </c>
      <c r="ID9" s="353" t="s">
        <v>2379</v>
      </c>
      <c r="IE9">
        <v>32.1</v>
      </c>
      <c r="IF9" s="66" t="s">
        <v>1522</v>
      </c>
      <c r="IG9" s="2">
        <v>817</v>
      </c>
      <c r="IH9" t="s">
        <v>2448</v>
      </c>
      <c r="IJ9" s="561" t="s">
        <v>2423</v>
      </c>
      <c r="IK9" s="351">
        <f>6+5+3+10+7</f>
        <v>31</v>
      </c>
      <c r="IL9" s="327" t="s">
        <v>1648</v>
      </c>
      <c r="IM9" s="416">
        <v>0.08</v>
      </c>
      <c r="IN9" t="s">
        <v>2577</v>
      </c>
      <c r="IO9">
        <f>9.9+76.9</f>
        <v>86.800000000000011</v>
      </c>
      <c r="IP9" s="358" t="s">
        <v>2528</v>
      </c>
      <c r="IQ9" s="61">
        <v>2000</v>
      </c>
      <c r="IR9" s="6" t="s">
        <v>2575</v>
      </c>
      <c r="IS9" s="366">
        <v>116</v>
      </c>
      <c r="IT9" s="626" t="s">
        <v>2576</v>
      </c>
      <c r="IU9" s="537"/>
      <c r="IV9" s="402" t="s">
        <v>2664</v>
      </c>
      <c r="IW9" s="578">
        <v>2000</v>
      </c>
      <c r="IX9" s="327" t="s">
        <v>2504</v>
      </c>
      <c r="IY9" s="681">
        <v>-49.87</v>
      </c>
      <c r="IZ9" s="684" t="s">
        <v>2699</v>
      </c>
      <c r="JB9" s="402" t="s">
        <v>2703</v>
      </c>
      <c r="JC9" s="578"/>
      <c r="JD9" s="327" t="s">
        <v>2504</v>
      </c>
      <c r="JE9" s="637">
        <v>-49.87</v>
      </c>
      <c r="JF9" s="668"/>
    </row>
    <row r="10" spans="1:267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1147</v>
      </c>
      <c r="AF10" s="84">
        <v>430</v>
      </c>
      <c r="AI10" s="145" t="s">
        <v>1018</v>
      </c>
      <c r="AJ10" s="145">
        <f>SUM(AJ14:AJ14)</f>
        <v>0</v>
      </c>
      <c r="AK10" s="1" t="s">
        <v>1147</v>
      </c>
      <c r="AL10" s="84">
        <v>438</v>
      </c>
      <c r="AM10" t="s">
        <v>1151</v>
      </c>
      <c r="AN10">
        <v>93.09</v>
      </c>
      <c r="AO10" s="145" t="s">
        <v>1018</v>
      </c>
      <c r="AP10" s="145">
        <f>SUM(AP18:AP20)</f>
        <v>2878.86</v>
      </c>
      <c r="AQ10" s="1" t="s">
        <v>1147</v>
      </c>
      <c r="AR10" s="84">
        <v>1920</v>
      </c>
      <c r="AS10" t="s">
        <v>1111</v>
      </c>
      <c r="AT10">
        <v>80</v>
      </c>
      <c r="AU10" s="145" t="s">
        <v>1018</v>
      </c>
      <c r="AV10" s="145">
        <f>SUM(AV19:AV20)</f>
        <v>42.53</v>
      </c>
      <c r="AW10" s="1" t="s">
        <v>1147</v>
      </c>
      <c r="AX10" s="262">
        <v>1945.63</v>
      </c>
      <c r="BA10" s="1" t="s">
        <v>1147</v>
      </c>
      <c r="BB10" s="64">
        <f t="shared" si="0"/>
        <v>1945.63</v>
      </c>
      <c r="BC10" t="s">
        <v>1219</v>
      </c>
      <c r="BD10">
        <v>80</v>
      </c>
      <c r="BE10" s="145" t="s">
        <v>1018</v>
      </c>
      <c r="BF10" s="145">
        <f>BF17</f>
        <v>420</v>
      </c>
      <c r="BG10" s="1" t="s">
        <v>1147</v>
      </c>
      <c r="BH10" s="262">
        <v>2242.7399999999998</v>
      </c>
      <c r="BI10" s="9" t="s">
        <v>1111</v>
      </c>
      <c r="BJ10" s="9">
        <v>63.86</v>
      </c>
      <c r="BK10" s="223" t="s">
        <v>1018</v>
      </c>
      <c r="BL10" s="223">
        <f>BL17</f>
        <v>459</v>
      </c>
      <c r="BM10" s="1" t="s">
        <v>1147</v>
      </c>
      <c r="BN10" s="262">
        <v>2242.85</v>
      </c>
      <c r="BO10" s="9" t="s">
        <v>1111</v>
      </c>
      <c r="BP10" s="9">
        <v>52</v>
      </c>
      <c r="BQ10" s="223" t="s">
        <v>1018</v>
      </c>
      <c r="BR10" s="223" t="str">
        <f>BR17</f>
        <v>none</v>
      </c>
      <c r="BS10" s="1" t="s">
        <v>1147</v>
      </c>
      <c r="BT10" s="279">
        <v>2290</v>
      </c>
      <c r="BU10" s="9" t="s">
        <v>1111</v>
      </c>
      <c r="BV10" s="9">
        <v>30</v>
      </c>
      <c r="BW10" s="223" t="s">
        <v>1018</v>
      </c>
      <c r="BX10" s="223">
        <f>BX17</f>
        <v>1476</v>
      </c>
      <c r="BY10" s="1" t="s">
        <v>1147</v>
      </c>
      <c r="BZ10" s="84">
        <v>2290.09</v>
      </c>
      <c r="CA10" s="9" t="s">
        <v>1111</v>
      </c>
      <c r="CB10" s="9">
        <v>67</v>
      </c>
      <c r="CC10" s="223" t="s">
        <v>1018</v>
      </c>
      <c r="CD10" s="223" t="str">
        <f>CD17</f>
        <v>none</v>
      </c>
      <c r="CE10" s="1" t="s">
        <v>1147</v>
      </c>
      <c r="CF10" s="84">
        <v>2290</v>
      </c>
      <c r="CI10" s="223" t="s">
        <v>1018</v>
      </c>
      <c r="CJ10" s="223">
        <f>CJ18</f>
        <v>0</v>
      </c>
      <c r="CK10" s="1" t="s">
        <v>1147</v>
      </c>
      <c r="CL10" s="84">
        <v>2290</v>
      </c>
      <c r="CO10" s="223" t="s">
        <v>1018</v>
      </c>
      <c r="CP10" s="223" t="str">
        <f>CP17</f>
        <v>none</v>
      </c>
      <c r="CQ10" s="1" t="s">
        <v>1147</v>
      </c>
      <c r="CR10" s="84">
        <v>2090</v>
      </c>
      <c r="CU10" s="223" t="s">
        <v>1018</v>
      </c>
      <c r="CV10" s="223">
        <f>SUM(CV17)</f>
        <v>0</v>
      </c>
      <c r="CW10" s="7" t="s">
        <v>1331</v>
      </c>
      <c r="CX10" s="78">
        <v>3000</v>
      </c>
      <c r="DA10" s="272" t="s">
        <v>1418</v>
      </c>
      <c r="DB10" s="223">
        <f>SUM(DB19:DB25)</f>
        <v>428.57</v>
      </c>
      <c r="DC10" s="1" t="s">
        <v>1147</v>
      </c>
      <c r="DD10" s="299">
        <v>2090</v>
      </c>
      <c r="DE10" s="9" t="s">
        <v>1488</v>
      </c>
      <c r="DF10" s="9">
        <v>76</v>
      </c>
      <c r="DG10" s="272" t="s">
        <v>1418</v>
      </c>
      <c r="DH10" s="309">
        <f>SUM(DH30:DH36)</f>
        <v>808.02</v>
      </c>
      <c r="DI10" s="1" t="s">
        <v>1147</v>
      </c>
      <c r="DJ10" s="78">
        <v>2140.8000000000002</v>
      </c>
      <c r="DK10" s="9" t="s">
        <v>1528</v>
      </c>
      <c r="DL10" s="9">
        <v>100</v>
      </c>
      <c r="DM10" s="272" t="s">
        <v>1599</v>
      </c>
      <c r="DN10" s="309">
        <f>SUM(DN25:DN31)</f>
        <v>512.1</v>
      </c>
      <c r="DO10" s="63" t="s">
        <v>1164</v>
      </c>
      <c r="DP10" s="64"/>
      <c r="DS10" s="300" t="s">
        <v>1598</v>
      </c>
      <c r="DT10" s="309">
        <f>SUM(DT49:DT49)</f>
        <v>0</v>
      </c>
      <c r="DU10" s="63" t="s">
        <v>1112</v>
      </c>
      <c r="DV10" s="64">
        <v>-2372</v>
      </c>
      <c r="DY10" s="250" t="s">
        <v>1599</v>
      </c>
      <c r="DZ10">
        <f>SUM(DZ16:DZ22)</f>
        <v>416.04999999999995</v>
      </c>
      <c r="EA10" s="63" t="s">
        <v>129</v>
      </c>
      <c r="EB10" s="63">
        <v>0</v>
      </c>
      <c r="EC10" t="s">
        <v>1625</v>
      </c>
      <c r="EE10" s="250" t="s">
        <v>1599</v>
      </c>
      <c r="EF10">
        <f>SUM(EF16:EF22)</f>
        <v>557.96</v>
      </c>
      <c r="EH10" s="1" t="s">
        <v>1642</v>
      </c>
      <c r="EI10">
        <v>160</v>
      </c>
      <c r="EL10" s="250" t="s">
        <v>1698</v>
      </c>
      <c r="EM10">
        <f>SUM(EM17:EM24)</f>
        <v>437.86</v>
      </c>
      <c r="EN10" s="1" t="s">
        <v>1642</v>
      </c>
      <c r="EO10">
        <v>70</v>
      </c>
      <c r="EP10" t="s">
        <v>1625</v>
      </c>
      <c r="ER10" s="354" t="s">
        <v>1699</v>
      </c>
      <c r="ES10" s="145">
        <f>SUM(ES15:ES16)</f>
        <v>1743.4</v>
      </c>
      <c r="ET10" s="1" t="s">
        <v>1642</v>
      </c>
      <c r="EU10">
        <v>260</v>
      </c>
      <c r="EV10" t="s">
        <v>1625</v>
      </c>
      <c r="EX10" s="354" t="s">
        <v>1699</v>
      </c>
      <c r="EY10" s="145">
        <f>SUM(EY15:EY15)</f>
        <v>481.5</v>
      </c>
      <c r="EZ10" s="1" t="s">
        <v>1642</v>
      </c>
      <c r="FA10">
        <v>200</v>
      </c>
      <c r="FB10" t="s">
        <v>1625</v>
      </c>
      <c r="FD10" s="354" t="s">
        <v>1699</v>
      </c>
      <c r="FE10" s="145">
        <f>SUM(FE14:FE16)</f>
        <v>1754.25</v>
      </c>
      <c r="FF10" s="1" t="s">
        <v>1642</v>
      </c>
      <c r="FG10">
        <v>220</v>
      </c>
      <c r="FJ10" s="354" t="s">
        <v>1699</v>
      </c>
      <c r="FK10">
        <f>SUM(FK14:FK15)</f>
        <v>35.32</v>
      </c>
      <c r="FL10" s="66" t="s">
        <v>1429</v>
      </c>
      <c r="FM10" s="6">
        <v>0</v>
      </c>
      <c r="FN10" s="60" t="s">
        <v>1597</v>
      </c>
      <c r="FP10" s="356" t="s">
        <v>1701</v>
      </c>
      <c r="FQ10">
        <f>SUM(FQ27:FQ37)</f>
        <v>464.30000000000007</v>
      </c>
      <c r="FR10" t="s">
        <v>1700</v>
      </c>
      <c r="FS10" s="6">
        <f>223+1168</f>
        <v>1391</v>
      </c>
      <c r="FT10" t="s">
        <v>1947</v>
      </c>
      <c r="FU10">
        <v>230</v>
      </c>
      <c r="FV10" s="356" t="s">
        <v>1701</v>
      </c>
      <c r="FW10">
        <f>SUM(FW27:FW30)</f>
        <v>167.3</v>
      </c>
      <c r="FX10" s="6" t="s">
        <v>1927</v>
      </c>
      <c r="FY10">
        <v>2498</v>
      </c>
      <c r="FZ10" s="349" t="s">
        <v>1975</v>
      </c>
      <c r="GA10">
        <v>100</v>
      </c>
      <c r="GB10" s="356" t="s">
        <v>1701</v>
      </c>
      <c r="GC10">
        <f>SUM(GC28:GC32)</f>
        <v>183.9</v>
      </c>
      <c r="GD10" s="6" t="s">
        <v>1927</v>
      </c>
      <c r="GE10">
        <v>2498</v>
      </c>
      <c r="GF10" t="s">
        <v>2009</v>
      </c>
      <c r="GG10">
        <v>110</v>
      </c>
      <c r="GH10" s="356" t="s">
        <v>1701</v>
      </c>
      <c r="GI10">
        <f>SUM(GI29:GI31)</f>
        <v>152.62</v>
      </c>
      <c r="GJ10" s="1" t="s">
        <v>1648</v>
      </c>
      <c r="GK10" s="366">
        <v>5.0010000000000003</v>
      </c>
      <c r="GN10" s="356" t="s">
        <v>1701</v>
      </c>
      <c r="GO10">
        <f>SUM(GO29:GO41)</f>
        <v>475.85999999999996</v>
      </c>
      <c r="GP10" s="1" t="s">
        <v>1648</v>
      </c>
      <c r="GQ10" s="366">
        <v>0.53</v>
      </c>
      <c r="GR10" t="s">
        <v>2010</v>
      </c>
      <c r="GT10" s="356" t="s">
        <v>1701</v>
      </c>
      <c r="GU10">
        <f>SUM(GU26:GU32)</f>
        <v>196.22000000000003</v>
      </c>
      <c r="GV10" s="1" t="s">
        <v>1648</v>
      </c>
      <c r="GW10" s="366">
        <v>0.04</v>
      </c>
      <c r="GX10" t="s">
        <v>1578</v>
      </c>
      <c r="GY10">
        <f>53.57+3.21</f>
        <v>56.78</v>
      </c>
      <c r="GZ10" s="356" t="s">
        <v>1701</v>
      </c>
      <c r="HA10">
        <f>SUM(HA26:HA40)</f>
        <v>1242.31</v>
      </c>
      <c r="HB10" s="6" t="s">
        <v>1911</v>
      </c>
      <c r="HC10" s="366">
        <v>30</v>
      </c>
      <c r="HF10" s="356" t="s">
        <v>1701</v>
      </c>
      <c r="HG10">
        <f>SUM(HG28:HG29)</f>
        <v>107.9</v>
      </c>
      <c r="HH10" s="1" t="s">
        <v>1648</v>
      </c>
      <c r="HI10" s="416">
        <v>0.06</v>
      </c>
      <c r="HJ10" t="s">
        <v>1816</v>
      </c>
      <c r="HK10" s="208">
        <v>13</v>
      </c>
      <c r="HL10" s="352" t="s">
        <v>2088</v>
      </c>
      <c r="HM10" s="420">
        <f>2525.92/6</f>
        <v>420.98666666666668</v>
      </c>
      <c r="HN10" s="6" t="s">
        <v>1911</v>
      </c>
      <c r="HO10" s="366">
        <v>16</v>
      </c>
      <c r="HP10" s="260" t="s">
        <v>2249</v>
      </c>
      <c r="HQ10">
        <v>75.06</v>
      </c>
      <c r="HR10" s="252" t="s">
        <v>2275</v>
      </c>
      <c r="HS10">
        <v>100</v>
      </c>
      <c r="HT10" s="6" t="s">
        <v>1911</v>
      </c>
      <c r="HU10" s="366">
        <v>14.67</v>
      </c>
      <c r="HW10" s="248"/>
      <c r="HX10" s="252" t="s">
        <v>2275</v>
      </c>
      <c r="HY10">
        <v>100</v>
      </c>
      <c r="HZ10" s="327" t="s">
        <v>1648</v>
      </c>
      <c r="IA10" s="416">
        <v>7.0000000000000007E-2</v>
      </c>
      <c r="IB10" t="s">
        <v>1816</v>
      </c>
      <c r="IC10" s="538">
        <v>13.54</v>
      </c>
      <c r="ID10" s="252" t="s">
        <v>2372</v>
      </c>
      <c r="IE10" s="2">
        <f>11000+300</f>
        <v>11300</v>
      </c>
      <c r="IF10" s="66" t="s">
        <v>1523</v>
      </c>
      <c r="IG10" s="2">
        <v>1463</v>
      </c>
      <c r="IH10" t="s">
        <v>2415</v>
      </c>
      <c r="II10">
        <v>10</v>
      </c>
      <c r="IJ10" s="402" t="s">
        <v>2459</v>
      </c>
      <c r="IK10" s="351">
        <v>3179</v>
      </c>
      <c r="IL10" s="6" t="s">
        <v>2380</v>
      </c>
      <c r="IM10" s="366">
        <v>35</v>
      </c>
      <c r="IN10" s="9" t="s">
        <v>2582</v>
      </c>
      <c r="IO10" s="617">
        <v>46.26</v>
      </c>
      <c r="IP10" s="353" t="s">
        <v>2499</v>
      </c>
      <c r="IQ10" s="579">
        <v>210.89</v>
      </c>
      <c r="IR10" s="6" t="s">
        <v>1855</v>
      </c>
      <c r="IS10" s="562">
        <v>2500</v>
      </c>
      <c r="IT10" s="626" t="s">
        <v>2675</v>
      </c>
      <c r="IU10" s="537">
        <v>15.03</v>
      </c>
      <c r="IV10" s="402" t="s">
        <v>2670</v>
      </c>
      <c r="IW10" s="578">
        <v>135.25</v>
      </c>
      <c r="IX10" s="630" t="s">
        <v>1647</v>
      </c>
      <c r="IY10" s="636">
        <v>-997</v>
      </c>
      <c r="JB10" s="353" t="s">
        <v>2706</v>
      </c>
      <c r="JC10" s="579">
        <v>52.89</v>
      </c>
      <c r="JD10" s="688" t="s">
        <v>1647</v>
      </c>
      <c r="JE10" s="636">
        <v>-997</v>
      </c>
      <c r="JF10" s="669">
        <v>44972</v>
      </c>
    </row>
    <row r="11" spans="1:267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1110</v>
      </c>
      <c r="N11" s="78">
        <v>1001</v>
      </c>
      <c r="O11" t="s">
        <v>1069</v>
      </c>
      <c r="Q11" s="145" t="s">
        <v>1018</v>
      </c>
      <c r="S11" s="1" t="s">
        <v>1110</v>
      </c>
      <c r="T11" s="78">
        <v>1001</v>
      </c>
      <c r="U11" t="s">
        <v>1069</v>
      </c>
      <c r="W11" s="145" t="s">
        <v>1018</v>
      </c>
      <c r="X11" s="145">
        <f>SUM(X17:X20)</f>
        <v>288.75</v>
      </c>
      <c r="Y11" s="1" t="s">
        <v>1110</v>
      </c>
      <c r="Z11" s="78">
        <v>1001</v>
      </c>
      <c r="AA11" t="s">
        <v>1069</v>
      </c>
      <c r="AC11" s="145" t="s">
        <v>1082</v>
      </c>
      <c r="AD11" s="145">
        <v>0</v>
      </c>
      <c r="AE11" s="7" t="s">
        <v>1005</v>
      </c>
      <c r="AF11" s="84">
        <v>4985</v>
      </c>
      <c r="AG11" t="s">
        <v>1069</v>
      </c>
      <c r="AI11" s="145" t="s">
        <v>1082</v>
      </c>
      <c r="AJ11" s="145">
        <f>AJ25</f>
        <v>30</v>
      </c>
      <c r="AK11" s="7" t="s">
        <v>1005</v>
      </c>
      <c r="AL11" s="84">
        <v>5000</v>
      </c>
      <c r="AO11" s="145" t="s">
        <v>1082</v>
      </c>
      <c r="AP11" s="145">
        <f>SUM(AP34:AP43)</f>
        <v>1111.54</v>
      </c>
      <c r="AQ11" s="7" t="s">
        <v>1005</v>
      </c>
      <c r="AR11" s="84">
        <v>4000</v>
      </c>
      <c r="AS11" t="s">
        <v>1152</v>
      </c>
      <c r="AU11" s="145" t="s">
        <v>1082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1152</v>
      </c>
      <c r="BE11" s="145" t="s">
        <v>1223</v>
      </c>
      <c r="BF11" s="145">
        <f>SUM(BF31:BF36)</f>
        <v>246.62</v>
      </c>
      <c r="BG11" s="7" t="s">
        <v>1005</v>
      </c>
      <c r="BH11" s="84">
        <v>4000</v>
      </c>
      <c r="BI11" s="9" t="s">
        <v>1152</v>
      </c>
      <c r="BK11" s="223" t="s">
        <v>1223</v>
      </c>
      <c r="BL11" s="223">
        <f>SUM(BL31:BL33)</f>
        <v>63.9</v>
      </c>
      <c r="BM11" s="7" t="s">
        <v>1005</v>
      </c>
      <c r="BN11" s="84">
        <v>4000</v>
      </c>
      <c r="BO11" s="9" t="s">
        <v>1152</v>
      </c>
      <c r="BQ11" s="223" t="s">
        <v>1223</v>
      </c>
      <c r="BR11" s="223">
        <f>SUM(BR31:BR32)</f>
        <v>20</v>
      </c>
      <c r="BS11" s="7" t="s">
        <v>1005</v>
      </c>
      <c r="BT11" s="280">
        <v>66</v>
      </c>
      <c r="BU11" s="9" t="s">
        <v>1152</v>
      </c>
      <c r="BW11" s="223" t="s">
        <v>1223</v>
      </c>
      <c r="BX11" s="223">
        <f>SUM(BX31:BX33)</f>
        <v>44.8</v>
      </c>
      <c r="BY11" s="260" t="s">
        <v>1284</v>
      </c>
      <c r="BZ11" s="286"/>
      <c r="CC11" s="223" t="s">
        <v>1223</v>
      </c>
      <c r="CD11" s="223">
        <f>SUM(CD31:CD34)</f>
        <v>295.55</v>
      </c>
      <c r="CE11" s="260" t="s">
        <v>1291</v>
      </c>
      <c r="CF11" s="286"/>
      <c r="CG11" s="9" t="s">
        <v>1152</v>
      </c>
      <c r="CI11" s="223" t="s">
        <v>1223</v>
      </c>
      <c r="CJ11" s="223">
        <f>SUM(CJ31:CJ34)</f>
        <v>96.6</v>
      </c>
      <c r="CK11" s="1" t="s">
        <v>1110</v>
      </c>
      <c r="CL11" s="78">
        <v>1003</v>
      </c>
      <c r="CM11" s="9" t="s">
        <v>1152</v>
      </c>
      <c r="CO11" s="223" t="s">
        <v>1223</v>
      </c>
      <c r="CP11" s="223">
        <f>SUM(CP29:CP31)</f>
        <v>136</v>
      </c>
      <c r="CQ11" s="7" t="s">
        <v>1331</v>
      </c>
      <c r="CR11" s="84">
        <v>12000</v>
      </c>
      <c r="CS11" s="9" t="s">
        <v>1152</v>
      </c>
      <c r="CU11" s="223" t="s">
        <v>1223</v>
      </c>
      <c r="CV11" s="223">
        <f>SUM(CV27:CV32)</f>
        <v>276.49</v>
      </c>
      <c r="CW11" s="1" t="s">
        <v>1378</v>
      </c>
      <c r="CX11" s="78">
        <v>10</v>
      </c>
      <c r="CY11" s="9" t="s">
        <v>1152</v>
      </c>
      <c r="DA11" s="302" t="s">
        <v>1223</v>
      </c>
      <c r="DB11" s="223">
        <f>SUM(DB26:DB31)</f>
        <v>661.82</v>
      </c>
      <c r="DC11" s="7" t="s">
        <v>1429</v>
      </c>
      <c r="DD11" s="299">
        <v>5000</v>
      </c>
      <c r="DG11" s="302" t="s">
        <v>1223</v>
      </c>
      <c r="DH11" s="309">
        <f>SUM(DH37:DH43)</f>
        <v>459.96999999999997</v>
      </c>
      <c r="DI11" s="7" t="s">
        <v>1429</v>
      </c>
      <c r="DJ11" s="78">
        <v>15007</v>
      </c>
      <c r="DM11" s="302" t="s">
        <v>1532</v>
      </c>
      <c r="DN11" s="309">
        <f>SUM(DN32:DN36)</f>
        <v>77.37</v>
      </c>
      <c r="DO11" s="63" t="s">
        <v>1591</v>
      </c>
      <c r="DP11" s="64">
        <v>-2524</v>
      </c>
      <c r="DS11" s="272" t="s">
        <v>1599</v>
      </c>
      <c r="DT11" s="309">
        <f>SUM(DT20:DT28)</f>
        <v>10919.66</v>
      </c>
      <c r="DU11" s="63" t="s">
        <v>129</v>
      </c>
      <c r="DV11" s="64">
        <v>0</v>
      </c>
      <c r="DW11" t="s">
        <v>1625</v>
      </c>
      <c r="DY11" s="344" t="s">
        <v>1556</v>
      </c>
      <c r="DZ11">
        <f>SUM(DZ24:DZ25)</f>
        <v>45.1</v>
      </c>
      <c r="EA11" s="63" t="s">
        <v>1580</v>
      </c>
      <c r="EB11" s="63">
        <v>1E-3</v>
      </c>
      <c r="EC11" t="s">
        <v>1024</v>
      </c>
      <c r="ED11">
        <v>1.1000000000000001</v>
      </c>
      <c r="EE11" s="344" t="s">
        <v>1556</v>
      </c>
      <c r="EF11">
        <f>SUM(EF23:EF23)</f>
        <v>10</v>
      </c>
      <c r="EH11" t="s">
        <v>1285</v>
      </c>
      <c r="EI11" s="2">
        <v>-20000</v>
      </c>
      <c r="EJ11" s="60" t="s">
        <v>1597</v>
      </c>
      <c r="EL11" s="356" t="s">
        <v>1697</v>
      </c>
      <c r="EM11">
        <f>SUM(EM25:EM28)</f>
        <v>151.75</v>
      </c>
      <c r="EN11" t="s">
        <v>1285</v>
      </c>
      <c r="EO11" s="2">
        <v>-20000</v>
      </c>
      <c r="EP11" t="s">
        <v>1819</v>
      </c>
      <c r="EQ11">
        <v>12.26</v>
      </c>
      <c r="ER11" s="357" t="s">
        <v>1409</v>
      </c>
      <c r="ES11" s="145">
        <f>SUM(ES14:ES14)</f>
        <v>0</v>
      </c>
      <c r="ET11" t="s">
        <v>1285</v>
      </c>
      <c r="EU11" s="2">
        <v>-20000</v>
      </c>
      <c r="EX11" s="357" t="s">
        <v>1409</v>
      </c>
      <c r="EY11">
        <f>SUM(EY14:EY14)</f>
        <v>0</v>
      </c>
      <c r="EZ11" t="s">
        <v>1285</v>
      </c>
      <c r="FA11" s="2">
        <v>-20000</v>
      </c>
      <c r="FB11" t="s">
        <v>1786</v>
      </c>
      <c r="FC11">
        <v>10.000999999999999</v>
      </c>
      <c r="FD11" s="357" t="s">
        <v>1409</v>
      </c>
      <c r="FE11" s="145">
        <f>SUM(FE13:FE13)</f>
        <v>5.73</v>
      </c>
      <c r="FF11" t="s">
        <v>1285</v>
      </c>
      <c r="FG11" s="2">
        <v>-20000</v>
      </c>
      <c r="FH11" t="s">
        <v>1625</v>
      </c>
      <c r="FJ11" s="357" t="s">
        <v>1409</v>
      </c>
      <c r="FK11">
        <f>SUM(FK13:FK13)</f>
        <v>288.75</v>
      </c>
      <c r="FL11" s="1" t="s">
        <v>1642</v>
      </c>
      <c r="FM11">
        <v>80</v>
      </c>
      <c r="FN11" t="s">
        <v>1578</v>
      </c>
      <c r="FO11">
        <f>51.7+4.8+1.85</f>
        <v>58.35</v>
      </c>
      <c r="FP11" s="354" t="s">
        <v>1699</v>
      </c>
      <c r="FQ11">
        <f>SUM(FQ17:FQ18)</f>
        <v>2165.6999999999998</v>
      </c>
      <c r="FR11" s="66" t="s">
        <v>1429</v>
      </c>
      <c r="FS11" s="6">
        <v>0</v>
      </c>
      <c r="FV11" s="354" t="s">
        <v>1699</v>
      </c>
      <c r="FW11">
        <f>SUM(FW18:FW18)</f>
        <v>29.62</v>
      </c>
      <c r="FX11" s="66" t="s">
        <v>1544</v>
      </c>
      <c r="FY11">
        <v>702</v>
      </c>
      <c r="GA11" s="248"/>
      <c r="GB11" s="354" t="s">
        <v>1699</v>
      </c>
      <c r="GC11">
        <f>SUM(GC18:GC18)</f>
        <v>0</v>
      </c>
      <c r="GD11" s="66" t="s">
        <v>1544</v>
      </c>
      <c r="GE11">
        <v>1200</v>
      </c>
      <c r="GF11" t="s">
        <v>2025</v>
      </c>
      <c r="GH11" s="354" t="s">
        <v>1699</v>
      </c>
      <c r="GI11">
        <f>SUM(GI18:GI18)</f>
        <v>3.87</v>
      </c>
      <c r="GJ11" s="6" t="s">
        <v>1927</v>
      </c>
      <c r="GK11">
        <v>2499</v>
      </c>
      <c r="GL11" s="60" t="s">
        <v>1597</v>
      </c>
      <c r="GN11" s="354" t="s">
        <v>1699</v>
      </c>
      <c r="GO11">
        <f>SUM(GO17:GO19)</f>
        <v>1950.63</v>
      </c>
      <c r="GP11" s="6" t="s">
        <v>1927</v>
      </c>
      <c r="GQ11">
        <v>2499</v>
      </c>
      <c r="GR11" t="s">
        <v>2090</v>
      </c>
      <c r="GS11">
        <v>260</v>
      </c>
      <c r="GT11" s="354" t="s">
        <v>1699</v>
      </c>
      <c r="GU11" t="s">
        <v>694</v>
      </c>
      <c r="GV11" s="6" t="s">
        <v>1927</v>
      </c>
      <c r="GW11">
        <v>2499</v>
      </c>
      <c r="GX11" t="s">
        <v>2117</v>
      </c>
      <c r="GY11">
        <v>50</v>
      </c>
      <c r="GZ11" s="354" t="s">
        <v>1699</v>
      </c>
      <c r="HA11">
        <f>SUM(HA16:HA18)</f>
        <v>2381.65</v>
      </c>
      <c r="HB11" s="1" t="s">
        <v>1648</v>
      </c>
      <c r="HC11" s="366">
        <v>0.05</v>
      </c>
      <c r="HF11" s="354" t="s">
        <v>1699</v>
      </c>
      <c r="HG11">
        <f>SUM(HG18:HG19)</f>
        <v>45</v>
      </c>
      <c r="HH11" s="6" t="s">
        <v>1855</v>
      </c>
      <c r="HI11">
        <v>2499</v>
      </c>
      <c r="HJ11" t="s">
        <v>1595</v>
      </c>
      <c r="HK11" s="248"/>
      <c r="HL11" s="352" t="s">
        <v>2193</v>
      </c>
      <c r="HM11">
        <v>80.959999999999994</v>
      </c>
      <c r="HN11" s="1" t="s">
        <v>1648</v>
      </c>
      <c r="HO11" s="416">
        <v>0.06</v>
      </c>
      <c r="HQ11" s="208"/>
      <c r="HR11" s="252" t="s">
        <v>2278</v>
      </c>
      <c r="HS11">
        <v>156.5</v>
      </c>
      <c r="HT11" s="327" t="s">
        <v>1648</v>
      </c>
      <c r="HU11" s="416">
        <v>7.0000000000000007E-2</v>
      </c>
      <c r="HV11" t="s">
        <v>1625</v>
      </c>
      <c r="HW11" s="52"/>
      <c r="HX11" s="252" t="s">
        <v>2318</v>
      </c>
      <c r="HY11">
        <f>1000+1000+1000</f>
        <v>3000</v>
      </c>
      <c r="HZ11" s="6" t="s">
        <v>2245</v>
      </c>
      <c r="IA11" s="366">
        <v>-10</v>
      </c>
      <c r="IB11" t="s">
        <v>2389</v>
      </c>
      <c r="IC11" s="538">
        <v>12.88</v>
      </c>
      <c r="ID11" s="556" t="s">
        <v>2030</v>
      </c>
      <c r="IE11" s="279">
        <v>3000</v>
      </c>
      <c r="IF11" s="66" t="s">
        <v>2325</v>
      </c>
      <c r="IG11" s="275">
        <v>5794</v>
      </c>
      <c r="IH11" t="s">
        <v>2456</v>
      </c>
      <c r="II11">
        <v>13.5</v>
      </c>
      <c r="IJ11" s="402" t="s">
        <v>2129</v>
      </c>
      <c r="IK11">
        <v>288.75</v>
      </c>
      <c r="IL11" s="6" t="s">
        <v>1855</v>
      </c>
      <c r="IM11" s="562">
        <v>2499</v>
      </c>
      <c r="IN11" s="9" t="s">
        <v>2583</v>
      </c>
      <c r="IO11" s="618">
        <v>10</v>
      </c>
      <c r="IP11" s="353" t="s">
        <v>2593</v>
      </c>
      <c r="IQ11" s="61">
        <f>406.6+487.92</f>
        <v>894.52</v>
      </c>
      <c r="IR11" s="66" t="s">
        <v>1522</v>
      </c>
      <c r="IS11" s="275">
        <v>364</v>
      </c>
      <c r="IT11" s="626" t="s">
        <v>2699</v>
      </c>
      <c r="IU11" s="626">
        <v>25.58</v>
      </c>
      <c r="IV11" s="402" t="s">
        <v>2631</v>
      </c>
      <c r="IW11" s="578">
        <v>378.81</v>
      </c>
      <c r="IX11" s="628" t="s">
        <v>1855</v>
      </c>
      <c r="IY11" s="541">
        <v>2600</v>
      </c>
      <c r="JB11" s="252" t="s">
        <v>2697</v>
      </c>
      <c r="JC11" s="2"/>
      <c r="JD11" s="686" t="s">
        <v>1855</v>
      </c>
      <c r="JE11" s="691">
        <v>500</v>
      </c>
      <c r="JF11" s="668">
        <v>44977</v>
      </c>
      <c r="JG11" s="562"/>
    </row>
    <row r="12" spans="1:267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1111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1111</v>
      </c>
      <c r="V12">
        <v>67</v>
      </c>
      <c r="W12" s="145" t="s">
        <v>1082</v>
      </c>
      <c r="X12" s="145">
        <f>SUM(X34:X38)</f>
        <v>469.00099999999998</v>
      </c>
      <c r="Y12" s="63" t="s">
        <v>239</v>
      </c>
      <c r="Z12" s="64"/>
      <c r="AA12" t="s">
        <v>1114</v>
      </c>
      <c r="AB12">
        <v>55</v>
      </c>
      <c r="AE12" s="7" t="s">
        <v>1097</v>
      </c>
      <c r="AF12" s="78">
        <v>-5000</v>
      </c>
      <c r="AG12" t="s">
        <v>1111</v>
      </c>
      <c r="AH12">
        <v>0</v>
      </c>
      <c r="AK12" s="7" t="s">
        <v>1097</v>
      </c>
      <c r="AL12" s="78">
        <v>-5000</v>
      </c>
      <c r="AM12" t="s">
        <v>1069</v>
      </c>
      <c r="AQ12" s="7" t="s">
        <v>1130</v>
      </c>
      <c r="AR12" s="78">
        <v>-4000</v>
      </c>
      <c r="AS12" t="s">
        <v>1166</v>
      </c>
      <c r="AT12">
        <v>32.49</v>
      </c>
      <c r="AU12" s="197"/>
      <c r="AV12" s="275"/>
      <c r="AW12" s="7" t="s">
        <v>1130</v>
      </c>
      <c r="AX12" s="78">
        <v>-4000</v>
      </c>
      <c r="AY12" s="197" t="s">
        <v>1257</v>
      </c>
      <c r="AZ12" s="275">
        <v>30000</v>
      </c>
      <c r="BA12" s="7" t="s">
        <v>1130</v>
      </c>
      <c r="BB12" s="64">
        <f t="shared" si="0"/>
        <v>-4000</v>
      </c>
      <c r="BC12" t="s">
        <v>1210</v>
      </c>
      <c r="BD12" t="s">
        <v>665</v>
      </c>
      <c r="BG12" s="7" t="s">
        <v>1130</v>
      </c>
      <c r="BH12" s="78">
        <v>-4000</v>
      </c>
      <c r="BI12" s="9" t="s">
        <v>1236</v>
      </c>
      <c r="BJ12" s="9">
        <v>24.47</v>
      </c>
      <c r="BM12" s="7" t="s">
        <v>1130</v>
      </c>
      <c r="BN12" s="78">
        <v>-4000</v>
      </c>
      <c r="BO12" s="78" t="s">
        <v>1269</v>
      </c>
      <c r="BP12" s="9">
        <v>71</v>
      </c>
      <c r="BS12" s="7" t="s">
        <v>1130</v>
      </c>
      <c r="BT12" s="281">
        <v>-66</v>
      </c>
      <c r="BU12" s="78" t="s">
        <v>1269</v>
      </c>
      <c r="BV12" s="9">
        <v>65.3</v>
      </c>
      <c r="BY12" s="1" t="s">
        <v>1110</v>
      </c>
      <c r="BZ12" s="78">
        <f>1003</f>
        <v>1003</v>
      </c>
      <c r="CA12" s="9" t="s">
        <v>1152</v>
      </c>
      <c r="CE12" s="1" t="s">
        <v>1110</v>
      </c>
      <c r="CF12" s="78">
        <v>1003</v>
      </c>
      <c r="CG12" s="78" t="s">
        <v>1269</v>
      </c>
      <c r="CH12" s="9">
        <v>65</v>
      </c>
      <c r="CK12" s="63" t="s">
        <v>1164</v>
      </c>
      <c r="CL12" s="64"/>
      <c r="CM12" s="78" t="s">
        <v>1269</v>
      </c>
      <c r="CN12" s="9">
        <v>69.959999999999994</v>
      </c>
      <c r="CQ12" s="1" t="s">
        <v>1110</v>
      </c>
      <c r="CR12" s="78">
        <v>10</v>
      </c>
      <c r="CS12" s="78" t="s">
        <v>1269</v>
      </c>
      <c r="CT12" s="9">
        <v>72.599999999999994</v>
      </c>
      <c r="CW12" s="87" t="s">
        <v>429</v>
      </c>
      <c r="CX12" s="77" t="s">
        <v>694</v>
      </c>
      <c r="CY12" s="78" t="s">
        <v>1269</v>
      </c>
      <c r="CZ12" s="9">
        <v>72</v>
      </c>
      <c r="DC12" s="1" t="s">
        <v>1378</v>
      </c>
      <c r="DD12" s="78">
        <v>10</v>
      </c>
      <c r="DE12" s="9" t="s">
        <v>1152</v>
      </c>
      <c r="DI12" s="1" t="s">
        <v>1378</v>
      </c>
      <c r="DJ12" s="78" t="s">
        <v>650</v>
      </c>
      <c r="DK12" s="9" t="s">
        <v>1152</v>
      </c>
      <c r="DO12" s="63" t="s">
        <v>129</v>
      </c>
      <c r="DP12" s="64">
        <v>0</v>
      </c>
      <c r="DQ12" s="9" t="s">
        <v>1152</v>
      </c>
      <c r="DS12" s="302" t="s">
        <v>1556</v>
      </c>
      <c r="DT12" s="309">
        <f>SUM(DT29:DT36)</f>
        <v>361.23</v>
      </c>
      <c r="DU12" s="63" t="s">
        <v>1580</v>
      </c>
      <c r="DV12" s="64">
        <v>1.0009999999999999</v>
      </c>
      <c r="DW12" t="s">
        <v>1822</v>
      </c>
      <c r="DX12">
        <v>12.37</v>
      </c>
      <c r="DY12" s="252" t="s">
        <v>1555</v>
      </c>
      <c r="DZ12">
        <v>133</v>
      </c>
      <c r="EA12" s="254" t="s">
        <v>1074</v>
      </c>
      <c r="EB12">
        <v>110</v>
      </c>
      <c r="EE12" s="252" t="s">
        <v>1014</v>
      </c>
      <c r="EF12">
        <v>1800.06</v>
      </c>
      <c r="EH12" s="261" t="s">
        <v>1652</v>
      </c>
      <c r="EI12" s="261"/>
      <c r="EJ12" t="s">
        <v>1578</v>
      </c>
      <c r="EK12">
        <v>47</v>
      </c>
      <c r="EL12" s="252" t="s">
        <v>1014</v>
      </c>
      <c r="EM12">
        <v>1800.07</v>
      </c>
      <c r="EN12" s="261" t="s">
        <v>1681</v>
      </c>
      <c r="EO12" s="261"/>
      <c r="ER12" s="358" t="s">
        <v>1014</v>
      </c>
      <c r="ES12" s="145">
        <v>1800.08</v>
      </c>
      <c r="ET12" s="261" t="s">
        <v>1711</v>
      </c>
      <c r="EU12" s="261"/>
      <c r="EX12" s="358" t="s">
        <v>1014</v>
      </c>
      <c r="EY12">
        <v>1800.09</v>
      </c>
      <c r="EZ12" s="261" t="s">
        <v>1747</v>
      </c>
      <c r="FA12" s="261"/>
      <c r="FD12" s="358" t="s">
        <v>1014</v>
      </c>
      <c r="FE12">
        <v>1800.1</v>
      </c>
      <c r="FF12" s="261" t="s">
        <v>1747</v>
      </c>
      <c r="FG12" s="261"/>
      <c r="FH12" t="s">
        <v>1816</v>
      </c>
      <c r="FI12">
        <v>13.33</v>
      </c>
      <c r="FJ12" s="358" t="s">
        <v>1014</v>
      </c>
      <c r="FK12">
        <v>1800.11</v>
      </c>
      <c r="FL12" t="s">
        <v>1285</v>
      </c>
      <c r="FM12" s="2">
        <v>-20000</v>
      </c>
      <c r="FP12" s="357" t="s">
        <v>1409</v>
      </c>
      <c r="FQ12">
        <f>SUM(FQ16:FQ16)</f>
        <v>0</v>
      </c>
      <c r="FR12" s="1" t="s">
        <v>1642</v>
      </c>
      <c r="FS12">
        <v>146</v>
      </c>
      <c r="FT12" s="60" t="s">
        <v>1597</v>
      </c>
      <c r="FV12" s="357" t="s">
        <v>1409</v>
      </c>
      <c r="FW12">
        <f>SUM(FW17:FW17)</f>
        <v>3779.24</v>
      </c>
      <c r="FX12" s="66" t="s">
        <v>1523</v>
      </c>
      <c r="FY12">
        <v>1520</v>
      </c>
      <c r="FZ12" s="60" t="s">
        <v>1597</v>
      </c>
      <c r="GB12" s="357" t="s">
        <v>1409</v>
      </c>
      <c r="GC12">
        <f>SUM(GC16:GC17)</f>
        <v>512.80999999999995</v>
      </c>
      <c r="GD12" s="66" t="s">
        <v>1523</v>
      </c>
      <c r="GE12">
        <v>2876</v>
      </c>
      <c r="GH12" s="357" t="s">
        <v>1409</v>
      </c>
      <c r="GI12">
        <f>SUM(GI16:GI16)</f>
        <v>2454.0500000000002</v>
      </c>
      <c r="GJ12" s="66" t="s">
        <v>1522</v>
      </c>
      <c r="GK12">
        <v>574</v>
      </c>
      <c r="GL12" t="s">
        <v>1578</v>
      </c>
      <c r="GM12">
        <f>6.11+47.56</f>
        <v>53.67</v>
      </c>
      <c r="GN12" s="357" t="s">
        <v>1409</v>
      </c>
      <c r="GO12">
        <f>SUM(GO15:GO16)</f>
        <v>464.65999999999997</v>
      </c>
      <c r="GP12" s="66" t="s">
        <v>1522</v>
      </c>
      <c r="GQ12">
        <v>833</v>
      </c>
      <c r="GT12" s="357" t="s">
        <v>1409</v>
      </c>
      <c r="GU12" t="s">
        <v>694</v>
      </c>
      <c r="GV12" s="66" t="s">
        <v>1522</v>
      </c>
      <c r="GW12">
        <v>631</v>
      </c>
      <c r="GZ12" s="357" t="s">
        <v>1409</v>
      </c>
      <c r="HA12">
        <f>SUM(HA15:HA15)</f>
        <v>1476</v>
      </c>
      <c r="HB12" s="6" t="s">
        <v>1855</v>
      </c>
      <c r="HC12">
        <v>2499</v>
      </c>
      <c r="HF12" s="357" t="s">
        <v>1409</v>
      </c>
      <c r="HG12">
        <f>SUM(HG17:HG17)</f>
        <v>48.24</v>
      </c>
      <c r="HH12" s="66" t="s">
        <v>1522</v>
      </c>
      <c r="HI12">
        <v>1440</v>
      </c>
      <c r="HJ12" t="s">
        <v>2208</v>
      </c>
      <c r="HK12" s="248">
        <v>90</v>
      </c>
      <c r="HL12" s="352" t="s">
        <v>2194</v>
      </c>
      <c r="HM12">
        <v>197.9</v>
      </c>
      <c r="HN12" s="6" t="s">
        <v>1855</v>
      </c>
      <c r="HO12">
        <v>2499</v>
      </c>
      <c r="HR12" s="252" t="s">
        <v>2089</v>
      </c>
      <c r="HS12" s="420">
        <f>HS13*5</f>
        <v>2104.9333333333334</v>
      </c>
      <c r="HT12" s="6" t="s">
        <v>2245</v>
      </c>
      <c r="HU12" s="366">
        <v>-808</v>
      </c>
      <c r="HV12" s="260" t="s">
        <v>2276</v>
      </c>
      <c r="HW12" s="52">
        <v>63.05</v>
      </c>
      <c r="HX12" s="252" t="s">
        <v>2302</v>
      </c>
      <c r="HY12" s="52">
        <f>130000+11893+38316.67+1</f>
        <v>180210.66999999998</v>
      </c>
      <c r="HZ12" s="6" t="s">
        <v>1855</v>
      </c>
      <c r="IA12" s="145">
        <v>499</v>
      </c>
      <c r="IB12" t="s">
        <v>2374</v>
      </c>
      <c r="IC12" s="538">
        <v>3.0009999999999999</v>
      </c>
      <c r="ID12" s="557" t="s">
        <v>2189</v>
      </c>
      <c r="IE12" s="279">
        <v>4000</v>
      </c>
      <c r="IF12" s="66" t="s">
        <v>1915</v>
      </c>
      <c r="IG12" s="2">
        <v>0</v>
      </c>
      <c r="IH12" t="s">
        <v>2432</v>
      </c>
      <c r="II12">
        <f>366.74-127-111</f>
        <v>128.74</v>
      </c>
      <c r="IJ12" s="353" t="s">
        <v>1039</v>
      </c>
      <c r="IK12">
        <v>1867.15</v>
      </c>
      <c r="IL12" s="66" t="s">
        <v>1522</v>
      </c>
      <c r="IM12" s="275">
        <v>613</v>
      </c>
      <c r="IP12" s="252" t="s">
        <v>2407</v>
      </c>
      <c r="IQ12" s="420">
        <f>IQ13*2</f>
        <v>1833.7466666666667</v>
      </c>
      <c r="IR12" s="66" t="s">
        <v>2530</v>
      </c>
      <c r="IS12" s="275">
        <v>803</v>
      </c>
      <c r="IV12" s="353" t="s">
        <v>2667</v>
      </c>
      <c r="IW12" s="579">
        <v>170</v>
      </c>
      <c r="IX12" s="629" t="s">
        <v>1522</v>
      </c>
      <c r="IY12" s="275">
        <v>983</v>
      </c>
      <c r="IZ12" s="684" t="s">
        <v>2449</v>
      </c>
      <c r="JA12" s="559"/>
      <c r="JB12" s="352" t="s">
        <v>2586</v>
      </c>
      <c r="JC12" s="2"/>
      <c r="JD12" s="689" t="s">
        <v>1522</v>
      </c>
      <c r="JE12" s="275">
        <v>931</v>
      </c>
      <c r="JF12" s="668">
        <v>44976</v>
      </c>
      <c r="JG12" s="275"/>
    </row>
    <row r="13" spans="1:267" x14ac:dyDescent="0.2">
      <c r="A13" s="1" t="s">
        <v>1110</v>
      </c>
      <c r="B13" s="84">
        <v>1001</v>
      </c>
      <c r="E13" s="173"/>
      <c r="F13" s="173"/>
      <c r="G13" s="1" t="s">
        <v>1110</v>
      </c>
      <c r="H13" s="78">
        <v>1001</v>
      </c>
      <c r="M13" s="63" t="s">
        <v>1112</v>
      </c>
      <c r="N13" s="64">
        <v>-1030</v>
      </c>
      <c r="Q13" s="145" t="s">
        <v>1042</v>
      </c>
      <c r="R13" s="145">
        <f>SUM(R39:R40)</f>
        <v>800</v>
      </c>
      <c r="S13" s="63" t="s">
        <v>1112</v>
      </c>
      <c r="T13" s="64">
        <v>-960</v>
      </c>
      <c r="Y13" s="63" t="s">
        <v>1112</v>
      </c>
      <c r="Z13" s="64">
        <v>-970</v>
      </c>
      <c r="AA13" t="s">
        <v>129</v>
      </c>
      <c r="AB13">
        <v>50</v>
      </c>
      <c r="AC13" s="197" t="s">
        <v>1098</v>
      </c>
      <c r="AD13" s="145">
        <v>2501.1999999999998</v>
      </c>
      <c r="AE13" s="1" t="s">
        <v>1110</v>
      </c>
      <c r="AF13" s="78">
        <v>1001</v>
      </c>
      <c r="AG13" t="s">
        <v>1070</v>
      </c>
      <c r="AI13" s="197" t="s">
        <v>1014</v>
      </c>
      <c r="AJ13" s="145">
        <v>0</v>
      </c>
      <c r="AK13" s="1" t="s">
        <v>1110</v>
      </c>
      <c r="AL13" s="78">
        <v>1002</v>
      </c>
      <c r="AM13" t="s">
        <v>1111</v>
      </c>
      <c r="AN13">
        <v>81</v>
      </c>
      <c r="AO13" s="197" t="s">
        <v>1129</v>
      </c>
      <c r="AP13" s="145">
        <v>2400</v>
      </c>
      <c r="AQ13" s="1" t="s">
        <v>1110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1110</v>
      </c>
      <c r="AX13" s="78">
        <v>1002</v>
      </c>
      <c r="AY13" s="197"/>
      <c r="BA13" s="1" t="s">
        <v>1110</v>
      </c>
      <c r="BB13" s="64">
        <f t="shared" si="0"/>
        <v>1002</v>
      </c>
      <c r="BC13" t="s">
        <v>1208</v>
      </c>
      <c r="BD13">
        <v>20</v>
      </c>
      <c r="BE13" s="197" t="s">
        <v>1014</v>
      </c>
      <c r="BF13" s="145" t="s">
        <v>694</v>
      </c>
      <c r="BG13" s="1" t="s">
        <v>1110</v>
      </c>
      <c r="BH13" s="78">
        <v>1003</v>
      </c>
      <c r="BI13" s="78" t="s">
        <v>1245</v>
      </c>
      <c r="BJ13" s="9">
        <v>44.18</v>
      </c>
      <c r="BK13" s="270" t="s">
        <v>1014</v>
      </c>
      <c r="BL13" s="223">
        <v>1800.05</v>
      </c>
      <c r="BM13" s="1" t="s">
        <v>1110</v>
      </c>
      <c r="BN13" s="78">
        <v>1003</v>
      </c>
      <c r="BQ13" s="270" t="s">
        <v>1250</v>
      </c>
      <c r="BR13" s="223">
        <v>1800.06</v>
      </c>
      <c r="BS13" s="1" t="s">
        <v>1110</v>
      </c>
      <c r="BT13" s="281">
        <v>1003</v>
      </c>
      <c r="BU13" s="78" t="s">
        <v>1282</v>
      </c>
      <c r="BV13" s="9">
        <v>7.76</v>
      </c>
      <c r="BW13" s="270" t="s">
        <v>1014</v>
      </c>
      <c r="BX13" s="223">
        <v>1800.07</v>
      </c>
      <c r="BY13" s="63" t="s">
        <v>1164</v>
      </c>
      <c r="BZ13" s="64"/>
      <c r="CA13" s="78" t="s">
        <v>1269</v>
      </c>
      <c r="CB13" s="9">
        <v>63</v>
      </c>
      <c r="CC13" s="270" t="s">
        <v>1014</v>
      </c>
      <c r="CD13" s="223">
        <v>1800.08</v>
      </c>
      <c r="CE13" s="63" t="s">
        <v>1164</v>
      </c>
      <c r="CF13" s="64"/>
      <c r="CG13" s="6"/>
      <c r="CH13" s="6"/>
      <c r="CI13" s="270" t="s">
        <v>1014</v>
      </c>
      <c r="CJ13" s="223">
        <v>1800.09</v>
      </c>
      <c r="CK13" s="63" t="s">
        <v>1112</v>
      </c>
      <c r="CL13" s="64">
        <v>-1950</v>
      </c>
      <c r="CM13" s="6"/>
      <c r="CN13" s="6"/>
      <c r="CO13" s="270" t="s">
        <v>1335</v>
      </c>
      <c r="CP13" s="223">
        <v>1800.1</v>
      </c>
      <c r="CQ13" s="63" t="s">
        <v>1164</v>
      </c>
      <c r="CR13" s="64"/>
      <c r="CS13" s="78" t="s">
        <v>1385</v>
      </c>
      <c r="CT13" s="9">
        <v>11</v>
      </c>
      <c r="CU13" s="296" t="s">
        <v>1335</v>
      </c>
      <c r="CV13" s="223">
        <v>1800.11</v>
      </c>
      <c r="CW13" s="86" t="s">
        <v>1164</v>
      </c>
      <c r="CX13" s="75"/>
      <c r="CY13" s="78" t="s">
        <v>1385</v>
      </c>
      <c r="DA13" s="304" t="s">
        <v>1309</v>
      </c>
      <c r="DB13" s="210">
        <v>100</v>
      </c>
      <c r="DC13" s="87" t="s">
        <v>429</v>
      </c>
      <c r="DD13" s="77" t="s">
        <v>694</v>
      </c>
      <c r="DE13" s="78" t="s">
        <v>1269</v>
      </c>
      <c r="DF13" s="9">
        <v>56</v>
      </c>
      <c r="DG13" s="304" t="s">
        <v>1439</v>
      </c>
      <c r="DH13" s="286">
        <v>100</v>
      </c>
      <c r="DI13" s="63" t="s">
        <v>1164</v>
      </c>
      <c r="DJ13" s="64"/>
      <c r="DK13" s="78"/>
      <c r="DM13" s="304" t="s">
        <v>1501</v>
      </c>
      <c r="DN13" s="286">
        <f>132.63+132.43+132.15</f>
        <v>397.21000000000004</v>
      </c>
      <c r="DO13" s="63" t="s">
        <v>1221</v>
      </c>
      <c r="DP13" s="64">
        <v>2.54</v>
      </c>
      <c r="DQ13" s="78"/>
      <c r="DU13" s="254" t="s">
        <v>1074</v>
      </c>
      <c r="DV13" s="70">
        <v>150</v>
      </c>
      <c r="DY13" s="252" t="s">
        <v>1014</v>
      </c>
      <c r="DZ13">
        <v>1800.05</v>
      </c>
      <c r="EA13" s="216" t="s">
        <v>1638</v>
      </c>
      <c r="EB13" s="109"/>
      <c r="EC13" t="s">
        <v>1334</v>
      </c>
      <c r="ED13" t="s">
        <v>694</v>
      </c>
      <c r="EE13" s="304" t="s">
        <v>1555</v>
      </c>
      <c r="EF13" s="304">
        <f>132.66+132.47+132.27+132.26+132.31</f>
        <v>661.97</v>
      </c>
      <c r="EG13" s="304"/>
      <c r="EH13" s="1" t="s">
        <v>1518</v>
      </c>
      <c r="EI13" s="279">
        <v>5709.99</v>
      </c>
      <c r="EL13" s="304" t="s">
        <v>1555</v>
      </c>
      <c r="EM13" s="304" t="s">
        <v>694</v>
      </c>
      <c r="EN13" s="1" t="s">
        <v>1518</v>
      </c>
      <c r="EO13" s="279">
        <v>5762</v>
      </c>
      <c r="EP13" t="s">
        <v>1595</v>
      </c>
      <c r="ER13" s="358" t="s">
        <v>1705</v>
      </c>
      <c r="ES13" s="145">
        <v>430</v>
      </c>
      <c r="ET13" s="1" t="s">
        <v>1518</v>
      </c>
      <c r="EU13" s="279">
        <v>2917</v>
      </c>
      <c r="EV13" t="s">
        <v>1595</v>
      </c>
      <c r="EX13" s="358" t="s">
        <v>1932</v>
      </c>
      <c r="EY13">
        <v>100</v>
      </c>
      <c r="EZ13" s="1" t="s">
        <v>1518</v>
      </c>
      <c r="FA13" s="279">
        <f>13952+12128+5831</f>
        <v>31911</v>
      </c>
      <c r="FB13" t="s">
        <v>1595</v>
      </c>
      <c r="FD13" s="357" t="s">
        <v>1800</v>
      </c>
      <c r="FE13">
        <v>5.73</v>
      </c>
      <c r="FF13" s="1" t="s">
        <v>1518</v>
      </c>
      <c r="FG13" s="279">
        <f>18841+3130+8869</f>
        <v>30840</v>
      </c>
      <c r="FH13" t="s">
        <v>1595</v>
      </c>
      <c r="FJ13" s="369" t="s">
        <v>1395</v>
      </c>
      <c r="FK13">
        <v>288.75</v>
      </c>
      <c r="FL13" t="s">
        <v>1824</v>
      </c>
      <c r="FM13" s="2">
        <v>-60000</v>
      </c>
      <c r="FN13" t="s">
        <v>1625</v>
      </c>
      <c r="FP13" s="358" t="s">
        <v>1014</v>
      </c>
      <c r="FQ13">
        <v>1800.12</v>
      </c>
      <c r="FR13" t="s">
        <v>1864</v>
      </c>
      <c r="FS13" s="2"/>
      <c r="FT13" t="s">
        <v>1578</v>
      </c>
      <c r="FU13">
        <v>56</v>
      </c>
      <c r="FV13" s="358" t="s">
        <v>1014</v>
      </c>
      <c r="FW13">
        <v>1800.01</v>
      </c>
      <c r="FX13" s="66" t="s">
        <v>1915</v>
      </c>
      <c r="FY13">
        <v>473</v>
      </c>
      <c r="FZ13" t="s">
        <v>1578</v>
      </c>
      <c r="GA13">
        <v>52</v>
      </c>
      <c r="GB13" s="358" t="s">
        <v>1014</v>
      </c>
      <c r="GC13">
        <v>1800.02</v>
      </c>
      <c r="GD13" s="66" t="s">
        <v>1915</v>
      </c>
      <c r="GE13">
        <v>724</v>
      </c>
      <c r="GF13" s="60" t="s">
        <v>1597</v>
      </c>
      <c r="GH13" s="358" t="s">
        <v>1014</v>
      </c>
      <c r="GI13">
        <v>1800.03</v>
      </c>
      <c r="GJ13" s="66" t="s">
        <v>1523</v>
      </c>
      <c r="GK13">
        <v>3378</v>
      </c>
      <c r="GN13" s="358" t="s">
        <v>2047</v>
      </c>
      <c r="GO13">
        <v>1004</v>
      </c>
      <c r="GP13" s="66" t="s">
        <v>1523</v>
      </c>
      <c r="GQ13">
        <v>2198</v>
      </c>
      <c r="GR13" s="60" t="s">
        <v>1597</v>
      </c>
      <c r="GT13" s="358" t="s">
        <v>1014</v>
      </c>
      <c r="GU13">
        <f>1800.04+1800.05</f>
        <v>3600.09</v>
      </c>
      <c r="GV13" s="66" t="s">
        <v>1523</v>
      </c>
      <c r="GW13">
        <v>4266</v>
      </c>
      <c r="GX13" t="s">
        <v>1625</v>
      </c>
      <c r="GZ13" s="358" t="s">
        <v>1014</v>
      </c>
      <c r="HA13">
        <v>1800.06</v>
      </c>
      <c r="HB13" s="66" t="s">
        <v>1522</v>
      </c>
      <c r="HC13">
        <v>700</v>
      </c>
      <c r="HD13" t="s">
        <v>1625</v>
      </c>
      <c r="HF13" s="358" t="s">
        <v>1014</v>
      </c>
      <c r="HG13">
        <v>1900.07</v>
      </c>
      <c r="HH13" s="66" t="s">
        <v>1523</v>
      </c>
      <c r="HI13">
        <v>3957</v>
      </c>
      <c r="HL13" s="352" t="s">
        <v>1833</v>
      </c>
      <c r="HM13">
        <v>140.44999999999999</v>
      </c>
      <c r="HN13" s="66" t="s">
        <v>1522</v>
      </c>
      <c r="HO13">
        <v>561</v>
      </c>
      <c r="HQ13" s="248"/>
      <c r="HR13" s="352" t="s">
        <v>2088</v>
      </c>
      <c r="HS13" s="420">
        <f>2525.92/6</f>
        <v>420.98666666666668</v>
      </c>
      <c r="HT13" s="6" t="s">
        <v>1855</v>
      </c>
      <c r="HU13">
        <v>499</v>
      </c>
      <c r="HV13" t="s">
        <v>2365</v>
      </c>
      <c r="HW13" s="248">
        <v>14.49</v>
      </c>
      <c r="HX13" s="252" t="s">
        <v>2284</v>
      </c>
      <c r="HY13">
        <v>10.96</v>
      </c>
      <c r="HZ13" s="66" t="s">
        <v>1522</v>
      </c>
      <c r="IA13" s="145">
        <v>1075</v>
      </c>
      <c r="IB13" t="s">
        <v>2350</v>
      </c>
      <c r="IC13" s="538">
        <v>203.43</v>
      </c>
      <c r="ID13" s="557" t="s">
        <v>2032</v>
      </c>
      <c r="IE13" s="279">
        <v>25000</v>
      </c>
      <c r="IF13" s="66" t="s">
        <v>1910</v>
      </c>
      <c r="IG13" s="2">
        <v>361</v>
      </c>
      <c r="IH13" t="s">
        <v>2412</v>
      </c>
      <c r="II13" s="559">
        <f>160+85</f>
        <v>245</v>
      </c>
      <c r="IJ13" s="353" t="s">
        <v>2483</v>
      </c>
      <c r="IK13">
        <f>139.5+131.4</f>
        <v>270.89999999999998</v>
      </c>
      <c r="IL13" s="66" t="s">
        <v>2445</v>
      </c>
      <c r="IM13" s="275">
        <v>869</v>
      </c>
      <c r="IN13" t="s">
        <v>2449</v>
      </c>
      <c r="IO13" s="559"/>
      <c r="IP13" s="352" t="s">
        <v>2589</v>
      </c>
      <c r="IQ13" s="420">
        <f>2750.62/3</f>
        <v>916.87333333333333</v>
      </c>
      <c r="IR13" s="261" t="s">
        <v>2594</v>
      </c>
      <c r="IS13" s="2">
        <v>142</v>
      </c>
      <c r="IV13" s="252" t="s">
        <v>2697</v>
      </c>
      <c r="IW13" s="2">
        <f>IW14*2</f>
        <v>2116.9666666666667</v>
      </c>
      <c r="IX13" s="629" t="s">
        <v>1523</v>
      </c>
      <c r="IY13" s="275">
        <v>618</v>
      </c>
      <c r="IZ13" s="684" t="s">
        <v>2181</v>
      </c>
      <c r="JA13" s="559"/>
      <c r="JB13" s="352" t="s">
        <v>2692</v>
      </c>
      <c r="JC13" s="61" t="s">
        <v>2704</v>
      </c>
      <c r="JD13" s="689" t="s">
        <v>1523</v>
      </c>
      <c r="JE13" s="275">
        <v>566</v>
      </c>
      <c r="JF13" s="668">
        <v>44976</v>
      </c>
      <c r="JG13" s="275"/>
    </row>
    <row r="14" spans="1:267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1070</v>
      </c>
      <c r="S14" s="63" t="s">
        <v>129</v>
      </c>
      <c r="T14" s="64">
        <v>-17</v>
      </c>
      <c r="U14" t="s">
        <v>1070</v>
      </c>
      <c r="W14" s="197" t="s">
        <v>1079</v>
      </c>
      <c r="X14" s="145">
        <v>2500.11</v>
      </c>
      <c r="Y14" s="63" t="s">
        <v>1076</v>
      </c>
      <c r="Z14" s="64">
        <v>11.6</v>
      </c>
      <c r="AA14" t="s">
        <v>1070</v>
      </c>
      <c r="AC14" s="169" t="s">
        <v>1107</v>
      </c>
      <c r="AD14" s="145">
        <v>0</v>
      </c>
      <c r="AE14" s="63" t="s">
        <v>239</v>
      </c>
      <c r="AF14" s="64"/>
      <c r="AI14" s="169" t="s">
        <v>1107</v>
      </c>
      <c r="AJ14" s="145">
        <v>0</v>
      </c>
      <c r="AK14" s="63" t="s">
        <v>239</v>
      </c>
      <c r="AL14" s="64"/>
      <c r="AM14" t="s">
        <v>1152</v>
      </c>
      <c r="AO14" s="197" t="s">
        <v>1136</v>
      </c>
      <c r="AP14" s="145">
        <f>1800-700</f>
        <v>1100</v>
      </c>
      <c r="AQ14" s="63" t="s">
        <v>1164</v>
      </c>
      <c r="AR14" s="64"/>
      <c r="AU14" s="197" t="s">
        <v>313</v>
      </c>
      <c r="AW14" s="63" t="s">
        <v>1164</v>
      </c>
      <c r="AX14" s="64"/>
      <c r="AY14" s="197"/>
      <c r="BA14" s="63" t="s">
        <v>1164</v>
      </c>
      <c r="BB14" s="64">
        <f t="shared" si="0"/>
        <v>0</v>
      </c>
      <c r="BE14" s="197" t="s">
        <v>313</v>
      </c>
      <c r="BG14" s="63" t="s">
        <v>1164</v>
      </c>
      <c r="BH14" s="90"/>
      <c r="BK14" s="270" t="s">
        <v>1237</v>
      </c>
      <c r="BL14" s="210">
        <v>100</v>
      </c>
      <c r="BM14" s="63" t="s">
        <v>1164</v>
      </c>
      <c r="BN14" s="90"/>
      <c r="BQ14" s="270" t="s">
        <v>1255</v>
      </c>
      <c r="BR14" s="210">
        <v>100</v>
      </c>
      <c r="BS14" s="63" t="s">
        <v>1164</v>
      </c>
      <c r="BT14" s="233"/>
      <c r="BW14" s="270" t="s">
        <v>1275</v>
      </c>
      <c r="BX14" s="210">
        <v>100</v>
      </c>
      <c r="BY14" s="63" t="s">
        <v>1112</v>
      </c>
      <c r="BZ14" s="64">
        <v>-1140</v>
      </c>
      <c r="CA14" s="78" t="s">
        <v>1310</v>
      </c>
      <c r="CB14" s="9">
        <v>8.2200000000000006</v>
      </c>
      <c r="CC14" s="270" t="s">
        <v>1309</v>
      </c>
      <c r="CD14" s="210">
        <v>100</v>
      </c>
      <c r="CE14" s="63" t="s">
        <v>1112</v>
      </c>
      <c r="CF14" s="64">
        <v>-1779</v>
      </c>
      <c r="CG14" s="6" t="s">
        <v>586</v>
      </c>
      <c r="CI14" s="270" t="s">
        <v>1309</v>
      </c>
      <c r="CJ14" s="210">
        <v>100</v>
      </c>
      <c r="CK14" s="63" t="s">
        <v>129</v>
      </c>
      <c r="CL14" s="64" t="s">
        <v>1315</v>
      </c>
      <c r="CM14" s="6" t="s">
        <v>586</v>
      </c>
      <c r="CO14" s="270" t="s">
        <v>1309</v>
      </c>
      <c r="CP14" s="210">
        <v>100</v>
      </c>
      <c r="CQ14" s="63" t="s">
        <v>1112</v>
      </c>
      <c r="CR14" s="64">
        <v>-826</v>
      </c>
      <c r="CS14" s="6"/>
      <c r="CT14" s="6"/>
      <c r="CU14" s="296" t="s">
        <v>1342</v>
      </c>
      <c r="CV14" s="223">
        <f>12.91+6+14.99</f>
        <v>33.9</v>
      </c>
      <c r="CW14" s="63" t="s">
        <v>1112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1164</v>
      </c>
      <c r="DD14" s="75"/>
      <c r="DE14" s="78" t="s">
        <v>1820</v>
      </c>
      <c r="DF14" s="9">
        <v>1.07</v>
      </c>
      <c r="DG14" s="304" t="s">
        <v>1499</v>
      </c>
      <c r="DH14" s="286">
        <v>2193</v>
      </c>
      <c r="DI14" s="63" t="s">
        <v>1112</v>
      </c>
      <c r="DJ14" s="64">
        <v>-2174</v>
      </c>
      <c r="DK14" s="6" t="s">
        <v>586</v>
      </c>
      <c r="DM14" s="304" t="s">
        <v>1533</v>
      </c>
      <c r="DN14" s="286">
        <v>100</v>
      </c>
      <c r="DO14" s="254" t="s">
        <v>1074</v>
      </c>
      <c r="DP14" s="70">
        <v>130.001</v>
      </c>
      <c r="DQ14" s="6" t="s">
        <v>1595</v>
      </c>
      <c r="DS14" s="304" t="s">
        <v>1557</v>
      </c>
      <c r="DT14" s="309">
        <f>15000.01+20000.01</f>
        <v>35000.019999999997</v>
      </c>
      <c r="DU14" s="319" t="s">
        <v>1575</v>
      </c>
      <c r="DV14" s="320"/>
      <c r="DW14" t="s">
        <v>1506</v>
      </c>
      <c r="DX14" t="s">
        <v>694</v>
      </c>
      <c r="DY14" s="343" t="s">
        <v>1618</v>
      </c>
      <c r="DZ14" t="s">
        <v>694</v>
      </c>
      <c r="EA14" s="63" t="s">
        <v>1518</v>
      </c>
      <c r="EB14" s="233">
        <f>9880+1491</f>
        <v>11371</v>
      </c>
      <c r="EE14" s="343" t="s">
        <v>1618</v>
      </c>
      <c r="EF14" t="s">
        <v>694</v>
      </c>
      <c r="EH14" s="1" t="s">
        <v>1585</v>
      </c>
      <c r="EI14" s="279">
        <v>10000</v>
      </c>
      <c r="EJ14" t="s">
        <v>1625</v>
      </c>
      <c r="EL14" s="252" t="s">
        <v>1342</v>
      </c>
      <c r="EM14" t="s">
        <v>694</v>
      </c>
      <c r="EN14" s="1" t="s">
        <v>1486</v>
      </c>
      <c r="EO14" s="279">
        <f>5000+3000</f>
        <v>8000</v>
      </c>
      <c r="EP14" t="s">
        <v>1212</v>
      </c>
      <c r="EQ14">
        <v>130</v>
      </c>
      <c r="ER14" s="357" t="s">
        <v>1179</v>
      </c>
      <c r="ET14" s="1" t="s">
        <v>1718</v>
      </c>
      <c r="EU14" s="279">
        <v>11000</v>
      </c>
      <c r="EV14" t="s">
        <v>1296</v>
      </c>
      <c r="EW14">
        <f>19.9+11.7</f>
        <v>31.599999999999998</v>
      </c>
      <c r="EX14" s="357" t="s">
        <v>1179</v>
      </c>
      <c r="EZ14" s="1" t="s">
        <v>1718</v>
      </c>
      <c r="FA14" s="279">
        <v>6000</v>
      </c>
      <c r="FB14" t="s">
        <v>1296</v>
      </c>
      <c r="FC14">
        <v>9.9</v>
      </c>
      <c r="FD14" s="353" t="s">
        <v>1802</v>
      </c>
      <c r="FE14">
        <v>10</v>
      </c>
      <c r="FF14" s="1" t="s">
        <v>1718</v>
      </c>
      <c r="FG14" s="279">
        <v>3000</v>
      </c>
      <c r="FJ14" s="353" t="s">
        <v>1809</v>
      </c>
      <c r="FK14" t="s">
        <v>694</v>
      </c>
      <c r="FL14" s="261" t="s">
        <v>1827</v>
      </c>
      <c r="FM14" s="261"/>
      <c r="FN14" t="s">
        <v>1816</v>
      </c>
      <c r="FO14" t="s">
        <v>694</v>
      </c>
      <c r="FP14" s="252" t="s">
        <v>1866</v>
      </c>
      <c r="FQ14">
        <v>1000</v>
      </c>
      <c r="FR14" t="s">
        <v>1839</v>
      </c>
      <c r="FS14" s="2">
        <f>-60000-24000</f>
        <v>-84000</v>
      </c>
      <c r="FT14" t="s">
        <v>1625</v>
      </c>
      <c r="FV14" s="252" t="s">
        <v>1866</v>
      </c>
      <c r="FW14">
        <v>4000</v>
      </c>
      <c r="FX14" s="66" t="s">
        <v>1910</v>
      </c>
      <c r="FY14">
        <v>1218</v>
      </c>
      <c r="GB14" s="358" t="s">
        <v>2087</v>
      </c>
      <c r="GC14">
        <v>1000</v>
      </c>
      <c r="GD14" s="66" t="s">
        <v>1910</v>
      </c>
      <c r="GE14">
        <v>1258</v>
      </c>
      <c r="GF14" t="s">
        <v>1578</v>
      </c>
      <c r="GG14">
        <v>43</v>
      </c>
      <c r="GH14" s="358" t="s">
        <v>1999</v>
      </c>
      <c r="GI14">
        <v>2000</v>
      </c>
      <c r="GJ14" s="66" t="s">
        <v>1915</v>
      </c>
      <c r="GK14">
        <v>567</v>
      </c>
      <c r="GL14" t="s">
        <v>1625</v>
      </c>
      <c r="GN14" s="252" t="s">
        <v>2038</v>
      </c>
      <c r="GP14" s="66" t="s">
        <v>1915</v>
      </c>
      <c r="GQ14">
        <v>642</v>
      </c>
      <c r="GR14" t="s">
        <v>1578</v>
      </c>
      <c r="GS14">
        <v>50</v>
      </c>
      <c r="GT14" s="358" t="s">
        <v>2086</v>
      </c>
      <c r="GU14">
        <v>1000.05</v>
      </c>
      <c r="GV14" s="66" t="s">
        <v>1915</v>
      </c>
      <c r="GW14">
        <v>21</v>
      </c>
      <c r="GX14" s="260" t="s">
        <v>429</v>
      </c>
      <c r="GY14">
        <v>137</v>
      </c>
      <c r="GZ14" s="252" t="s">
        <v>2089</v>
      </c>
      <c r="HA14" s="409">
        <f>HA19*5</f>
        <v>2104.9333333333334</v>
      </c>
      <c r="HB14" s="66" t="s">
        <v>1523</v>
      </c>
      <c r="HC14">
        <v>2184</v>
      </c>
      <c r="HD14" s="260" t="s">
        <v>2251</v>
      </c>
      <c r="HE14">
        <v>90</v>
      </c>
      <c r="HF14" s="252" t="s">
        <v>1852</v>
      </c>
      <c r="HG14">
        <v>1000</v>
      </c>
      <c r="HH14" s="66" t="s">
        <v>1915</v>
      </c>
      <c r="HI14">
        <v>3063</v>
      </c>
      <c r="HJ14" s="708" t="s">
        <v>2203</v>
      </c>
      <c r="HK14" s="708"/>
      <c r="HL14" s="352" t="s">
        <v>1212</v>
      </c>
      <c r="HM14">
        <f>6.5+15</f>
        <v>21.5</v>
      </c>
      <c r="HN14" s="66" t="s">
        <v>1523</v>
      </c>
      <c r="HO14">
        <v>912</v>
      </c>
      <c r="HR14" s="352" t="s">
        <v>1967</v>
      </c>
      <c r="HS14" s="6">
        <v>71.900000000000006</v>
      </c>
      <c r="HT14" s="66" t="s">
        <v>1522</v>
      </c>
      <c r="HU14">
        <v>1235</v>
      </c>
      <c r="HW14" s="248"/>
      <c r="HX14" s="252" t="s">
        <v>2677</v>
      </c>
      <c r="HY14" s="2">
        <f>-IA6</f>
        <v>420000</v>
      </c>
      <c r="HZ14" s="66" t="s">
        <v>1523</v>
      </c>
      <c r="IA14" s="145">
        <v>2028</v>
      </c>
      <c r="IB14" t="s">
        <v>2351</v>
      </c>
      <c r="IC14" s="537">
        <v>13.56</v>
      </c>
      <c r="ID14" s="557" t="s">
        <v>2408</v>
      </c>
      <c r="IE14" s="279">
        <v>2000</v>
      </c>
      <c r="IF14" s="66" t="s">
        <v>2220</v>
      </c>
      <c r="IG14" s="2">
        <v>1000</v>
      </c>
      <c r="II14" s="559"/>
      <c r="IJ14" s="252" t="s">
        <v>2275</v>
      </c>
      <c r="IK14">
        <v>100</v>
      </c>
      <c r="IL14" s="535" t="s">
        <v>2479</v>
      </c>
      <c r="IM14" s="275">
        <v>3140</v>
      </c>
      <c r="IN14" t="s">
        <v>2181</v>
      </c>
      <c r="IO14" s="559">
        <f>75+12</f>
        <v>87</v>
      </c>
      <c r="IP14" s="352" t="s">
        <v>2193</v>
      </c>
      <c r="IQ14" s="618">
        <v>30</v>
      </c>
      <c r="IR14" s="66" t="s">
        <v>2503</v>
      </c>
      <c r="IS14" s="2" t="s">
        <v>2591</v>
      </c>
      <c r="IT14" s="626" t="s">
        <v>2449</v>
      </c>
      <c r="IU14" s="559"/>
      <c r="IV14" s="352" t="s">
        <v>2586</v>
      </c>
      <c r="IW14" s="2">
        <f>3175.45/3</f>
        <v>1058.4833333333333</v>
      </c>
      <c r="IX14" s="629" t="s">
        <v>2599</v>
      </c>
      <c r="IY14" s="683">
        <v>24</v>
      </c>
      <c r="IZ14" s="684" t="s">
        <v>2598</v>
      </c>
      <c r="JA14" s="537"/>
      <c r="JB14" s="352" t="s">
        <v>2193</v>
      </c>
      <c r="JD14" s="689" t="s">
        <v>2599</v>
      </c>
      <c r="JE14" s="683">
        <v>24</v>
      </c>
      <c r="JF14" s="668">
        <v>44972</v>
      </c>
    </row>
    <row r="15" spans="1:267" x14ac:dyDescent="0.2">
      <c r="A15" s="63" t="s">
        <v>1112</v>
      </c>
      <c r="B15" s="64">
        <v>-1047</v>
      </c>
      <c r="E15" s="173" t="s">
        <v>1014</v>
      </c>
      <c r="F15" s="173">
        <f>2500*5</f>
        <v>12500</v>
      </c>
      <c r="G15" s="63" t="s">
        <v>1112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1071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1071</v>
      </c>
      <c r="V15">
        <v>0</v>
      </c>
      <c r="W15" s="197" t="s">
        <v>1081</v>
      </c>
      <c r="X15" s="145">
        <v>100</v>
      </c>
      <c r="Y15" s="63" t="s">
        <v>1093</v>
      </c>
      <c r="Z15" s="64">
        <v>110.001</v>
      </c>
      <c r="AA15" t="s">
        <v>1071</v>
      </c>
      <c r="AB15">
        <v>0</v>
      </c>
      <c r="AC15" s="250" t="s">
        <v>1041</v>
      </c>
      <c r="AD15" s="145">
        <v>0</v>
      </c>
      <c r="AE15" s="63" t="s">
        <v>1112</v>
      </c>
      <c r="AF15" s="64">
        <v>-1678.46</v>
      </c>
      <c r="AG15" t="s">
        <v>1077</v>
      </c>
      <c r="AI15" s="250" t="s">
        <v>1041</v>
      </c>
      <c r="AJ15" s="145">
        <v>0</v>
      </c>
      <c r="AK15" s="63" t="s">
        <v>1112</v>
      </c>
      <c r="AL15" s="64">
        <v>-2265</v>
      </c>
      <c r="AM15" t="s">
        <v>1157</v>
      </c>
      <c r="AN15">
        <v>17</v>
      </c>
      <c r="AO15" s="197" t="s">
        <v>1135</v>
      </c>
      <c r="AP15" s="145">
        <v>3300</v>
      </c>
      <c r="AQ15" s="63" t="s">
        <v>1112</v>
      </c>
      <c r="AR15" s="64">
        <v>-292</v>
      </c>
      <c r="AU15" s="197" t="s">
        <v>1173</v>
      </c>
      <c r="AV15" s="145">
        <v>200</v>
      </c>
      <c r="AW15" s="63" t="s">
        <v>1112</v>
      </c>
      <c r="AX15" s="64">
        <v>-1148</v>
      </c>
      <c r="AY15" s="197"/>
      <c r="BA15" s="63" t="s">
        <v>1112</v>
      </c>
      <c r="BB15" s="64">
        <f t="shared" si="0"/>
        <v>-1148</v>
      </c>
      <c r="BE15" s="197" t="s">
        <v>1211</v>
      </c>
      <c r="BF15" s="145" t="s">
        <v>694</v>
      </c>
      <c r="BG15" s="63" t="s">
        <v>1112</v>
      </c>
      <c r="BH15">
        <v>-1906</v>
      </c>
      <c r="BI15" s="9" t="s">
        <v>1077</v>
      </c>
      <c r="BJ15" s="6" t="s">
        <v>694</v>
      </c>
      <c r="BK15" s="270" t="s">
        <v>313</v>
      </c>
      <c r="BL15" s="223" t="s">
        <v>694</v>
      </c>
      <c r="BM15" s="63" t="s">
        <v>1112</v>
      </c>
      <c r="BN15" s="63">
        <v>-1333</v>
      </c>
      <c r="BO15" s="9" t="s">
        <v>1077</v>
      </c>
      <c r="BP15" s="6" t="s">
        <v>694</v>
      </c>
      <c r="BQ15" s="270" t="s">
        <v>313</v>
      </c>
      <c r="BR15" s="210" t="s">
        <v>694</v>
      </c>
      <c r="BS15" s="63" t="s">
        <v>1112</v>
      </c>
      <c r="BT15" s="233">
        <v>-1444</v>
      </c>
      <c r="BW15" s="270" t="s">
        <v>313</v>
      </c>
      <c r="BX15" s="210" t="s">
        <v>694</v>
      </c>
      <c r="BY15" s="63" t="s">
        <v>1076</v>
      </c>
      <c r="BZ15" s="64">
        <v>73</v>
      </c>
      <c r="CA15" s="6" t="s">
        <v>1283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1311</v>
      </c>
      <c r="CH15" s="6">
        <v>20.100000000000001</v>
      </c>
      <c r="CI15" s="270" t="s">
        <v>1319</v>
      </c>
      <c r="CJ15" s="210">
        <v>1000</v>
      </c>
      <c r="CK15" s="63" t="s">
        <v>1221</v>
      </c>
      <c r="CL15" s="64">
        <v>15.87</v>
      </c>
      <c r="CM15" s="78" t="s">
        <v>1345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1309</v>
      </c>
      <c r="CV15" s="210">
        <v>100</v>
      </c>
      <c r="CW15" s="63" t="s">
        <v>129</v>
      </c>
      <c r="CX15" s="64" t="s">
        <v>694</v>
      </c>
      <c r="CY15" s="78" t="s">
        <v>1361</v>
      </c>
      <c r="CZ15" s="6"/>
      <c r="DA15" s="304" t="s">
        <v>1335</v>
      </c>
      <c r="DB15" s="223">
        <v>1800.12</v>
      </c>
      <c r="DC15" s="63" t="s">
        <v>1112</v>
      </c>
      <c r="DD15" s="64">
        <v>-2258</v>
      </c>
      <c r="DE15" s="78" t="s">
        <v>1821</v>
      </c>
      <c r="DF15" s="6">
        <v>11.94</v>
      </c>
      <c r="DG15" s="304" t="s">
        <v>1477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1541</v>
      </c>
      <c r="DN15" s="286">
        <v>2700</v>
      </c>
      <c r="DO15" s="738" t="s">
        <v>1521</v>
      </c>
      <c r="DP15" s="739"/>
      <c r="DQ15" s="78" t="s">
        <v>1594</v>
      </c>
      <c r="DR15" s="6">
        <v>128.4</v>
      </c>
      <c r="DS15" s="304" t="s">
        <v>1555</v>
      </c>
      <c r="DT15" s="286" t="s">
        <v>694</v>
      </c>
      <c r="DU15" s="63" t="s">
        <v>1518</v>
      </c>
      <c r="DV15" s="233">
        <f>10013+1491</f>
        <v>11504</v>
      </c>
      <c r="DY15" s="249"/>
      <c r="DZ15" s="212"/>
      <c r="EA15" s="63" t="s">
        <v>1585</v>
      </c>
      <c r="EB15" s="277">
        <v>10000</v>
      </c>
      <c r="EC15" t="s">
        <v>1595</v>
      </c>
      <c r="EE15" s="249" t="s">
        <v>1039</v>
      </c>
      <c r="EF15" s="212" t="s">
        <v>694</v>
      </c>
      <c r="EH15" s="1" t="s">
        <v>1586</v>
      </c>
      <c r="EI15" s="279">
        <v>10000</v>
      </c>
      <c r="EL15" s="357" t="s">
        <v>1395</v>
      </c>
      <c r="EM15">
        <v>1476</v>
      </c>
      <c r="EN15" s="1" t="s">
        <v>1474</v>
      </c>
      <c r="EO15" s="279">
        <f>5000+5000</f>
        <v>10000</v>
      </c>
      <c r="ER15" s="353" t="s">
        <v>1709</v>
      </c>
      <c r="ES15" s="145">
        <v>10</v>
      </c>
      <c r="ET15" s="6" t="s">
        <v>1727</v>
      </c>
      <c r="EU15" s="281">
        <v>1000</v>
      </c>
      <c r="EV15" t="s">
        <v>1752</v>
      </c>
      <c r="EW15">
        <v>104</v>
      </c>
      <c r="EX15" s="353" t="s">
        <v>1748</v>
      </c>
      <c r="EY15" s="212">
        <v>481.5</v>
      </c>
      <c r="EZ15" s="6" t="s">
        <v>1727</v>
      </c>
      <c r="FA15" s="281">
        <v>1000</v>
      </c>
      <c r="FB15" t="s">
        <v>1770</v>
      </c>
      <c r="FC15">
        <v>31.1</v>
      </c>
      <c r="FD15" s="353" t="s">
        <v>1803</v>
      </c>
      <c r="FE15">
        <v>11.25</v>
      </c>
      <c r="FF15" s="6" t="s">
        <v>1727</v>
      </c>
      <c r="FG15" s="281">
        <v>1000</v>
      </c>
      <c r="FH15" s="60" t="s">
        <v>1596</v>
      </c>
      <c r="FJ15" s="353" t="s">
        <v>1831</v>
      </c>
      <c r="FK15" s="212">
        <v>35.32</v>
      </c>
      <c r="FL15" s="1" t="s">
        <v>1518</v>
      </c>
      <c r="FM15" s="279">
        <v>478</v>
      </c>
      <c r="FP15" s="252" t="s">
        <v>1852</v>
      </c>
      <c r="FQ15">
        <v>10000</v>
      </c>
      <c r="FR15" s="261" t="s">
        <v>1842</v>
      </c>
      <c r="FS15" s="261"/>
      <c r="FT15" s="260" t="s">
        <v>429</v>
      </c>
      <c r="FU15">
        <v>67</v>
      </c>
      <c r="FV15" s="252" t="s">
        <v>1923</v>
      </c>
      <c r="FW15">
        <f>10000+20000+30000</f>
        <v>60000</v>
      </c>
      <c r="FX15" s="66" t="s">
        <v>1429</v>
      </c>
      <c r="FY15" s="6">
        <v>0</v>
      </c>
      <c r="FZ15" t="s">
        <v>1625</v>
      </c>
      <c r="GB15" s="252" t="s">
        <v>1923</v>
      </c>
      <c r="GC15">
        <v>63477.54</v>
      </c>
      <c r="GD15" s="66" t="s">
        <v>1429</v>
      </c>
      <c r="GE15" s="6">
        <v>0</v>
      </c>
      <c r="GH15" s="252" t="s">
        <v>2038</v>
      </c>
      <c r="GJ15" s="66" t="s">
        <v>1910</v>
      </c>
      <c r="GK15">
        <v>268</v>
      </c>
      <c r="GL15" s="260" t="s">
        <v>429</v>
      </c>
      <c r="GM15">
        <v>114</v>
      </c>
      <c r="GN15" s="402" t="s">
        <v>2052</v>
      </c>
      <c r="GO15">
        <v>139.96</v>
      </c>
      <c r="GP15" s="66" t="s">
        <v>1910</v>
      </c>
      <c r="GQ15">
        <v>318</v>
      </c>
      <c r="GT15" s="358" t="s">
        <v>2091</v>
      </c>
      <c r="GU15">
        <v>35.1</v>
      </c>
      <c r="GV15" s="66" t="s">
        <v>1910</v>
      </c>
      <c r="GW15">
        <v>360</v>
      </c>
      <c r="GX15" t="s">
        <v>2130</v>
      </c>
      <c r="GY15">
        <v>40</v>
      </c>
      <c r="GZ15" s="402" t="s">
        <v>2129</v>
      </c>
      <c r="HA15">
        <v>1476</v>
      </c>
      <c r="HB15" s="66" t="s">
        <v>1915</v>
      </c>
      <c r="HC15">
        <v>2569</v>
      </c>
      <c r="HD15" t="s">
        <v>1816</v>
      </c>
      <c r="HE15" s="248"/>
      <c r="HF15" s="252" t="s">
        <v>2191</v>
      </c>
      <c r="HG15">
        <v>80</v>
      </c>
      <c r="HH15" s="66" t="s">
        <v>1910</v>
      </c>
      <c r="HI15">
        <v>357</v>
      </c>
      <c r="HJ15" s="426">
        <v>3179.26</v>
      </c>
      <c r="HK15" s="411" t="s">
        <v>2158</v>
      </c>
      <c r="HL15" s="352" t="s">
        <v>2205</v>
      </c>
      <c r="HM15">
        <f>9+10.96</f>
        <v>19.96</v>
      </c>
      <c r="HN15" s="66" t="s">
        <v>1915</v>
      </c>
      <c r="HO15">
        <v>111</v>
      </c>
      <c r="HP15" s="414"/>
      <c r="HQ15" s="411"/>
      <c r="HR15" s="352" t="s">
        <v>2193</v>
      </c>
      <c r="HS15">
        <v>132.94999999999999</v>
      </c>
      <c r="HT15" s="66" t="s">
        <v>1523</v>
      </c>
      <c r="HU15">
        <v>1573</v>
      </c>
      <c r="HV15" t="s">
        <v>2330</v>
      </c>
      <c r="HW15" s="52"/>
      <c r="HX15" s="252" t="s">
        <v>2337</v>
      </c>
      <c r="HY15" s="420">
        <f>HY16*5</f>
        <v>2104.9333333333334</v>
      </c>
      <c r="HZ15" s="66" t="s">
        <v>2325</v>
      </c>
      <c r="IA15" s="275">
        <v>442</v>
      </c>
      <c r="IB15" t="s">
        <v>2364</v>
      </c>
      <c r="IC15" s="537"/>
      <c r="ID15" s="558" t="s">
        <v>2409</v>
      </c>
      <c r="IE15" s="279">
        <v>4000</v>
      </c>
      <c r="IF15" s="66" t="s">
        <v>2356</v>
      </c>
      <c r="IG15" s="2">
        <f>12000+100000+33000</f>
        <v>145000</v>
      </c>
      <c r="IH15" t="s">
        <v>2449</v>
      </c>
      <c r="II15" s="537"/>
      <c r="IJ15" s="252" t="s">
        <v>2407</v>
      </c>
      <c r="IK15" s="420">
        <f>IK16*2</f>
        <v>1833.7466666666667</v>
      </c>
      <c r="IL15" s="66" t="s">
        <v>1915</v>
      </c>
      <c r="IM15" s="275">
        <v>450</v>
      </c>
      <c r="IN15" t="s">
        <v>2490</v>
      </c>
      <c r="IO15" s="537">
        <v>12.4</v>
      </c>
      <c r="IP15" s="352" t="s">
        <v>2373</v>
      </c>
      <c r="IQ15" s="580">
        <v>119.64</v>
      </c>
      <c r="IR15" s="261" t="s">
        <v>2488</v>
      </c>
      <c r="IS15" s="2">
        <f>100*(120+1000+330+310)</f>
        <v>176000</v>
      </c>
      <c r="IT15" s="626" t="s">
        <v>2674</v>
      </c>
      <c r="IU15" s="559">
        <v>43</v>
      </c>
      <c r="IV15" s="352" t="s">
        <v>2605</v>
      </c>
      <c r="IW15" s="61">
        <v>47.54</v>
      </c>
      <c r="IX15" s="535" t="s">
        <v>2505</v>
      </c>
      <c r="IY15" s="248">
        <v>65005</v>
      </c>
      <c r="IZ15" s="684" t="s">
        <v>2696</v>
      </c>
      <c r="JB15" s="352" t="s">
        <v>2700</v>
      </c>
      <c r="JC15" s="580" t="s">
        <v>2707</v>
      </c>
      <c r="JD15" s="535" t="s">
        <v>2505</v>
      </c>
      <c r="JE15" s="248">
        <v>65005</v>
      </c>
      <c r="JF15" s="668"/>
    </row>
    <row r="16" spans="1:267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1065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1076</v>
      </c>
      <c r="AF16" s="64">
        <v>56.76</v>
      </c>
      <c r="AG16" s="108" t="s">
        <v>1118</v>
      </c>
      <c r="AH16">
        <v>0</v>
      </c>
      <c r="AI16" s="250" t="s">
        <v>1038</v>
      </c>
      <c r="AJ16" s="210">
        <v>0</v>
      </c>
      <c r="AK16" s="63" t="s">
        <v>1076</v>
      </c>
      <c r="AL16" s="64">
        <v>46</v>
      </c>
      <c r="AM16" t="s">
        <v>1158</v>
      </c>
      <c r="AN16">
        <v>54</v>
      </c>
      <c r="AO16" s="197" t="s">
        <v>1139</v>
      </c>
      <c r="AP16" s="145">
        <v>1000</v>
      </c>
      <c r="AQ16" s="63" t="s">
        <v>1076</v>
      </c>
      <c r="AR16" s="64">
        <v>46.47</v>
      </c>
      <c r="AS16" t="s">
        <v>1077</v>
      </c>
      <c r="AT16" t="s">
        <v>694</v>
      </c>
      <c r="AU16" s="197" t="s">
        <v>1174</v>
      </c>
      <c r="AV16" s="145">
        <v>500</v>
      </c>
      <c r="AW16" s="63" t="s">
        <v>1076</v>
      </c>
      <c r="AX16" s="64">
        <v>46.47</v>
      </c>
      <c r="AY16" s="197"/>
      <c r="BA16" s="63" t="s">
        <v>1076</v>
      </c>
      <c r="BB16" s="64">
        <f t="shared" si="0"/>
        <v>46.47</v>
      </c>
      <c r="BC16" t="s">
        <v>1077</v>
      </c>
      <c r="BD16" t="s">
        <v>694</v>
      </c>
      <c r="BE16" s="197" t="s">
        <v>1209</v>
      </c>
      <c r="BF16" s="210">
        <v>100</v>
      </c>
      <c r="BG16" s="63" t="s">
        <v>1076</v>
      </c>
      <c r="BH16" s="64">
        <v>46.47</v>
      </c>
      <c r="BI16" s="9" t="s">
        <v>1128</v>
      </c>
      <c r="BJ16" s="6" t="s">
        <v>694</v>
      </c>
      <c r="BK16" s="270"/>
      <c r="BM16" s="63" t="s">
        <v>1076</v>
      </c>
      <c r="BN16" s="64">
        <v>46.47</v>
      </c>
      <c r="BO16" s="9" t="s">
        <v>1128</v>
      </c>
      <c r="BP16" s="6" t="s">
        <v>694</v>
      </c>
      <c r="BQ16" s="270"/>
      <c r="BS16" s="63" t="s">
        <v>1076</v>
      </c>
      <c r="BT16" s="233">
        <v>27</v>
      </c>
      <c r="BW16" s="270"/>
      <c r="BY16" s="63" t="s">
        <v>1221</v>
      </c>
      <c r="BZ16" s="64">
        <v>17.001000000000001</v>
      </c>
      <c r="CA16" s="6" t="s">
        <v>1252</v>
      </c>
      <c r="CB16" s="6">
        <v>7</v>
      </c>
      <c r="CC16" s="270"/>
      <c r="CE16" s="63" t="s">
        <v>1221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1346</v>
      </c>
      <c r="CN16" s="6"/>
      <c r="CO16" s="270"/>
      <c r="CQ16" s="63" t="s">
        <v>1221</v>
      </c>
      <c r="CR16" s="64">
        <v>15.87</v>
      </c>
      <c r="CS16" s="78" t="s">
        <v>1362</v>
      </c>
      <c r="CT16" s="6">
        <v>150</v>
      </c>
      <c r="CU16" s="296" t="s">
        <v>313</v>
      </c>
      <c r="CV16" s="210" t="s">
        <v>694</v>
      </c>
      <c r="CW16" s="63" t="s">
        <v>1221</v>
      </c>
      <c r="CX16" s="64">
        <v>15.87</v>
      </c>
      <c r="CY16" s="9" t="s">
        <v>1077</v>
      </c>
      <c r="CZ16" s="6"/>
      <c r="DA16" s="304" t="s">
        <v>1342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1470</v>
      </c>
      <c r="DH16" s="286">
        <v>100</v>
      </c>
      <c r="DI16" s="63" t="s">
        <v>1221</v>
      </c>
      <c r="DJ16" s="64">
        <v>2.54</v>
      </c>
      <c r="DM16" s="304" t="s">
        <v>1535</v>
      </c>
      <c r="DN16" s="309">
        <v>10001</v>
      </c>
      <c r="DO16" s="63" t="s">
        <v>1518</v>
      </c>
      <c r="DP16" s="233">
        <v>1595</v>
      </c>
      <c r="DS16" s="304" t="s">
        <v>1549</v>
      </c>
      <c r="DT16" s="286">
        <v>100</v>
      </c>
      <c r="DU16" s="63" t="s">
        <v>1585</v>
      </c>
      <c r="DV16" s="277">
        <v>10000</v>
      </c>
      <c r="DW16" t="s">
        <v>1595</v>
      </c>
      <c r="DY16" s="250" t="s">
        <v>1679</v>
      </c>
      <c r="DZ16">
        <v>63.38</v>
      </c>
      <c r="EA16" s="63" t="s">
        <v>1586</v>
      </c>
      <c r="EB16" s="277">
        <v>10000</v>
      </c>
      <c r="EC16" t="s">
        <v>1635</v>
      </c>
      <c r="ED16">
        <v>14.65</v>
      </c>
      <c r="EE16" s="250" t="s">
        <v>1679</v>
      </c>
      <c r="EF16">
        <v>112.09</v>
      </c>
      <c r="EG16" s="212"/>
      <c r="EH16" s="1" t="s">
        <v>1517</v>
      </c>
      <c r="EI16" s="279">
        <v>10000</v>
      </c>
      <c r="EJ16" t="s">
        <v>1595</v>
      </c>
      <c r="EL16" s="353" t="s">
        <v>1667</v>
      </c>
      <c r="EM16" s="212">
        <f>17.77+10.35</f>
        <v>28.119999999999997</v>
      </c>
      <c r="EN16" s="1" t="s">
        <v>1585</v>
      </c>
      <c r="EO16" s="279">
        <v>20000</v>
      </c>
      <c r="EP16" s="60" t="s">
        <v>1596</v>
      </c>
      <c r="ER16" s="353" t="s">
        <v>1039</v>
      </c>
      <c r="ES16" s="364">
        <f>936.25+797.15</f>
        <v>1733.4</v>
      </c>
      <c r="ET16" s="1" t="s">
        <v>1722</v>
      </c>
      <c r="EU16" s="279">
        <v>12000</v>
      </c>
      <c r="EX16" s="352" t="s">
        <v>1354</v>
      </c>
      <c r="EY16">
        <v>125.36</v>
      </c>
      <c r="EZ16" s="6" t="s">
        <v>1756</v>
      </c>
      <c r="FA16" s="281" t="s">
        <v>1933</v>
      </c>
      <c r="FD16" s="353" t="s">
        <v>1039</v>
      </c>
      <c r="FE16" s="212">
        <f>797+936</f>
        <v>1733</v>
      </c>
      <c r="FF16" s="6" t="s">
        <v>1756</v>
      </c>
      <c r="FG16" s="281" t="s">
        <v>1933</v>
      </c>
      <c r="FH16" s="60" t="s">
        <v>1828</v>
      </c>
      <c r="FI16">
        <f>1.86+5.79</f>
        <v>7.65</v>
      </c>
      <c r="FJ16" s="352" t="s">
        <v>1807</v>
      </c>
      <c r="FK16">
        <v>102.91</v>
      </c>
      <c r="FL16" s="1" t="s">
        <v>1718</v>
      </c>
      <c r="FM16" s="279">
        <v>3000</v>
      </c>
      <c r="FN16" t="s">
        <v>1595</v>
      </c>
      <c r="FP16" s="369" t="s">
        <v>1618</v>
      </c>
      <c r="FQ16" t="s">
        <v>694</v>
      </c>
      <c r="FR16" s="1" t="s">
        <v>1518</v>
      </c>
      <c r="FS16" s="279">
        <v>424</v>
      </c>
      <c r="FT16" t="s">
        <v>1816</v>
      </c>
      <c r="FV16" s="252" t="s">
        <v>1852</v>
      </c>
      <c r="FW16">
        <v>5300</v>
      </c>
      <c r="FX16" s="1" t="s">
        <v>1642</v>
      </c>
      <c r="FY16">
        <v>120</v>
      </c>
      <c r="FZ16" s="260" t="s">
        <v>429</v>
      </c>
      <c r="GA16">
        <v>161.63999999999999</v>
      </c>
      <c r="GB16" s="369" t="s">
        <v>1992</v>
      </c>
      <c r="GC16">
        <v>378.81</v>
      </c>
      <c r="GD16" s="1" t="s">
        <v>1642</v>
      </c>
      <c r="GE16">
        <v>130</v>
      </c>
      <c r="GF16" t="s">
        <v>1625</v>
      </c>
      <c r="GH16" s="369" t="s">
        <v>1995</v>
      </c>
      <c r="GI16">
        <v>2454.0500000000002</v>
      </c>
      <c r="GJ16" s="66" t="s">
        <v>1429</v>
      </c>
      <c r="GK16" s="6">
        <v>0</v>
      </c>
      <c r="GN16" s="402" t="s">
        <v>2051</v>
      </c>
      <c r="GO16">
        <v>324.7</v>
      </c>
      <c r="GP16" s="66" t="s">
        <v>1429</v>
      </c>
      <c r="GQ16" s="6">
        <v>0</v>
      </c>
      <c r="GR16" t="s">
        <v>1625</v>
      </c>
      <c r="GT16" s="252" t="s">
        <v>2075</v>
      </c>
      <c r="GU16">
        <f>84250</f>
        <v>84250</v>
      </c>
      <c r="GV16" s="1" t="s">
        <v>1642</v>
      </c>
      <c r="GW16">
        <v>174</v>
      </c>
      <c r="GZ16" s="353" t="s">
        <v>2115</v>
      </c>
      <c r="HA16">
        <f>10+10+120*2</f>
        <v>260</v>
      </c>
      <c r="HB16" s="66" t="s">
        <v>1910</v>
      </c>
      <c r="HC16">
        <v>402</v>
      </c>
      <c r="HE16" s="248"/>
      <c r="HF16" s="252" t="s">
        <v>2089</v>
      </c>
      <c r="HG16" s="420">
        <f>HG20*5</f>
        <v>2104.9333333333334</v>
      </c>
      <c r="HH16" s="1" t="s">
        <v>1642</v>
      </c>
      <c r="HI16">
        <v>90</v>
      </c>
      <c r="HJ16" s="427">
        <v>-114.61</v>
      </c>
      <c r="HK16" t="s">
        <v>2164</v>
      </c>
      <c r="HL16" s="352" t="s">
        <v>2225</v>
      </c>
      <c r="HM16">
        <v>32</v>
      </c>
      <c r="HN16" s="66" t="s">
        <v>1910</v>
      </c>
      <c r="HO16">
        <v>407</v>
      </c>
      <c r="HP16" s="207"/>
      <c r="HR16" s="352" t="s">
        <v>2194</v>
      </c>
      <c r="HS16">
        <v>161.36000000000001</v>
      </c>
      <c r="HT16" s="66" t="s">
        <v>1524</v>
      </c>
      <c r="HU16">
        <v>0</v>
      </c>
      <c r="HV16" s="414" t="s">
        <v>2326</v>
      </c>
      <c r="HW16" s="534">
        <f>18.8+37.6</f>
        <v>56.400000000000006</v>
      </c>
      <c r="HX16" s="352" t="s">
        <v>2088</v>
      </c>
      <c r="HY16" s="420">
        <f>2525.92/6</f>
        <v>420.98666666666668</v>
      </c>
      <c r="HZ16" s="66" t="s">
        <v>1915</v>
      </c>
      <c r="IA16">
        <v>606</v>
      </c>
      <c r="IB16" s="542" t="s">
        <v>2357</v>
      </c>
      <c r="IC16" s="543">
        <f>208.9*2</f>
        <v>417.8</v>
      </c>
      <c r="ID16" s="252" t="s">
        <v>2275</v>
      </c>
      <c r="IE16">
        <v>100</v>
      </c>
      <c r="IF16" s="66" t="s">
        <v>2355</v>
      </c>
      <c r="IG16">
        <f>10500+2</f>
        <v>10502</v>
      </c>
      <c r="IH16" t="s">
        <v>2181</v>
      </c>
      <c r="II16" s="537">
        <f>1.64+37.8</f>
        <v>39.44</v>
      </c>
      <c r="IJ16" s="352" t="s">
        <v>2088</v>
      </c>
      <c r="IK16" s="420">
        <f>2750.62/3</f>
        <v>916.87333333333333</v>
      </c>
      <c r="IL16" s="66" t="s">
        <v>1910</v>
      </c>
      <c r="IM16" s="2">
        <v>102</v>
      </c>
      <c r="IN16" s="577" t="s">
        <v>1816</v>
      </c>
      <c r="IO16" s="537">
        <v>1.55</v>
      </c>
      <c r="IP16" s="352" t="s">
        <v>1212</v>
      </c>
      <c r="IQ16" s="61">
        <f>15+6.5</f>
        <v>21.5</v>
      </c>
      <c r="IR16" s="66" t="s">
        <v>2450</v>
      </c>
      <c r="IS16">
        <f>10502+14002</f>
        <v>24504</v>
      </c>
      <c r="IT16" s="626" t="s">
        <v>2598</v>
      </c>
      <c r="IU16" s="537">
        <v>7.57</v>
      </c>
      <c r="IV16" s="352" t="s">
        <v>2193</v>
      </c>
      <c r="IW16" s="626">
        <f>30+59.31</f>
        <v>89.31</v>
      </c>
      <c r="IX16" s="629" t="s">
        <v>2595</v>
      </c>
      <c r="IY16" s="667">
        <v>4175</v>
      </c>
      <c r="IZ16" s="684" t="s">
        <v>2668</v>
      </c>
      <c r="JA16" s="537"/>
      <c r="JB16" s="352" t="s">
        <v>1212</v>
      </c>
      <c r="JC16" s="61"/>
      <c r="JD16" s="689" t="s">
        <v>2595</v>
      </c>
      <c r="JE16" s="667">
        <v>1275</v>
      </c>
      <c r="JF16" s="668">
        <v>44977</v>
      </c>
    </row>
    <row r="17" spans="1:266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1064</v>
      </c>
      <c r="R17" s="145">
        <v>200</v>
      </c>
      <c r="S17" t="s">
        <v>429</v>
      </c>
      <c r="T17" s="61">
        <v>0</v>
      </c>
      <c r="U17" t="s">
        <v>1077</v>
      </c>
      <c r="W17" s="169" t="s">
        <v>437</v>
      </c>
      <c r="Y17" t="s">
        <v>429</v>
      </c>
      <c r="Z17" s="61">
        <v>0</v>
      </c>
      <c r="AA17" t="s">
        <v>1077</v>
      </c>
      <c r="AC17" s="250" t="s">
        <v>1031</v>
      </c>
      <c r="AD17" s="145">
        <v>0</v>
      </c>
      <c r="AE17" s="63" t="s">
        <v>1093</v>
      </c>
      <c r="AF17" s="64">
        <v>115.37</v>
      </c>
      <c r="AI17" s="250" t="s">
        <v>1031</v>
      </c>
      <c r="AJ17" s="210">
        <v>0</v>
      </c>
      <c r="AK17" s="63" t="s">
        <v>1093</v>
      </c>
      <c r="AL17" s="64">
        <v>115.001</v>
      </c>
      <c r="AO17" s="197" t="s">
        <v>1191</v>
      </c>
      <c r="AP17" s="210">
        <v>100</v>
      </c>
      <c r="AQ17" s="63" t="s">
        <v>1153</v>
      </c>
      <c r="AR17" s="64">
        <v>19</v>
      </c>
      <c r="AS17" s="108"/>
      <c r="AU17" s="197" t="s">
        <v>1175</v>
      </c>
      <c r="AV17" s="145">
        <v>100</v>
      </c>
      <c r="AW17" s="63" t="s">
        <v>1153</v>
      </c>
      <c r="AX17" s="64">
        <v>19.001000000000001</v>
      </c>
      <c r="AY17" s="197"/>
      <c r="BA17" s="63" t="s">
        <v>1153</v>
      </c>
      <c r="BB17" s="64">
        <f t="shared" si="0"/>
        <v>19.001000000000001</v>
      </c>
      <c r="BC17" t="s">
        <v>1128</v>
      </c>
      <c r="BD17" t="s">
        <v>694</v>
      </c>
      <c r="BE17" s="169" t="s">
        <v>2012</v>
      </c>
      <c r="BF17" s="210">
        <v>420</v>
      </c>
      <c r="BG17" s="63" t="s">
        <v>1221</v>
      </c>
      <c r="BH17" s="64">
        <v>17.37</v>
      </c>
      <c r="BK17" s="271" t="s">
        <v>2013</v>
      </c>
      <c r="BL17" s="210">
        <v>459</v>
      </c>
      <c r="BM17" s="63" t="s">
        <v>1221</v>
      </c>
      <c r="BN17" s="64">
        <v>17.37</v>
      </c>
      <c r="BQ17" s="271" t="s">
        <v>479</v>
      </c>
      <c r="BR17" s="210" t="s">
        <v>694</v>
      </c>
      <c r="BS17" s="63" t="s">
        <v>1221</v>
      </c>
      <c r="BT17" s="64">
        <v>17.37</v>
      </c>
      <c r="BU17" s="9" t="s">
        <v>1077</v>
      </c>
      <c r="BV17" s="6" t="s">
        <v>694</v>
      </c>
      <c r="BW17" s="271" t="s">
        <v>1270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1077</v>
      </c>
      <c r="CH17" s="6" t="s">
        <v>694</v>
      </c>
      <c r="CI17" s="270" t="s">
        <v>1336</v>
      </c>
      <c r="CJ17" s="223">
        <v>100</v>
      </c>
      <c r="CK17" s="63" t="s">
        <v>1184</v>
      </c>
      <c r="CL17" s="64"/>
      <c r="CM17" s="9" t="s">
        <v>1077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1360</v>
      </c>
      <c r="CT17" s="9">
        <v>9.75</v>
      </c>
      <c r="CU17" s="271" t="s">
        <v>479</v>
      </c>
      <c r="CV17" s="223" t="s">
        <v>694</v>
      </c>
      <c r="CW17" s="254" t="s">
        <v>1074</v>
      </c>
      <c r="CX17" s="70">
        <v>100.01</v>
      </c>
      <c r="CY17" s="78" t="s">
        <v>1334</v>
      </c>
      <c r="DA17" s="303" t="s">
        <v>1395</v>
      </c>
      <c r="DB17" s="223">
        <v>288.75</v>
      </c>
      <c r="DC17" s="63" t="s">
        <v>1221</v>
      </c>
      <c r="DD17" s="64">
        <v>14.37</v>
      </c>
      <c r="DE17" s="6" t="s">
        <v>586</v>
      </c>
      <c r="DG17" s="304" t="s">
        <v>1471</v>
      </c>
      <c r="DH17" s="286">
        <v>100</v>
      </c>
      <c r="DI17" s="254" t="s">
        <v>1074</v>
      </c>
      <c r="DJ17" s="70">
        <v>100.001</v>
      </c>
      <c r="DM17" s="304" t="s">
        <v>1014</v>
      </c>
      <c r="DN17" s="309">
        <f>1800.02+1800.03</f>
        <v>3600.05</v>
      </c>
      <c r="DO17" s="63" t="s">
        <v>1517</v>
      </c>
      <c r="DP17" s="277">
        <f>10000+10000</f>
        <v>20000</v>
      </c>
      <c r="DS17" s="304" t="s">
        <v>1014</v>
      </c>
      <c r="DT17" s="309">
        <v>1800.04</v>
      </c>
      <c r="DU17" s="63" t="s">
        <v>1586</v>
      </c>
      <c r="DV17" s="277">
        <v>10000</v>
      </c>
      <c r="DW17" t="s">
        <v>1594</v>
      </c>
      <c r="DX17">
        <v>32.1</v>
      </c>
      <c r="DY17" s="250" t="s">
        <v>1452</v>
      </c>
      <c r="DZ17">
        <v>64.88</v>
      </c>
      <c r="EA17" s="63" t="s">
        <v>1517</v>
      </c>
      <c r="EB17" s="277">
        <v>10000</v>
      </c>
      <c r="EE17" s="250" t="s">
        <v>1452</v>
      </c>
      <c r="EF17">
        <v>56.99</v>
      </c>
      <c r="EH17" s="1" t="s">
        <v>1516</v>
      </c>
      <c r="EI17" s="279">
        <v>40000</v>
      </c>
      <c r="EJ17" t="s">
        <v>1212</v>
      </c>
      <c r="EK17">
        <v>19.5</v>
      </c>
      <c r="EL17" s="250" t="s">
        <v>1354</v>
      </c>
      <c r="EM17" t="s">
        <v>1695</v>
      </c>
      <c r="EN17" s="1" t="s">
        <v>1586</v>
      </c>
      <c r="EO17" s="279">
        <v>10000</v>
      </c>
      <c r="EP17" s="6" t="s">
        <v>1516</v>
      </c>
      <c r="EQ17">
        <v>54.94</v>
      </c>
      <c r="ER17" s="352" t="s">
        <v>1354</v>
      </c>
      <c r="ES17" s="145">
        <v>88.98</v>
      </c>
      <c r="ET17" s="1" t="s">
        <v>1726</v>
      </c>
      <c r="EU17" s="279">
        <v>25000</v>
      </c>
      <c r="EX17" s="352" t="s">
        <v>1672</v>
      </c>
      <c r="EY17">
        <v>77.72</v>
      </c>
      <c r="EZ17" s="1" t="s">
        <v>1722</v>
      </c>
      <c r="FA17" s="279">
        <v>4000</v>
      </c>
      <c r="FB17" t="s">
        <v>1784</v>
      </c>
      <c r="FD17" s="352" t="s">
        <v>1354</v>
      </c>
      <c r="FE17">
        <v>50.06</v>
      </c>
      <c r="FF17" s="1" t="s">
        <v>1722</v>
      </c>
      <c r="FG17" s="279">
        <v>4000</v>
      </c>
      <c r="FH17" s="60" t="s">
        <v>1721</v>
      </c>
      <c r="FI17">
        <f>15053.39-15000</f>
        <v>53.389999999999418</v>
      </c>
      <c r="FJ17" s="352" t="s">
        <v>1672</v>
      </c>
      <c r="FK17">
        <v>67.08</v>
      </c>
      <c r="FL17" s="6" t="s">
        <v>1727</v>
      </c>
      <c r="FM17" s="281">
        <v>1000</v>
      </c>
      <c r="FN17" t="s">
        <v>1838</v>
      </c>
      <c r="FO17">
        <v>2730</v>
      </c>
      <c r="FP17" s="353" t="s">
        <v>1849</v>
      </c>
      <c r="FQ17">
        <f>143.5+188.4-28</f>
        <v>303.89999999999998</v>
      </c>
      <c r="FR17" s="1" t="s">
        <v>1718</v>
      </c>
      <c r="FS17" s="279">
        <v>3000</v>
      </c>
      <c r="FT17" t="s">
        <v>1595</v>
      </c>
      <c r="FV17" s="369" t="s">
        <v>1924</v>
      </c>
      <c r="FW17">
        <v>3779.24</v>
      </c>
      <c r="FX17" s="261" t="s">
        <v>1962</v>
      </c>
      <c r="FZ17" t="s">
        <v>1816</v>
      </c>
      <c r="GA17">
        <v>13.32</v>
      </c>
      <c r="GB17" s="369" t="s">
        <v>1986</v>
      </c>
      <c r="GC17">
        <v>134</v>
      </c>
      <c r="GD17" s="261" t="s">
        <v>1962</v>
      </c>
      <c r="GF17" s="260" t="s">
        <v>429</v>
      </c>
      <c r="GG17">
        <v>130.44999999999999</v>
      </c>
      <c r="GH17" s="402" t="s">
        <v>1537</v>
      </c>
      <c r="GI17">
        <v>350</v>
      </c>
      <c r="GJ17" s="1" t="s">
        <v>1642</v>
      </c>
      <c r="GK17">
        <v>160</v>
      </c>
      <c r="GL17" t="s">
        <v>1595</v>
      </c>
      <c r="GM17" s="248"/>
      <c r="GN17" s="353" t="s">
        <v>1803</v>
      </c>
      <c r="GO17">
        <v>29.25</v>
      </c>
      <c r="GP17" s="1" t="s">
        <v>1642</v>
      </c>
      <c r="GQ17">
        <v>156</v>
      </c>
      <c r="GR17" s="260" t="s">
        <v>429</v>
      </c>
      <c r="GS17">
        <v>141.44999999999999</v>
      </c>
      <c r="GT17" s="252" t="s">
        <v>2074</v>
      </c>
      <c r="GU17">
        <v>5</v>
      </c>
      <c r="GV17" s="261" t="s">
        <v>2068</v>
      </c>
      <c r="GY17" s="248"/>
      <c r="GZ17" s="353" t="s">
        <v>1039</v>
      </c>
      <c r="HA17">
        <v>1867.15</v>
      </c>
      <c r="HB17" s="1" t="s">
        <v>1642</v>
      </c>
      <c r="HC17">
        <v>90</v>
      </c>
      <c r="HD17" t="s">
        <v>1595</v>
      </c>
      <c r="HF17" s="402" t="s">
        <v>2152</v>
      </c>
      <c r="HG17">
        <v>48.24</v>
      </c>
      <c r="HH17" s="261" t="s">
        <v>2068</v>
      </c>
      <c r="HJ17" s="426">
        <v>258.44</v>
      </c>
      <c r="HK17" s="411" t="s">
        <v>2156</v>
      </c>
      <c r="HL17" s="352" t="s">
        <v>2002</v>
      </c>
      <c r="HM17">
        <f>HK7</f>
        <v>30.001000000000001</v>
      </c>
      <c r="HN17" s="66" t="s">
        <v>2220</v>
      </c>
      <c r="HO17">
        <v>89</v>
      </c>
      <c r="HP17" s="414"/>
      <c r="HQ17" s="411"/>
      <c r="HR17" s="352" t="s">
        <v>1833</v>
      </c>
      <c r="HS17">
        <v>113.11</v>
      </c>
      <c r="HT17" s="66" t="s">
        <v>1915</v>
      </c>
      <c r="HU17">
        <v>659</v>
      </c>
      <c r="HV17" s="207" t="s">
        <v>2327</v>
      </c>
      <c r="HW17" s="52">
        <v>37.6</v>
      </c>
      <c r="HX17" s="352" t="s">
        <v>1967</v>
      </c>
      <c r="HY17" s="420">
        <v>177.48</v>
      </c>
      <c r="HZ17" s="66" t="s">
        <v>1910</v>
      </c>
      <c r="IA17">
        <v>311</v>
      </c>
      <c r="IB17" s="544" t="s">
        <v>2361</v>
      </c>
      <c r="IC17" s="545">
        <v>835.6</v>
      </c>
      <c r="ID17" s="252" t="s">
        <v>2407</v>
      </c>
      <c r="IE17" s="420">
        <f>IE18*2</f>
        <v>1833.7466666666667</v>
      </c>
      <c r="IF17" s="66" t="s">
        <v>2391</v>
      </c>
      <c r="IG17" s="2" t="s">
        <v>694</v>
      </c>
      <c r="IH17" t="s">
        <v>1816</v>
      </c>
      <c r="II17" s="538">
        <v>1.67</v>
      </c>
      <c r="IJ17" s="352" t="s">
        <v>1967</v>
      </c>
      <c r="IK17" s="420" t="s">
        <v>2474</v>
      </c>
      <c r="IL17" s="66" t="s">
        <v>2220</v>
      </c>
      <c r="IM17" s="2">
        <v>4000</v>
      </c>
      <c r="IN17" t="s">
        <v>2502</v>
      </c>
      <c r="IO17" s="538">
        <f>149.59*2</f>
        <v>299.18</v>
      </c>
      <c r="IP17" s="352" t="s">
        <v>2205</v>
      </c>
      <c r="IQ17" s="61">
        <v>18</v>
      </c>
      <c r="IR17" s="535" t="s">
        <v>2505</v>
      </c>
      <c r="IS17" s="248">
        <v>65005</v>
      </c>
      <c r="IT17" s="626" t="s">
        <v>2696</v>
      </c>
      <c r="IU17" s="626">
        <v>13.86</v>
      </c>
      <c r="IV17" s="352" t="s">
        <v>2708</v>
      </c>
      <c r="IW17" s="580">
        <v>110.02</v>
      </c>
      <c r="IX17" s="682" t="s">
        <v>2698</v>
      </c>
      <c r="IY17" s="275">
        <v>10</v>
      </c>
      <c r="IZ17" s="415"/>
      <c r="JA17" s="555"/>
      <c r="JB17" s="352" t="s">
        <v>2205</v>
      </c>
      <c r="JC17" s="61"/>
      <c r="JD17" s="689" t="s">
        <v>2698</v>
      </c>
      <c r="JE17" s="275">
        <v>10</v>
      </c>
      <c r="JF17" s="668">
        <v>44972</v>
      </c>
    </row>
    <row r="18" spans="1:266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1078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1078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1154</v>
      </c>
      <c r="AP18" s="210">
        <v>2354.0500000000002</v>
      </c>
      <c r="AQ18" t="s">
        <v>429</v>
      </c>
      <c r="AR18" s="78">
        <v>0</v>
      </c>
      <c r="AU18" s="197" t="s">
        <v>1190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1179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1283</v>
      </c>
      <c r="BQ18" s="271"/>
      <c r="BR18" s="210"/>
      <c r="BS18" t="s">
        <v>429</v>
      </c>
      <c r="BT18" s="281">
        <v>0</v>
      </c>
      <c r="BU18" s="9" t="s">
        <v>1128</v>
      </c>
      <c r="BV18" s="6" t="s">
        <v>694</v>
      </c>
      <c r="BW18" s="271"/>
      <c r="BX18" s="210"/>
      <c r="BY18" s="63" t="s">
        <v>1184</v>
      </c>
      <c r="BZ18" s="64"/>
      <c r="CA18" s="9" t="s">
        <v>1077</v>
      </c>
      <c r="CB18" s="6" t="s">
        <v>694</v>
      </c>
      <c r="CC18" s="271"/>
      <c r="CD18" s="210"/>
      <c r="CE18" s="63" t="s">
        <v>1184</v>
      </c>
      <c r="CF18" s="64"/>
      <c r="CH18" s="223"/>
      <c r="CI18" s="271" t="s">
        <v>479</v>
      </c>
      <c r="CJ18" s="210"/>
      <c r="CK18" s="63" t="s">
        <v>1094</v>
      </c>
      <c r="CL18" s="64">
        <v>5920</v>
      </c>
      <c r="CN18" s="223"/>
      <c r="CO18" s="271"/>
      <c r="CP18" s="210"/>
      <c r="CQ18" s="63" t="s">
        <v>1184</v>
      </c>
      <c r="CR18" s="64"/>
      <c r="CU18" s="272" t="s">
        <v>1367</v>
      </c>
      <c r="CV18" s="223">
        <v>615.20000000000005</v>
      </c>
      <c r="CW18" s="63" t="s">
        <v>1184</v>
      </c>
      <c r="CX18" s="64"/>
      <c r="CY18" s="78" t="s">
        <v>1416</v>
      </c>
      <c r="CZ18" s="9">
        <v>14</v>
      </c>
      <c r="DA18" s="300" t="s">
        <v>1394</v>
      </c>
      <c r="DB18" s="223">
        <v>1316.1</v>
      </c>
      <c r="DC18" s="254" t="s">
        <v>1074</v>
      </c>
      <c r="DD18" s="70">
        <v>150</v>
      </c>
      <c r="DE18" s="78" t="s">
        <v>1461</v>
      </c>
      <c r="DF18" s="6">
        <v>19.8</v>
      </c>
      <c r="DG18" s="304" t="s">
        <v>1501</v>
      </c>
      <c r="DH18" s="286">
        <v>132.93</v>
      </c>
      <c r="DI18" s="1" t="s">
        <v>1378</v>
      </c>
      <c r="DJ18" s="78" t="s">
        <v>650</v>
      </c>
      <c r="DK18" s="78" t="s">
        <v>1506</v>
      </c>
      <c r="DM18" s="304" t="s">
        <v>1504</v>
      </c>
      <c r="DN18" s="286">
        <v>18</v>
      </c>
      <c r="DO18" s="63" t="s">
        <v>1516</v>
      </c>
      <c r="DP18" s="277">
        <f>40000+10000+10000</f>
        <v>60000</v>
      </c>
      <c r="DQ18" s="78" t="s">
        <v>1506</v>
      </c>
      <c r="DS18" s="304" t="s">
        <v>1342</v>
      </c>
      <c r="DT18" s="286" t="s">
        <v>694</v>
      </c>
      <c r="DU18" s="63" t="s">
        <v>1517</v>
      </c>
      <c r="DV18" s="277">
        <v>10000</v>
      </c>
      <c r="DW18" t="s">
        <v>1296</v>
      </c>
      <c r="DX18">
        <v>12.9</v>
      </c>
      <c r="DY18" s="250" t="s">
        <v>1212</v>
      </c>
      <c r="DZ18">
        <f>6.5+15</f>
        <v>21.5</v>
      </c>
      <c r="EA18" s="63" t="s">
        <v>1516</v>
      </c>
      <c r="EB18" s="277">
        <v>40000</v>
      </c>
      <c r="EE18" s="250" t="s">
        <v>1212</v>
      </c>
      <c r="EF18">
        <f>15+6.5+97.5</f>
        <v>119</v>
      </c>
      <c r="EH18" s="1" t="s">
        <v>1584</v>
      </c>
      <c r="EI18" s="279">
        <v>20000</v>
      </c>
      <c r="EJ18" t="s">
        <v>1296</v>
      </c>
      <c r="EK18">
        <v>3.9</v>
      </c>
      <c r="EL18" s="250" t="s">
        <v>1672</v>
      </c>
      <c r="EM18">
        <v>73.87</v>
      </c>
      <c r="EN18" s="1" t="s">
        <v>1653</v>
      </c>
      <c r="EO18" s="279">
        <v>5000</v>
      </c>
      <c r="ER18" s="352" t="s">
        <v>1672</v>
      </c>
      <c r="ES18" s="145">
        <v>78.400000000000006</v>
      </c>
      <c r="ET18" s="1" t="s">
        <v>1586</v>
      </c>
      <c r="EU18" s="279">
        <v>10000</v>
      </c>
      <c r="EX18" s="352" t="s">
        <v>1661</v>
      </c>
      <c r="EY18">
        <v>72</v>
      </c>
      <c r="EZ18" s="1" t="s">
        <v>1726</v>
      </c>
      <c r="FA18" s="279">
        <v>25000</v>
      </c>
      <c r="FB18" t="s">
        <v>1785</v>
      </c>
      <c r="FC18">
        <v>1888</v>
      </c>
      <c r="FD18" s="352" t="s">
        <v>1672</v>
      </c>
      <c r="FE18">
        <v>81.84</v>
      </c>
      <c r="FF18" s="1" t="s">
        <v>1774</v>
      </c>
      <c r="FG18" s="279">
        <v>25000</v>
      </c>
      <c r="FH18" t="s">
        <v>1720</v>
      </c>
      <c r="FI18">
        <f>20057.44-20000</f>
        <v>57.43999999999869</v>
      </c>
      <c r="FJ18" s="352" t="s">
        <v>1833</v>
      </c>
      <c r="FK18">
        <v>140.44999999999999</v>
      </c>
      <c r="FL18" s="6" t="s">
        <v>1756</v>
      </c>
      <c r="FM18" s="281" t="s">
        <v>1933</v>
      </c>
      <c r="FN18" t="s">
        <v>1861</v>
      </c>
      <c r="FO18">
        <v>103</v>
      </c>
      <c r="FP18" s="353" t="s">
        <v>1039</v>
      </c>
      <c r="FQ18" s="212">
        <v>1861.8</v>
      </c>
      <c r="FR18" s="6" t="s">
        <v>1727</v>
      </c>
      <c r="FS18" s="281" t="s">
        <v>1095</v>
      </c>
      <c r="FT18" t="s">
        <v>1944</v>
      </c>
      <c r="FU18" s="248">
        <v>18.399999999999999</v>
      </c>
      <c r="FV18" s="353" t="s">
        <v>1953</v>
      </c>
      <c r="FW18" s="212">
        <v>29.62</v>
      </c>
      <c r="FX18" s="1" t="s">
        <v>1940</v>
      </c>
      <c r="FY18" s="261">
        <v>748</v>
      </c>
      <c r="GB18" s="353" t="s">
        <v>1880</v>
      </c>
      <c r="GD18" s="1" t="s">
        <v>1940</v>
      </c>
      <c r="GE18" s="261">
        <v>856</v>
      </c>
      <c r="GF18" t="s">
        <v>1816</v>
      </c>
      <c r="GG18" t="s">
        <v>694</v>
      </c>
      <c r="GH18" s="353" t="s">
        <v>1454</v>
      </c>
      <c r="GI18">
        <v>3.87</v>
      </c>
      <c r="GJ18" s="7" t="s">
        <v>2017</v>
      </c>
      <c r="GK18">
        <v>1200</v>
      </c>
      <c r="GM18" s="248"/>
      <c r="GN18" s="353" t="s">
        <v>2060</v>
      </c>
      <c r="GO18">
        <v>54.38</v>
      </c>
      <c r="GP18" s="261" t="s">
        <v>2065</v>
      </c>
      <c r="GR18" t="s">
        <v>1816</v>
      </c>
      <c r="GS18">
        <v>13.53</v>
      </c>
      <c r="GT18" s="352" t="s">
        <v>2043</v>
      </c>
      <c r="GU18">
        <v>67.42</v>
      </c>
      <c r="GV18" s="7" t="s">
        <v>2017</v>
      </c>
      <c r="GW18">
        <v>1001</v>
      </c>
      <c r="GY18" s="248"/>
      <c r="GZ18" s="408" t="s">
        <v>2138</v>
      </c>
      <c r="HA18" s="6">
        <f>109.5+145</f>
        <v>254.5</v>
      </c>
      <c r="HB18" s="261" t="s">
        <v>2068</v>
      </c>
      <c r="HD18" t="s">
        <v>2161</v>
      </c>
      <c r="HE18">
        <f>1.25*3</f>
        <v>3.75</v>
      </c>
      <c r="HF18" s="353" t="s">
        <v>2141</v>
      </c>
      <c r="HG18">
        <v>33</v>
      </c>
      <c r="HH18" s="7" t="s">
        <v>2017</v>
      </c>
      <c r="HI18">
        <v>2041</v>
      </c>
      <c r="HJ18" s="426">
        <v>23.05</v>
      </c>
      <c r="HK18" s="411" t="s">
        <v>2156</v>
      </c>
      <c r="HL18" s="352" t="s">
        <v>2003</v>
      </c>
      <c r="HM18" s="424">
        <f>15.88+15.81+18.55+16.76+17.32+18.76</f>
        <v>103.08</v>
      </c>
      <c r="HN18" s="1" t="s">
        <v>1642</v>
      </c>
      <c r="HO18">
        <v>150</v>
      </c>
      <c r="HP18" s="414"/>
      <c r="HQ18" s="411"/>
      <c r="HR18" s="352" t="s">
        <v>1212</v>
      </c>
      <c r="HS18">
        <f>6.5+15</f>
        <v>21.5</v>
      </c>
      <c r="HT18" s="66" t="s">
        <v>1910</v>
      </c>
      <c r="HU18">
        <v>457</v>
      </c>
      <c r="HV18" s="414" t="s">
        <v>2329</v>
      </c>
      <c r="HW18" s="534">
        <f>18.8*3+56.4</f>
        <v>112.80000000000001</v>
      </c>
      <c r="HX18" s="352" t="s">
        <v>2194</v>
      </c>
      <c r="HY18">
        <v>96.35</v>
      </c>
      <c r="HZ18" s="66" t="s">
        <v>2220</v>
      </c>
      <c r="IA18">
        <v>0</v>
      </c>
      <c r="IB18" s="546" t="s">
        <v>2358</v>
      </c>
      <c r="IC18" s="545">
        <f>20.89*3</f>
        <v>62.67</v>
      </c>
      <c r="ID18" s="352" t="s">
        <v>2088</v>
      </c>
      <c r="IE18" s="420">
        <f>2750.62/3</f>
        <v>916.87333333333333</v>
      </c>
      <c r="IF18" s="535" t="s">
        <v>2305</v>
      </c>
      <c r="IG18" s="275">
        <v>295021.18</v>
      </c>
      <c r="IH18" t="s">
        <v>2489</v>
      </c>
      <c r="II18" s="538">
        <v>17.73</v>
      </c>
      <c r="IJ18" s="352" t="s">
        <v>2193</v>
      </c>
      <c r="IK18" t="s">
        <v>2474</v>
      </c>
      <c r="IL18" s="261" t="s">
        <v>2451</v>
      </c>
      <c r="IM18" s="2">
        <f>100*(120+1000+330+310)</f>
        <v>176000</v>
      </c>
      <c r="IN18" t="s">
        <v>2535</v>
      </c>
      <c r="IO18">
        <v>3</v>
      </c>
      <c r="IP18" s="352" t="s">
        <v>2501</v>
      </c>
      <c r="IQ18" s="61">
        <v>42.65</v>
      </c>
      <c r="IR18" s="66" t="s">
        <v>2222</v>
      </c>
      <c r="IS18" s="275">
        <v>1143</v>
      </c>
      <c r="IT18" s="626" t="s">
        <v>2668</v>
      </c>
      <c r="IU18" s="537">
        <v>14</v>
      </c>
      <c r="IV18" s="352" t="s">
        <v>2205</v>
      </c>
      <c r="IW18" s="61">
        <f>9</f>
        <v>9</v>
      </c>
      <c r="IX18" s="630" t="s">
        <v>2590</v>
      </c>
      <c r="IY18" s="626">
        <v>190</v>
      </c>
      <c r="IZ18" s="414"/>
      <c r="JA18" s="555"/>
      <c r="JB18" s="352" t="s">
        <v>2501</v>
      </c>
      <c r="JC18" s="61"/>
      <c r="JD18" s="688" t="s">
        <v>2590</v>
      </c>
      <c r="JE18" s="684">
        <v>190</v>
      </c>
      <c r="JF18" s="668">
        <v>44973</v>
      </c>
    </row>
    <row r="19" spans="1:266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1094</v>
      </c>
      <c r="Z19" s="64">
        <v>100.54</v>
      </c>
      <c r="AC19" s="146" t="s">
        <v>1096</v>
      </c>
      <c r="AD19" s="145">
        <v>104</v>
      </c>
      <c r="AE19" s="63" t="s">
        <v>1007</v>
      </c>
      <c r="AF19" s="64"/>
      <c r="AI19" s="146" t="s">
        <v>1068</v>
      </c>
      <c r="AJ19" s="210">
        <v>0</v>
      </c>
      <c r="AK19" s="63" t="s">
        <v>1007</v>
      </c>
      <c r="AL19" s="64"/>
      <c r="AM19" t="s">
        <v>1077</v>
      </c>
      <c r="AO19" s="169" t="s">
        <v>1155</v>
      </c>
      <c r="AP19" s="210">
        <v>378.81</v>
      </c>
      <c r="AQ19" s="63" t="s">
        <v>1007</v>
      </c>
      <c r="AR19" s="64"/>
      <c r="AS19" t="s">
        <v>1128</v>
      </c>
      <c r="AT19" t="s">
        <v>694</v>
      </c>
      <c r="AU19" s="169" t="s">
        <v>1179</v>
      </c>
      <c r="AV19" s="210"/>
      <c r="AW19" s="63" t="s">
        <v>1184</v>
      </c>
      <c r="AX19" s="64"/>
      <c r="AY19" s="169"/>
      <c r="AZ19" s="210"/>
      <c r="BA19" s="63" t="s">
        <v>1184</v>
      </c>
      <c r="BB19" s="64">
        <f t="shared" si="0"/>
        <v>0</v>
      </c>
      <c r="BE19" s="250" t="s">
        <v>1142</v>
      </c>
      <c r="BF19" s="210" t="s">
        <v>694</v>
      </c>
      <c r="BG19" s="63" t="s">
        <v>1184</v>
      </c>
      <c r="BH19" s="64"/>
      <c r="BJ19" s="6"/>
      <c r="BK19" s="272" t="s">
        <v>1142</v>
      </c>
      <c r="BL19" s="210">
        <f>172+215</f>
        <v>387</v>
      </c>
      <c r="BM19" s="63" t="s">
        <v>1184</v>
      </c>
      <c r="BN19" s="64"/>
      <c r="BO19" s="6" t="s">
        <v>1252</v>
      </c>
      <c r="BP19" s="6">
        <v>7</v>
      </c>
      <c r="BQ19" s="272" t="s">
        <v>1249</v>
      </c>
      <c r="BR19" s="210">
        <v>172</v>
      </c>
      <c r="BS19" s="63" t="s">
        <v>1184</v>
      </c>
      <c r="BT19" s="233"/>
      <c r="BU19" s="6"/>
      <c r="BV19" s="6"/>
      <c r="BW19" s="272" t="s">
        <v>1272</v>
      </c>
      <c r="BX19" s="210">
        <v>172</v>
      </c>
      <c r="BY19" s="63" t="s">
        <v>1094</v>
      </c>
      <c r="BZ19" s="64">
        <v>1013</v>
      </c>
      <c r="CA19" s="9" t="s">
        <v>1128</v>
      </c>
      <c r="CB19" s="6" t="s">
        <v>694</v>
      </c>
      <c r="CC19" s="272" t="s">
        <v>1289</v>
      </c>
      <c r="CD19" s="210">
        <v>215</v>
      </c>
      <c r="CE19" s="63" t="s">
        <v>1094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1334</v>
      </c>
      <c r="CN19" s="9">
        <f>5+5</f>
        <v>10</v>
      </c>
      <c r="CO19" s="272" t="s">
        <v>1142</v>
      </c>
      <c r="CP19" s="210" t="s">
        <v>694</v>
      </c>
      <c r="CQ19" s="63" t="s">
        <v>1094</v>
      </c>
      <c r="CR19" s="64">
        <v>60</v>
      </c>
      <c r="CS19" s="78" t="s">
        <v>1361</v>
      </c>
      <c r="CT19" s="6"/>
      <c r="CU19" s="272" t="s">
        <v>1038</v>
      </c>
      <c r="CV19" s="210" t="s">
        <v>694</v>
      </c>
      <c r="CW19" s="63" t="s">
        <v>1094</v>
      </c>
      <c r="CX19" s="64">
        <v>60</v>
      </c>
      <c r="CY19" s="6" t="s">
        <v>586</v>
      </c>
      <c r="DA19" s="272" t="s">
        <v>1410</v>
      </c>
      <c r="DB19" s="210">
        <v>115.81</v>
      </c>
      <c r="DC19" s="63" t="s">
        <v>1184</v>
      </c>
      <c r="DD19" s="64"/>
      <c r="DE19" s="78" t="s">
        <v>1462</v>
      </c>
      <c r="DF19" s="6">
        <v>57.6</v>
      </c>
      <c r="DG19" s="304" t="s">
        <v>1431</v>
      </c>
      <c r="DH19" s="286">
        <v>2000</v>
      </c>
      <c r="DI19" s="738" t="s">
        <v>1491</v>
      </c>
      <c r="DJ19" s="739"/>
      <c r="DK19" s="78"/>
      <c r="DM19" s="304" t="s">
        <v>1342</v>
      </c>
      <c r="DN19" s="286"/>
      <c r="DO19" s="63" t="s">
        <v>1515</v>
      </c>
      <c r="DP19" s="277">
        <v>10000</v>
      </c>
      <c r="DQ19" s="78"/>
      <c r="DS19" s="303" t="s">
        <v>1587</v>
      </c>
      <c r="DT19" s="309">
        <v>382</v>
      </c>
      <c r="DU19" s="63" t="s">
        <v>1516</v>
      </c>
      <c r="DV19" s="277">
        <v>40000</v>
      </c>
      <c r="DY19" s="250" t="s">
        <v>1303</v>
      </c>
      <c r="DZ19">
        <v>140.94999999999999</v>
      </c>
      <c r="EA19" s="63" t="s">
        <v>1584</v>
      </c>
      <c r="EB19" s="277">
        <v>10000</v>
      </c>
      <c r="EE19" s="250" t="s">
        <v>1303</v>
      </c>
      <c r="EF19">
        <v>140.44999999999999</v>
      </c>
      <c r="EH19" s="1" t="s">
        <v>1514</v>
      </c>
      <c r="EI19" s="279">
        <v>10000</v>
      </c>
      <c r="EJ19" t="s">
        <v>1296</v>
      </c>
      <c r="EK19">
        <v>28.7</v>
      </c>
      <c r="EL19" s="250" t="s">
        <v>1661</v>
      </c>
      <c r="EM19">
        <f>34.42+10.73</f>
        <v>45.150000000000006</v>
      </c>
      <c r="EN19" s="1" t="s">
        <v>1654</v>
      </c>
      <c r="EO19" s="279">
        <v>5000</v>
      </c>
      <c r="ER19" s="352" t="s">
        <v>1661</v>
      </c>
      <c r="ES19" s="145">
        <v>0</v>
      </c>
      <c r="ET19" s="1" t="s">
        <v>1715</v>
      </c>
      <c r="EU19" s="279">
        <v>5000</v>
      </c>
      <c r="EV19" s="60" t="s">
        <v>1596</v>
      </c>
      <c r="EX19" s="352" t="s">
        <v>1212</v>
      </c>
      <c r="EY19">
        <f>15+6.5</f>
        <v>21.5</v>
      </c>
      <c r="EZ19" s="1" t="s">
        <v>1586</v>
      </c>
      <c r="FA19" s="279">
        <v>15000</v>
      </c>
      <c r="FB19" s="60" t="s">
        <v>1596</v>
      </c>
      <c r="FD19" s="352" t="s">
        <v>1792</v>
      </c>
      <c r="FE19">
        <v>139.01</v>
      </c>
      <c r="FF19" s="1" t="s">
        <v>1586</v>
      </c>
      <c r="FG19" s="279">
        <v>15000</v>
      </c>
      <c r="FH19" s="6" t="s">
        <v>1487</v>
      </c>
      <c r="FI19" s="3">
        <f>1021.65+992.81-2000</f>
        <v>14.460000000000036</v>
      </c>
      <c r="FJ19" s="352" t="s">
        <v>1212</v>
      </c>
      <c r="FK19">
        <f>6.5+15+7.2</f>
        <v>28.7</v>
      </c>
      <c r="FL19" s="1" t="s">
        <v>1722</v>
      </c>
      <c r="FM19" s="279">
        <v>4000</v>
      </c>
      <c r="FN19" t="s">
        <v>1869</v>
      </c>
      <c r="FO19" s="248">
        <v>55</v>
      </c>
      <c r="FP19" s="352" t="s">
        <v>1858</v>
      </c>
      <c r="FQ19">
        <v>184.77</v>
      </c>
      <c r="FR19" s="6" t="s">
        <v>1934</v>
      </c>
      <c r="FS19" s="281"/>
      <c r="FU19" s="248"/>
      <c r="FV19" s="352" t="s">
        <v>1955</v>
      </c>
      <c r="FW19">
        <f>3.08+89.15</f>
        <v>92.23</v>
      </c>
      <c r="FX19" s="1" t="s">
        <v>1941</v>
      </c>
      <c r="FY19" s="261">
        <v>39</v>
      </c>
      <c r="FZ19" s="60" t="s">
        <v>1921</v>
      </c>
      <c r="GB19" s="352" t="s">
        <v>1967</v>
      </c>
      <c r="GC19">
        <v>90.65</v>
      </c>
      <c r="GD19" s="1" t="s">
        <v>1941</v>
      </c>
      <c r="GE19" s="261">
        <v>33</v>
      </c>
      <c r="GH19" s="352" t="s">
        <v>1967</v>
      </c>
      <c r="GI19">
        <v>73.959999999999994</v>
      </c>
      <c r="GJ19" s="261" t="s">
        <v>2020</v>
      </c>
      <c r="GL19" s="60" t="s">
        <v>2019</v>
      </c>
      <c r="GN19" s="353" t="s">
        <v>2034</v>
      </c>
      <c r="GO19">
        <v>1867</v>
      </c>
      <c r="GP19" s="7" t="s">
        <v>2017</v>
      </c>
      <c r="GQ19">
        <v>2000.001</v>
      </c>
      <c r="GR19" t="s">
        <v>2098</v>
      </c>
      <c r="GS19">
        <v>129.43</v>
      </c>
      <c r="GT19" s="352" t="s">
        <v>2126</v>
      </c>
      <c r="GU19" t="s">
        <v>2072</v>
      </c>
      <c r="GV19" s="1" t="s">
        <v>1940</v>
      </c>
      <c r="GW19" s="261">
        <v>745</v>
      </c>
      <c r="GX19" s="60"/>
      <c r="GZ19" s="352" t="s">
        <v>2088</v>
      </c>
      <c r="HA19" s="420">
        <f>2525.92/6</f>
        <v>420.98666666666668</v>
      </c>
      <c r="HB19" s="7" t="s">
        <v>2017</v>
      </c>
      <c r="HC19">
        <v>2041</v>
      </c>
      <c r="HD19" t="s">
        <v>2171</v>
      </c>
      <c r="HE19">
        <v>106.89</v>
      </c>
      <c r="HF19" s="353" t="s">
        <v>2143</v>
      </c>
      <c r="HG19">
        <v>12</v>
      </c>
      <c r="HH19" s="1" t="s">
        <v>2146</v>
      </c>
      <c r="HI19" s="261" t="s">
        <v>2147</v>
      </c>
      <c r="HJ19" s="428">
        <v>1580.64</v>
      </c>
      <c r="HK19" s="413" t="s">
        <v>2169</v>
      </c>
      <c r="HL19" s="344" t="s">
        <v>2210</v>
      </c>
      <c r="HM19">
        <v>20</v>
      </c>
      <c r="HN19" s="261" t="s">
        <v>2068</v>
      </c>
      <c r="HP19" s="415"/>
      <c r="HQ19" s="413"/>
      <c r="HR19" s="352" t="s">
        <v>2205</v>
      </c>
      <c r="HS19">
        <f>9+10.96</f>
        <v>19.96</v>
      </c>
      <c r="HT19" s="66" t="s">
        <v>2220</v>
      </c>
      <c r="HU19">
        <v>0</v>
      </c>
      <c r="HV19" s="414" t="s">
        <v>2328</v>
      </c>
      <c r="HW19" s="534">
        <v>18.8</v>
      </c>
      <c r="HX19" s="352" t="s">
        <v>1833</v>
      </c>
      <c r="HY19">
        <v>112.57</v>
      </c>
      <c r="HZ19" s="66" t="s">
        <v>2356</v>
      </c>
      <c r="IA19">
        <v>12000</v>
      </c>
      <c r="IB19" s="544" t="s">
        <v>2359</v>
      </c>
      <c r="IC19" s="545">
        <v>146.22999999999999</v>
      </c>
      <c r="ID19" s="352" t="s">
        <v>1967</v>
      </c>
      <c r="IE19" s="420">
        <v>16.18</v>
      </c>
      <c r="IF19" s="66" t="s">
        <v>2393</v>
      </c>
      <c r="IG19" s="2">
        <v>2234</v>
      </c>
      <c r="IH19" t="s">
        <v>2422</v>
      </c>
      <c r="II19" s="537">
        <v>35.67</v>
      </c>
      <c r="IJ19" s="352" t="s">
        <v>2373</v>
      </c>
      <c r="IK19">
        <v>114.44</v>
      </c>
      <c r="IL19" s="66" t="s">
        <v>2450</v>
      </c>
      <c r="IM19">
        <f>10502+14002</f>
        <v>24504</v>
      </c>
      <c r="IN19" t="s">
        <v>2596</v>
      </c>
      <c r="IO19" s="537">
        <v>5</v>
      </c>
      <c r="IP19" s="352" t="s">
        <v>2574</v>
      </c>
      <c r="IQ19" s="61">
        <f>IM29</f>
        <v>21.35</v>
      </c>
      <c r="IR19" s="1" t="s">
        <v>2492</v>
      </c>
      <c r="IS19">
        <v>170</v>
      </c>
      <c r="IT19" s="415"/>
      <c r="IU19" s="555"/>
      <c r="IV19" s="352" t="s">
        <v>2403</v>
      </c>
      <c r="IW19" s="61">
        <f>15.7+10+18.29+10+10+15.09+18.53+17.55+15.01+10+16.79</f>
        <v>156.95999999999998</v>
      </c>
      <c r="IX19" s="632" t="s">
        <v>2491</v>
      </c>
      <c r="IY19" s="626">
        <v>2007</v>
      </c>
      <c r="IZ19" s="414"/>
      <c r="JA19" s="555"/>
      <c r="JB19" s="352" t="s">
        <v>2403</v>
      </c>
      <c r="JC19" s="61">
        <f>17.98</f>
        <v>17.98</v>
      </c>
      <c r="JD19" s="690" t="s">
        <v>2491</v>
      </c>
      <c r="JE19" s="684">
        <v>2007</v>
      </c>
      <c r="JF19" s="668"/>
    </row>
    <row r="20" spans="1:266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1061</v>
      </c>
      <c r="T20" s="64">
        <v>550</v>
      </c>
      <c r="W20" s="169" t="s">
        <v>1072</v>
      </c>
      <c r="Y20" s="63" t="s">
        <v>1008</v>
      </c>
      <c r="Z20" s="64">
        <v>1142</v>
      </c>
      <c r="AA20" t="s">
        <v>1102</v>
      </c>
      <c r="AB20">
        <v>50</v>
      </c>
      <c r="AC20" s="146" t="s">
        <v>1067</v>
      </c>
      <c r="AD20" s="145">
        <v>0</v>
      </c>
      <c r="AE20" s="63" t="s">
        <v>1094</v>
      </c>
      <c r="AF20" s="64">
        <v>10001</v>
      </c>
      <c r="AI20" s="146" t="s">
        <v>1116</v>
      </c>
      <c r="AJ20" s="210">
        <v>56</v>
      </c>
      <c r="AK20" s="63" t="s">
        <v>1094</v>
      </c>
      <c r="AL20" s="64" t="s">
        <v>1095</v>
      </c>
      <c r="AM20" s="108"/>
      <c r="AO20" s="169" t="s">
        <v>1156</v>
      </c>
      <c r="AP20" s="210">
        <v>146</v>
      </c>
      <c r="AQ20" s="63" t="s">
        <v>1094</v>
      </c>
      <c r="AR20" s="64">
        <f>AN22</f>
        <v>2200</v>
      </c>
      <c r="AU20" s="169" t="s">
        <v>1168</v>
      </c>
      <c r="AV20" s="210">
        <v>42.53</v>
      </c>
      <c r="AW20" s="63" t="s">
        <v>1094</v>
      </c>
      <c r="AX20" s="64">
        <f>10000+2200</f>
        <v>12200</v>
      </c>
      <c r="AY20" s="169"/>
      <c r="AZ20" s="210"/>
      <c r="BA20" s="63" t="s">
        <v>1094</v>
      </c>
      <c r="BB20" s="64">
        <f t="shared" si="0"/>
        <v>12200</v>
      </c>
      <c r="BC20" t="s">
        <v>1205</v>
      </c>
      <c r="BE20" s="250" t="s">
        <v>1170</v>
      </c>
      <c r="BF20" s="210">
        <v>325.27999999999997</v>
      </c>
      <c r="BG20" s="63" t="s">
        <v>1094</v>
      </c>
      <c r="BH20" s="64">
        <v>10000</v>
      </c>
      <c r="BI20" s="223"/>
      <c r="BJ20" s="223"/>
      <c r="BK20" s="272" t="s">
        <v>1170</v>
      </c>
      <c r="BL20" s="223" t="s">
        <v>694</v>
      </c>
      <c r="BM20" s="63" t="s">
        <v>1094</v>
      </c>
      <c r="BN20" s="64">
        <v>10000</v>
      </c>
      <c r="BO20" s="6" t="s">
        <v>1252</v>
      </c>
      <c r="BP20" s="223">
        <v>7</v>
      </c>
      <c r="BQ20" s="272" t="s">
        <v>1256</v>
      </c>
      <c r="BR20" s="223">
        <v>280</v>
      </c>
      <c r="BS20" s="63" t="s">
        <v>1094</v>
      </c>
      <c r="BT20" s="233">
        <v>7025</v>
      </c>
      <c r="BU20" s="6"/>
      <c r="BV20" s="223"/>
      <c r="BW20" s="272" t="s">
        <v>1170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1170</v>
      </c>
      <c r="CD20" s="223" t="s">
        <v>1321</v>
      </c>
      <c r="CE20" s="63" t="s">
        <v>1008</v>
      </c>
      <c r="CF20" s="64">
        <v>11142</v>
      </c>
      <c r="CG20" s="78"/>
      <c r="CI20" s="272" t="s">
        <v>1318</v>
      </c>
      <c r="CJ20" s="210">
        <v>172</v>
      </c>
      <c r="CK20" s="63" t="s">
        <v>1061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1077</v>
      </c>
      <c r="CT20" s="6" t="s">
        <v>694</v>
      </c>
      <c r="CU20" s="273" t="s">
        <v>1380</v>
      </c>
      <c r="CV20" s="210">
        <v>70.38</v>
      </c>
      <c r="CW20" s="63" t="s">
        <v>1062</v>
      </c>
      <c r="CX20" s="64">
        <v>17242.32</v>
      </c>
      <c r="CY20" s="78"/>
      <c r="CZ20" s="6"/>
      <c r="DA20" s="272" t="s">
        <v>1412</v>
      </c>
      <c r="DB20" s="210">
        <v>51.41</v>
      </c>
      <c r="DC20" s="63" t="s">
        <v>1094</v>
      </c>
      <c r="DD20" s="64">
        <v>60</v>
      </c>
      <c r="DE20" s="78" t="s">
        <v>1434</v>
      </c>
      <c r="DF20" s="9">
        <v>192.6</v>
      </c>
      <c r="DG20" s="304" t="s">
        <v>1014</v>
      </c>
      <c r="DH20" s="309">
        <v>1800.01</v>
      </c>
      <c r="DI20" s="63" t="s">
        <v>1464</v>
      </c>
      <c r="DJ20" s="233">
        <v>2065</v>
      </c>
      <c r="DM20" s="303" t="s">
        <v>1520</v>
      </c>
      <c r="DN20" s="309">
        <v>2454.0500000000002</v>
      </c>
      <c r="DO20" s="63" t="s">
        <v>1514</v>
      </c>
      <c r="DP20" s="277">
        <v>10000</v>
      </c>
      <c r="DS20" s="272" t="s">
        <v>1354</v>
      </c>
      <c r="DT20" s="286" t="s">
        <v>1581</v>
      </c>
      <c r="DU20" s="63" t="s">
        <v>1584</v>
      </c>
      <c r="DV20" s="277">
        <v>10000</v>
      </c>
      <c r="DY20" s="250" t="s">
        <v>1624</v>
      </c>
      <c r="DZ20">
        <v>11</v>
      </c>
      <c r="EA20" s="63" t="s">
        <v>1514</v>
      </c>
      <c r="EB20" s="277">
        <v>10000</v>
      </c>
      <c r="EC20" s="60" t="s">
        <v>1596</v>
      </c>
      <c r="ED20" t="s">
        <v>694</v>
      </c>
      <c r="EE20" s="250" t="s">
        <v>1624</v>
      </c>
      <c r="EF20">
        <v>11</v>
      </c>
      <c r="EH20" s="1" t="s">
        <v>1486</v>
      </c>
      <c r="EI20" s="279">
        <v>5000</v>
      </c>
      <c r="EL20" s="250" t="s">
        <v>1212</v>
      </c>
      <c r="EM20">
        <f>15+6.5</f>
        <v>21.5</v>
      </c>
      <c r="EN20" s="1" t="s">
        <v>1655</v>
      </c>
      <c r="EO20" s="279">
        <f>5000+2000</f>
        <v>7000</v>
      </c>
      <c r="ER20" s="352" t="s">
        <v>1212</v>
      </c>
      <c r="ES20" s="145">
        <f>15+6.5</f>
        <v>21.5</v>
      </c>
      <c r="ET20" s="1" t="s">
        <v>1715</v>
      </c>
      <c r="EU20" s="279">
        <v>5000</v>
      </c>
      <c r="EV20" s="6" t="s">
        <v>1584</v>
      </c>
      <c r="EW20">
        <v>39.85</v>
      </c>
      <c r="EX20" s="352" t="s">
        <v>1303</v>
      </c>
      <c r="EY20">
        <v>145.44999999999999</v>
      </c>
      <c r="EZ20" s="1" t="s">
        <v>1715</v>
      </c>
      <c r="FA20" s="279">
        <v>0</v>
      </c>
      <c r="FB20" s="60" t="s">
        <v>1804</v>
      </c>
      <c r="FC20">
        <v>30</v>
      </c>
      <c r="FD20" s="352" t="s">
        <v>1778</v>
      </c>
      <c r="FE20">
        <f>6.5+15</f>
        <v>21.5</v>
      </c>
      <c r="FF20" s="1" t="s">
        <v>1715</v>
      </c>
      <c r="FG20" s="279">
        <v>1000</v>
      </c>
      <c r="FH20" s="6" t="s">
        <v>1815</v>
      </c>
      <c r="FI20" s="3">
        <v>7.64</v>
      </c>
      <c r="FJ20" s="352" t="s">
        <v>1554</v>
      </c>
      <c r="FK20">
        <v>64</v>
      </c>
      <c r="FL20" s="1" t="s">
        <v>1774</v>
      </c>
      <c r="FM20" s="279">
        <v>25000</v>
      </c>
      <c r="FN20" s="60" t="s">
        <v>1596</v>
      </c>
      <c r="FP20" s="352" t="s">
        <v>1833</v>
      </c>
      <c r="FQ20">
        <v>140.44999999999999</v>
      </c>
      <c r="FR20" s="1" t="s">
        <v>1722</v>
      </c>
      <c r="FS20" s="279">
        <v>4000</v>
      </c>
      <c r="FT20" s="60" t="s">
        <v>1922</v>
      </c>
      <c r="FV20" s="352" t="s">
        <v>1833</v>
      </c>
      <c r="FW20">
        <v>140.44999999999999</v>
      </c>
      <c r="FX20" s="1" t="s">
        <v>1942</v>
      </c>
      <c r="FY20" s="279">
        <v>209</v>
      </c>
      <c r="FZ20" t="s">
        <v>1991</v>
      </c>
      <c r="GA20">
        <f>207-202</f>
        <v>5</v>
      </c>
      <c r="GB20" s="352" t="s">
        <v>1985</v>
      </c>
      <c r="GC20">
        <v>126.93</v>
      </c>
      <c r="GD20" s="1" t="s">
        <v>1942</v>
      </c>
      <c r="GE20" s="279">
        <v>1202</v>
      </c>
      <c r="GF20" t="s">
        <v>1595</v>
      </c>
      <c r="GG20" s="248"/>
      <c r="GH20" s="352" t="s">
        <v>1985</v>
      </c>
      <c r="GI20">
        <v>95.54</v>
      </c>
      <c r="GJ20" s="1" t="s">
        <v>1940</v>
      </c>
      <c r="GK20" s="261">
        <v>744</v>
      </c>
      <c r="GL20" t="s">
        <v>1905</v>
      </c>
      <c r="GM20">
        <f>1966-2002</f>
        <v>-36</v>
      </c>
      <c r="GN20" s="352" t="s">
        <v>2043</v>
      </c>
      <c r="GO20" t="s">
        <v>2042</v>
      </c>
      <c r="GP20" s="1" t="s">
        <v>1940</v>
      </c>
      <c r="GQ20" s="261">
        <v>745</v>
      </c>
      <c r="GT20" s="352" t="s">
        <v>1833</v>
      </c>
      <c r="GU20">
        <v>140.44999999999999</v>
      </c>
      <c r="GV20" s="1" t="s">
        <v>1941</v>
      </c>
      <c r="GW20" s="261">
        <v>33</v>
      </c>
      <c r="GZ20" s="352" t="s">
        <v>2123</v>
      </c>
      <c r="HA20">
        <v>77.3</v>
      </c>
      <c r="HB20" s="1" t="s">
        <v>1940</v>
      </c>
      <c r="HC20" s="261">
        <v>827</v>
      </c>
      <c r="HF20" s="352" t="s">
        <v>2088</v>
      </c>
      <c r="HG20" s="420">
        <f>2525.92/6</f>
        <v>420.98666666666668</v>
      </c>
      <c r="HH20" s="1" t="s">
        <v>2030</v>
      </c>
      <c r="HI20" s="279">
        <v>3000</v>
      </c>
      <c r="HJ20" s="429">
        <f>SUM(HJ15:HJ19)</f>
        <v>4926.7800000000007</v>
      </c>
      <c r="HK20" s="413" t="s">
        <v>2173</v>
      </c>
      <c r="HL20" s="344" t="s">
        <v>2175</v>
      </c>
      <c r="HM20">
        <v>33.5</v>
      </c>
      <c r="HN20" s="7" t="s">
        <v>2017</v>
      </c>
      <c r="HO20">
        <v>1000</v>
      </c>
      <c r="HR20" s="352" t="s">
        <v>2269</v>
      </c>
      <c r="HS20">
        <v>160</v>
      </c>
      <c r="HT20" s="66" t="s">
        <v>2222</v>
      </c>
      <c r="HU20">
        <v>2063</v>
      </c>
      <c r="HV20" s="415"/>
      <c r="HW20" s="533"/>
      <c r="HX20" s="352" t="s">
        <v>1212</v>
      </c>
      <c r="HY20">
        <f>6.5+15+10+6.7</f>
        <v>38.200000000000003</v>
      </c>
      <c r="HZ20" s="66" t="s">
        <v>2355</v>
      </c>
      <c r="IB20" s="547" t="s">
        <v>2360</v>
      </c>
      <c r="IC20" s="548">
        <v>626.70000000000005</v>
      </c>
      <c r="ID20" s="352" t="s">
        <v>2193</v>
      </c>
      <c r="IE20" s="420" t="s">
        <v>2437</v>
      </c>
      <c r="IF20" s="66" t="s">
        <v>2285</v>
      </c>
      <c r="IG20" s="2">
        <v>60000</v>
      </c>
      <c r="IH20" t="s">
        <v>2425</v>
      </c>
      <c r="II20">
        <f>18*2</f>
        <v>36</v>
      </c>
      <c r="IJ20" s="352" t="s">
        <v>1212</v>
      </c>
      <c r="IK20">
        <f>6.5+15</f>
        <v>21.5</v>
      </c>
      <c r="IL20" s="66" t="s">
        <v>2285</v>
      </c>
      <c r="IM20" s="2">
        <v>60000</v>
      </c>
      <c r="IN20" s="591"/>
      <c r="IO20" s="537"/>
      <c r="IP20" s="352" t="s">
        <v>2403</v>
      </c>
      <c r="IQ20" s="61">
        <f>17.6+10+15.04+18.67+17.63+10+18.43+12.51+10+16.42</f>
        <v>146.30000000000001</v>
      </c>
      <c r="IR20" s="568" t="s">
        <v>2531</v>
      </c>
      <c r="IT20" s="414"/>
      <c r="IU20" s="555"/>
      <c r="IV20" s="344" t="s">
        <v>2680</v>
      </c>
      <c r="IW20" s="61">
        <v>80</v>
      </c>
      <c r="IX20" s="631" t="s">
        <v>2517</v>
      </c>
      <c r="IZ20" s="415"/>
      <c r="JB20" s="344" t="s">
        <v>1880</v>
      </c>
      <c r="JC20" s="61"/>
      <c r="JD20" s="687" t="s">
        <v>2517</v>
      </c>
    </row>
    <row r="21" spans="1:266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1062</v>
      </c>
      <c r="T21" s="64">
        <v>3800</v>
      </c>
      <c r="W21" s="250" t="s">
        <v>1041</v>
      </c>
      <c r="X21" s="145">
        <v>0</v>
      </c>
      <c r="Y21" s="63" t="s">
        <v>1061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1213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1061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1061</v>
      </c>
      <c r="CF21" s="64">
        <v>527.62</v>
      </c>
      <c r="CI21" s="272" t="s">
        <v>1039</v>
      </c>
      <c r="CJ21" s="293">
        <v>1316.1</v>
      </c>
      <c r="CK21" s="63" t="s">
        <v>1062</v>
      </c>
      <c r="CL21" s="64">
        <v>17242.32</v>
      </c>
      <c r="CO21" s="272" t="s">
        <v>1038</v>
      </c>
      <c r="CP21" s="210" t="s">
        <v>694</v>
      </c>
      <c r="CQ21" s="63" t="s">
        <v>1061</v>
      </c>
      <c r="CR21" s="64">
        <v>527.62</v>
      </c>
      <c r="CS21" s="78" t="s">
        <v>1334</v>
      </c>
      <c r="CU21" s="273" t="s">
        <v>1393</v>
      </c>
      <c r="CV21" s="210">
        <v>45.3</v>
      </c>
      <c r="CW21" s="63" t="s">
        <v>1061</v>
      </c>
      <c r="CX21" s="64">
        <v>527.62</v>
      </c>
      <c r="CY21" s="78"/>
      <c r="DA21" s="272" t="s">
        <v>1212</v>
      </c>
      <c r="DB21" s="210">
        <f>6.5+6.5+12</f>
        <v>25</v>
      </c>
      <c r="DC21" s="63" t="s">
        <v>1062</v>
      </c>
      <c r="DD21" s="64">
        <v>17242</v>
      </c>
      <c r="DE21" s="78" t="s">
        <v>1453</v>
      </c>
      <c r="DF21" s="9">
        <v>100</v>
      </c>
      <c r="DG21" s="304" t="s">
        <v>1425</v>
      </c>
      <c r="DH21" s="309">
        <v>30.01</v>
      </c>
      <c r="DI21" s="63" t="s">
        <v>1483</v>
      </c>
      <c r="DJ21" s="277">
        <v>10000</v>
      </c>
      <c r="DK21" s="276" t="s">
        <v>1507</v>
      </c>
      <c r="DM21" s="303" t="s">
        <v>1537</v>
      </c>
      <c r="DN21" s="309">
        <v>420</v>
      </c>
      <c r="DO21" s="63" t="s">
        <v>1500</v>
      </c>
      <c r="DP21" s="277">
        <v>10000</v>
      </c>
      <c r="DQ21" s="276" t="s">
        <v>1596</v>
      </c>
      <c r="DS21" s="272" t="s">
        <v>1452</v>
      </c>
      <c r="DT21" s="286">
        <v>49.07</v>
      </c>
      <c r="DU21" s="63" t="s">
        <v>1514</v>
      </c>
      <c r="DV21" s="277">
        <v>10000</v>
      </c>
      <c r="DW21" s="60"/>
      <c r="DY21" s="250" t="s">
        <v>1554</v>
      </c>
      <c r="DZ21" t="s">
        <v>1621</v>
      </c>
      <c r="EA21" s="63"/>
      <c r="EB21" s="277"/>
      <c r="EE21" s="250" t="s">
        <v>1554</v>
      </c>
      <c r="EF21">
        <v>64</v>
      </c>
      <c r="EH21" s="1" t="s">
        <v>1474</v>
      </c>
      <c r="EI21" s="279">
        <v>5000</v>
      </c>
      <c r="EJ21" s="60" t="s">
        <v>1596</v>
      </c>
      <c r="EL21" s="250" t="s">
        <v>1303</v>
      </c>
      <c r="EM21">
        <v>158.44999999999999</v>
      </c>
      <c r="EN21" s="1" t="s">
        <v>1656</v>
      </c>
      <c r="EO21" s="279">
        <f>5000+5000</f>
        <v>10000</v>
      </c>
      <c r="ER21" s="352" t="s">
        <v>1303</v>
      </c>
      <c r="ES21" s="145">
        <v>136.79</v>
      </c>
      <c r="ET21" s="1" t="s">
        <v>1654</v>
      </c>
      <c r="EU21" s="279">
        <v>7000</v>
      </c>
      <c r="EV21" s="6" t="s">
        <v>1741</v>
      </c>
      <c r="EW21">
        <v>15</v>
      </c>
      <c r="EX21" s="352" t="s">
        <v>1624</v>
      </c>
      <c r="EY21" t="s">
        <v>1761</v>
      </c>
      <c r="EZ21" s="1" t="s">
        <v>1715</v>
      </c>
      <c r="FA21" s="279">
        <v>1000</v>
      </c>
      <c r="FB21" t="s">
        <v>1741</v>
      </c>
      <c r="FC21">
        <v>8.7100000000000009</v>
      </c>
      <c r="FD21" s="352" t="s">
        <v>1779</v>
      </c>
      <c r="FE21">
        <v>32</v>
      </c>
      <c r="FF21" s="1" t="s">
        <v>1715</v>
      </c>
      <c r="FG21" s="279">
        <v>1000</v>
      </c>
      <c r="FH21" s="6"/>
      <c r="FI21" s="3"/>
      <c r="FJ21" s="352" t="s">
        <v>1806</v>
      </c>
      <c r="FK21">
        <v>12</v>
      </c>
      <c r="FL21" s="1" t="s">
        <v>1586</v>
      </c>
      <c r="FM21" s="279">
        <v>15000</v>
      </c>
      <c r="FN21" s="60" t="s">
        <v>1727</v>
      </c>
      <c r="FO21">
        <v>6.37</v>
      </c>
      <c r="FP21" s="352" t="s">
        <v>1661</v>
      </c>
      <c r="FQ21" s="145">
        <f>20+20+31</f>
        <v>71</v>
      </c>
      <c r="FR21" s="1" t="s">
        <v>1774</v>
      </c>
      <c r="FS21" s="279">
        <v>25000</v>
      </c>
      <c r="FT21" s="393" t="s">
        <v>1903</v>
      </c>
      <c r="FU21">
        <v>1200</v>
      </c>
      <c r="FV21" s="352" t="s">
        <v>1212</v>
      </c>
      <c r="FW21">
        <f>6.5+15</f>
        <v>21.5</v>
      </c>
      <c r="FX21" s="1" t="s">
        <v>1718</v>
      </c>
      <c r="FY21" s="279">
        <v>3000</v>
      </c>
      <c r="FZ21" t="s">
        <v>1990</v>
      </c>
      <c r="GA21">
        <f>992-1001</f>
        <v>-9</v>
      </c>
      <c r="GB21" s="352" t="s">
        <v>1833</v>
      </c>
      <c r="GC21">
        <v>140.44999999999999</v>
      </c>
      <c r="GD21" s="1" t="s">
        <v>1718</v>
      </c>
      <c r="GE21" s="279">
        <v>3000</v>
      </c>
      <c r="GG21" s="248"/>
      <c r="GH21" s="352" t="s">
        <v>1833</v>
      </c>
      <c r="GI21">
        <v>140.44999999999999</v>
      </c>
      <c r="GJ21" s="1" t="s">
        <v>1941</v>
      </c>
      <c r="GK21" s="261">
        <v>33</v>
      </c>
      <c r="GL21" t="s">
        <v>1905</v>
      </c>
      <c r="GM21">
        <f>819.61-808</f>
        <v>11.610000000000014</v>
      </c>
      <c r="GN21" s="352" t="s">
        <v>1985</v>
      </c>
      <c r="GO21">
        <v>111.54</v>
      </c>
      <c r="GP21" s="1" t="s">
        <v>1941</v>
      </c>
      <c r="GQ21" s="261">
        <v>33</v>
      </c>
      <c r="GR21" t="s">
        <v>1595</v>
      </c>
      <c r="GS21" s="248"/>
      <c r="GT21" s="352" t="s">
        <v>2176</v>
      </c>
      <c r="GU21">
        <f>9.01+15+6.5</f>
        <v>30.509999999999998</v>
      </c>
      <c r="GV21" s="1" t="s">
        <v>1942</v>
      </c>
      <c r="GW21" s="279">
        <v>48</v>
      </c>
      <c r="GZ21" s="352" t="s">
        <v>2126</v>
      </c>
      <c r="HA21">
        <v>97.12</v>
      </c>
      <c r="HB21" s="1" t="s">
        <v>1941</v>
      </c>
      <c r="HC21" s="261">
        <v>0</v>
      </c>
      <c r="HD21" t="s">
        <v>2204</v>
      </c>
      <c r="HF21" s="352" t="s">
        <v>2160</v>
      </c>
      <c r="HG21" s="6">
        <v>85</v>
      </c>
      <c r="HH21" s="1" t="s">
        <v>2031</v>
      </c>
      <c r="HI21" s="279">
        <v>4000</v>
      </c>
      <c r="HK21" s="413"/>
      <c r="HL21" s="344" t="s">
        <v>2186</v>
      </c>
      <c r="HM21">
        <v>48.88</v>
      </c>
      <c r="HN21" s="1" t="s">
        <v>2030</v>
      </c>
      <c r="HO21" s="279">
        <v>3000</v>
      </c>
      <c r="HR21" s="352" t="s">
        <v>2268</v>
      </c>
      <c r="HS21">
        <v>42.65</v>
      </c>
      <c r="HT21" s="66" t="s">
        <v>2223</v>
      </c>
      <c r="HU21">
        <f>5000+5000+5000</f>
        <v>15000</v>
      </c>
      <c r="HW21" s="533"/>
      <c r="HX21" s="352" t="s">
        <v>1024</v>
      </c>
      <c r="HY21">
        <f>9</f>
        <v>9</v>
      </c>
      <c r="HZ21" s="535" t="s">
        <v>2305</v>
      </c>
      <c r="IA21" s="550">
        <v>345026.96</v>
      </c>
      <c r="IB21" s="551" t="s">
        <v>2360</v>
      </c>
      <c r="IC21" s="552">
        <v>598.5</v>
      </c>
      <c r="ID21" s="352" t="s">
        <v>2438</v>
      </c>
      <c r="IE21" s="145">
        <v>137.03</v>
      </c>
      <c r="IF21" s="66" t="s">
        <v>2286</v>
      </c>
      <c r="IG21" s="2">
        <v>50001</v>
      </c>
      <c r="IH21" t="s">
        <v>2431</v>
      </c>
      <c r="II21">
        <v>18</v>
      </c>
      <c r="IJ21" s="352" t="s">
        <v>2205</v>
      </c>
      <c r="IK21">
        <v>9</v>
      </c>
      <c r="IL21" s="535" t="s">
        <v>2305</v>
      </c>
      <c r="IM21" s="248">
        <v>65005</v>
      </c>
      <c r="IN21" s="591"/>
      <c r="IO21" s="537"/>
      <c r="IP21" s="344" t="s">
        <v>2561</v>
      </c>
      <c r="IQ21" s="61">
        <v>30</v>
      </c>
      <c r="IR21" s="7" t="s">
        <v>2491</v>
      </c>
      <c r="IS21">
        <v>2007</v>
      </c>
      <c r="IT21" s="414"/>
      <c r="IU21" s="555"/>
      <c r="IV21" s="344" t="s">
        <v>2671</v>
      </c>
      <c r="IW21" s="61">
        <v>42.51</v>
      </c>
      <c r="IX21" s="631"/>
      <c r="IZ21" s="697" t="s">
        <v>2188</v>
      </c>
      <c r="JA21" s="697"/>
      <c r="JB21" s="344" t="s">
        <v>2718</v>
      </c>
      <c r="JC21" s="61">
        <v>34</v>
      </c>
      <c r="JD21" s="687"/>
    </row>
    <row r="22" spans="1:266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31" t="s">
        <v>515</v>
      </c>
      <c r="N22" s="731"/>
      <c r="Q22" s="169" t="s">
        <v>371</v>
      </c>
      <c r="S22" s="731" t="s">
        <v>515</v>
      </c>
      <c r="T22" s="731"/>
      <c r="W22" s="250" t="s">
        <v>1038</v>
      </c>
      <c r="X22" s="145">
        <v>0</v>
      </c>
      <c r="Y22" s="63" t="s">
        <v>1062</v>
      </c>
      <c r="Z22" s="64">
        <v>13800</v>
      </c>
      <c r="AC22" s="146" t="s">
        <v>1027</v>
      </c>
      <c r="AD22" s="145">
        <v>0</v>
      </c>
      <c r="AE22" s="63" t="s">
        <v>1061</v>
      </c>
      <c r="AF22" s="64">
        <v>527</v>
      </c>
      <c r="AI22" s="146" t="s">
        <v>1027</v>
      </c>
      <c r="AJ22" s="210">
        <v>64</v>
      </c>
      <c r="AK22" s="63" t="s">
        <v>1061</v>
      </c>
      <c r="AL22" s="64">
        <v>527</v>
      </c>
      <c r="AM22" t="s">
        <v>1128</v>
      </c>
      <c r="AN22">
        <v>2200</v>
      </c>
      <c r="AO22" s="250" t="s">
        <v>1137</v>
      </c>
      <c r="AP22" s="210">
        <v>325</v>
      </c>
      <c r="AQ22" s="63" t="s">
        <v>1061</v>
      </c>
      <c r="AR22" s="64">
        <v>527</v>
      </c>
      <c r="AU22" s="250" t="s">
        <v>1170</v>
      </c>
      <c r="AV22" s="210" t="s">
        <v>694</v>
      </c>
      <c r="AW22" s="63" t="s">
        <v>1061</v>
      </c>
      <c r="AX22" s="64">
        <v>527.62</v>
      </c>
      <c r="AY22" s="250"/>
      <c r="AZ22" s="210"/>
      <c r="BA22" s="63" t="s">
        <v>1061</v>
      </c>
      <c r="BB22" s="64">
        <f t="shared" si="0"/>
        <v>527.62</v>
      </c>
      <c r="BC22" s="78"/>
      <c r="BE22" s="250" t="s">
        <v>1038</v>
      </c>
      <c r="BF22" s="210"/>
      <c r="BG22" s="63" t="s">
        <v>1061</v>
      </c>
      <c r="BH22" s="64">
        <v>527.62</v>
      </c>
      <c r="BK22" s="272" t="s">
        <v>1038</v>
      </c>
      <c r="BL22" s="210" t="s">
        <v>694</v>
      </c>
      <c r="BM22" s="63" t="s">
        <v>1061</v>
      </c>
      <c r="BN22" s="64">
        <v>527.62</v>
      </c>
      <c r="BO22" s="78" t="s">
        <v>1253</v>
      </c>
      <c r="BP22" s="9">
        <v>4.5</v>
      </c>
      <c r="BQ22" s="272" t="s">
        <v>1038</v>
      </c>
      <c r="BR22" s="210" t="s">
        <v>694</v>
      </c>
      <c r="BS22" s="63" t="s">
        <v>1061</v>
      </c>
      <c r="BT22" s="233">
        <v>527.62</v>
      </c>
      <c r="BU22" s="78"/>
      <c r="BW22" s="272" t="s">
        <v>1038</v>
      </c>
      <c r="BX22" s="210" t="s">
        <v>694</v>
      </c>
      <c r="BY22" s="63" t="s">
        <v>1062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1062</v>
      </c>
      <c r="CF22" s="64">
        <v>22203.86</v>
      </c>
      <c r="CI22" s="272" t="s">
        <v>1038</v>
      </c>
      <c r="CJ22" s="210" t="s">
        <v>694</v>
      </c>
      <c r="CK22" s="63" t="s">
        <v>1290</v>
      </c>
      <c r="CL22" s="64" t="s">
        <v>694</v>
      </c>
      <c r="CO22" s="273" t="s">
        <v>1354</v>
      </c>
      <c r="CP22" s="210" t="s">
        <v>1353</v>
      </c>
      <c r="CQ22" s="63" t="s">
        <v>1062</v>
      </c>
      <c r="CR22" s="64">
        <v>17242.32</v>
      </c>
      <c r="CS22" s="78"/>
      <c r="CU22" s="273" t="s">
        <v>1212</v>
      </c>
      <c r="CV22" s="210">
        <v>13</v>
      </c>
      <c r="CW22" s="63" t="s">
        <v>1008</v>
      </c>
      <c r="CX22" s="64">
        <f>26991+10000</f>
        <v>36991</v>
      </c>
      <c r="DA22" s="272" t="s">
        <v>1303</v>
      </c>
      <c r="DB22" s="210">
        <v>119.11</v>
      </c>
      <c r="DC22" s="63" t="s">
        <v>1061</v>
      </c>
      <c r="DD22" s="64">
        <v>527</v>
      </c>
      <c r="DE22" s="78"/>
      <c r="DF22" s="6"/>
      <c r="DG22" s="304" t="s">
        <v>1342</v>
      </c>
      <c r="DH22" s="286">
        <f>24+2.1</f>
        <v>26.1</v>
      </c>
      <c r="DI22" s="63" t="s">
        <v>1484</v>
      </c>
      <c r="DJ22" s="277">
        <v>10000</v>
      </c>
      <c r="DK22" s="6" t="s">
        <v>1487</v>
      </c>
      <c r="DL22" s="9">
        <f>10027-10000</f>
        <v>27</v>
      </c>
      <c r="DM22" s="300" t="s">
        <v>1394</v>
      </c>
      <c r="DO22" s="63"/>
      <c r="DP22" s="277"/>
      <c r="DQ22" s="6" t="s">
        <v>1516</v>
      </c>
      <c r="DR22" s="286">
        <v>80.19</v>
      </c>
      <c r="DS22" s="272" t="s">
        <v>1577</v>
      </c>
      <c r="DT22" s="286">
        <f>6.5+15+171+12</f>
        <v>204.5</v>
      </c>
      <c r="DU22" s="63"/>
      <c r="DV22" s="277"/>
      <c r="DY22" s="250" t="s">
        <v>1529</v>
      </c>
      <c r="DZ22">
        <f>15.9+16.73+14.68+13.7+15.31+11.22+16.8+10</f>
        <v>114.34</v>
      </c>
      <c r="EA22" s="63" t="s">
        <v>1486</v>
      </c>
      <c r="EB22" s="277">
        <v>5000</v>
      </c>
      <c r="EE22" s="250" t="s">
        <v>1529</v>
      </c>
      <c r="EF22">
        <f>12.24+16.64+6.43+4+7.12+8</f>
        <v>54.43</v>
      </c>
      <c r="EH22" s="1" t="s">
        <v>1653</v>
      </c>
      <c r="EI22" s="279">
        <v>5000</v>
      </c>
      <c r="EJ22" t="s">
        <v>1662</v>
      </c>
      <c r="EK22">
        <v>57.67</v>
      </c>
      <c r="EL22" s="250" t="s">
        <v>1624</v>
      </c>
      <c r="EM22">
        <v>11</v>
      </c>
      <c r="EN22" s="1" t="s">
        <v>1517</v>
      </c>
      <c r="EO22" s="279">
        <v>10000</v>
      </c>
      <c r="ER22" s="352" t="s">
        <v>1624</v>
      </c>
      <c r="ES22" s="145">
        <v>11</v>
      </c>
      <c r="ET22" s="1" t="s">
        <v>1716</v>
      </c>
      <c r="EU22" s="279">
        <v>12000</v>
      </c>
      <c r="EV22" s="6" t="s">
        <v>1745</v>
      </c>
      <c r="EW22">
        <v>18</v>
      </c>
      <c r="EX22" s="352" t="s">
        <v>1554</v>
      </c>
      <c r="EY22">
        <f>64+64</f>
        <v>128</v>
      </c>
      <c r="EZ22" s="1" t="s">
        <v>1654</v>
      </c>
      <c r="FA22" s="279">
        <v>8000</v>
      </c>
      <c r="FB22" s="6" t="s">
        <v>1769</v>
      </c>
      <c r="FC22" s="728" t="s">
        <v>1767</v>
      </c>
      <c r="FD22" s="352" t="s">
        <v>1024</v>
      </c>
      <c r="FE22">
        <v>9</v>
      </c>
      <c r="FF22" s="1" t="s">
        <v>1654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1715</v>
      </c>
      <c r="FM22" s="279">
        <v>0</v>
      </c>
      <c r="FN22" s="60" t="s">
        <v>1865</v>
      </c>
      <c r="FO22">
        <v>4.68</v>
      </c>
      <c r="FP22" s="352" t="s">
        <v>1212</v>
      </c>
      <c r="FQ22">
        <f>15+6.5</f>
        <v>21.5</v>
      </c>
      <c r="FR22" s="1" t="s">
        <v>1586</v>
      </c>
      <c r="FS22" s="279">
        <v>15000</v>
      </c>
      <c r="FT22" s="60" t="s">
        <v>1904</v>
      </c>
      <c r="FU22">
        <v>200</v>
      </c>
      <c r="FV22" s="352" t="s">
        <v>1951</v>
      </c>
      <c r="FW22">
        <v>10.96</v>
      </c>
      <c r="FX22" s="1" t="s">
        <v>1722</v>
      </c>
      <c r="FY22" s="279">
        <v>4000</v>
      </c>
      <c r="FZ22" s="60"/>
      <c r="GB22" s="352" t="s">
        <v>1212</v>
      </c>
      <c r="GC22" t="s">
        <v>694</v>
      </c>
      <c r="GD22" s="1" t="s">
        <v>1722</v>
      </c>
      <c r="GE22" s="279">
        <v>4000</v>
      </c>
      <c r="GF22" s="60" t="s">
        <v>2019</v>
      </c>
      <c r="GH22" s="352" t="s">
        <v>1212</v>
      </c>
      <c r="GI22">
        <f>13+30</f>
        <v>43</v>
      </c>
      <c r="GJ22" s="1" t="s">
        <v>1942</v>
      </c>
      <c r="GK22" s="279">
        <v>182</v>
      </c>
      <c r="GL22" s="60"/>
      <c r="GN22" s="352" t="s">
        <v>1833</v>
      </c>
      <c r="GO22">
        <v>140.44999999999999</v>
      </c>
      <c r="GP22" s="1" t="s">
        <v>1942</v>
      </c>
      <c r="GQ22" s="279">
        <v>2148</v>
      </c>
      <c r="GS22" s="248"/>
      <c r="GT22" s="352" t="s">
        <v>1951</v>
      </c>
      <c r="GU22">
        <v>10.96</v>
      </c>
      <c r="GV22" s="1" t="s">
        <v>2030</v>
      </c>
      <c r="GW22" s="279">
        <v>3000</v>
      </c>
      <c r="GX22" s="60"/>
      <c r="GZ22" s="352" t="s">
        <v>1833</v>
      </c>
      <c r="HA22">
        <v>140.44999999999999</v>
      </c>
      <c r="HB22" s="1" t="s">
        <v>1942</v>
      </c>
      <c r="HC22" s="279">
        <v>0</v>
      </c>
      <c r="HD22" s="60" t="s">
        <v>2148</v>
      </c>
      <c r="HE22">
        <v>10</v>
      </c>
      <c r="HF22" s="352" t="s">
        <v>2126</v>
      </c>
      <c r="HG22">
        <v>16.71</v>
      </c>
      <c r="HH22" s="1" t="s">
        <v>2032</v>
      </c>
      <c r="HI22" s="279">
        <v>25000</v>
      </c>
      <c r="HK22" s="413"/>
      <c r="HL22" s="344" t="s">
        <v>2196</v>
      </c>
      <c r="HM22">
        <v>115.9</v>
      </c>
      <c r="HN22" s="1" t="s">
        <v>2189</v>
      </c>
      <c r="HO22" s="279">
        <v>4000</v>
      </c>
      <c r="HR22" s="352" t="s">
        <v>2267</v>
      </c>
      <c r="HS22">
        <v>64</v>
      </c>
      <c r="HT22" s="66" t="s">
        <v>2224</v>
      </c>
      <c r="HU22">
        <f>5002+10000+5002+10002+5000</f>
        <v>35006</v>
      </c>
      <c r="HW22" s="413"/>
      <c r="HX22" s="352" t="s">
        <v>2301</v>
      </c>
      <c r="HY22">
        <v>64</v>
      </c>
      <c r="HZ22" s="66" t="s">
        <v>2222</v>
      </c>
      <c r="IA22" s="279">
        <v>2000</v>
      </c>
      <c r="IB22" s="553" t="s">
        <v>2358</v>
      </c>
      <c r="IC22" s="554">
        <f>19.95*3</f>
        <v>59.849999999999994</v>
      </c>
      <c r="ID22" s="352" t="s">
        <v>2373</v>
      </c>
      <c r="IE22">
        <v>167</v>
      </c>
      <c r="IF22" s="1" t="s">
        <v>2316</v>
      </c>
      <c r="IG22" s="279">
        <v>-80000</v>
      </c>
      <c r="IH22" t="s">
        <v>2454</v>
      </c>
      <c r="II22">
        <f>9.86*4</f>
        <v>39.44</v>
      </c>
      <c r="IJ22" s="352" t="s">
        <v>2282</v>
      </c>
      <c r="IK22">
        <v>64</v>
      </c>
      <c r="IL22" s="66" t="s">
        <v>2393</v>
      </c>
      <c r="IM22" s="275">
        <v>2190</v>
      </c>
      <c r="IN22" s="617"/>
      <c r="IO22" s="537"/>
      <c r="IP22" s="344" t="s">
        <v>2513</v>
      </c>
      <c r="IQ22" s="61">
        <v>10</v>
      </c>
      <c r="IR22" s="583" t="s">
        <v>2517</v>
      </c>
      <c r="IS22" s="582"/>
      <c r="IT22" s="415"/>
      <c r="IV22" s="344" t="s">
        <v>2690</v>
      </c>
      <c r="IW22" s="61">
        <v>45.98</v>
      </c>
      <c r="IX22" s="631" t="s">
        <v>2460</v>
      </c>
      <c r="IZ22" s="358" t="s">
        <v>1976</v>
      </c>
      <c r="JA22" s="293">
        <f>SUM(JC6:JC8)</f>
        <v>0</v>
      </c>
      <c r="JB22" s="344" t="s">
        <v>1880</v>
      </c>
      <c r="JC22" s="61"/>
      <c r="JD22" s="687" t="s">
        <v>2460</v>
      </c>
    </row>
    <row r="23" spans="1:266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29" t="s">
        <v>1002</v>
      </c>
      <c r="N23" s="729"/>
      <c r="Q23" s="169" t="s">
        <v>375</v>
      </c>
      <c r="S23" s="729" t="s">
        <v>1002</v>
      </c>
      <c r="T23" s="729"/>
      <c r="W23" s="250" t="s">
        <v>1031</v>
      </c>
      <c r="X23" s="145">
        <v>0</v>
      </c>
      <c r="Y23" s="731" t="s">
        <v>515</v>
      </c>
      <c r="Z23" s="731"/>
      <c r="AC23" s="146" t="s">
        <v>1026</v>
      </c>
      <c r="AD23" s="145">
        <v>80.001000000000005</v>
      </c>
      <c r="AE23" s="63" t="s">
        <v>1062</v>
      </c>
      <c r="AF23" s="64" t="s">
        <v>1095</v>
      </c>
      <c r="AI23" s="146" t="s">
        <v>1026</v>
      </c>
      <c r="AJ23" s="210">
        <v>150</v>
      </c>
      <c r="AK23" s="63" t="s">
        <v>1062</v>
      </c>
      <c r="AL23" s="64" t="s">
        <v>1095</v>
      </c>
      <c r="AO23" s="250" t="s">
        <v>1142</v>
      </c>
      <c r="AP23" s="210">
        <v>0</v>
      </c>
      <c r="AQ23" s="63" t="s">
        <v>1062</v>
      </c>
      <c r="AR23" s="64">
        <v>20000</v>
      </c>
      <c r="AU23" s="250" t="s">
        <v>1142</v>
      </c>
      <c r="AV23" s="210">
        <f>200+150+172</f>
        <v>522</v>
      </c>
      <c r="AW23" s="63" t="s">
        <v>1062</v>
      </c>
      <c r="AX23" s="90">
        <v>19203.86</v>
      </c>
      <c r="AY23" s="250"/>
      <c r="AZ23" s="210"/>
      <c r="BA23" s="63" t="s">
        <v>1062</v>
      </c>
      <c r="BB23" s="64">
        <f t="shared" si="0"/>
        <v>19203.86</v>
      </c>
      <c r="BE23" s="250" t="s">
        <v>1041</v>
      </c>
      <c r="BG23" s="63" t="s">
        <v>1062</v>
      </c>
      <c r="BH23" s="90">
        <v>19203.86</v>
      </c>
      <c r="BK23" s="272" t="s">
        <v>1041</v>
      </c>
      <c r="BL23" s="223" t="s">
        <v>694</v>
      </c>
      <c r="BM23" s="63" t="s">
        <v>1062</v>
      </c>
      <c r="BN23" s="90">
        <v>19203.86</v>
      </c>
      <c r="BQ23" s="272" t="s">
        <v>1041</v>
      </c>
      <c r="BR23" s="223" t="s">
        <v>694</v>
      </c>
      <c r="BS23" s="63" t="s">
        <v>1062</v>
      </c>
      <c r="BT23" s="233">
        <v>22203.86</v>
      </c>
      <c r="BW23" s="272" t="s">
        <v>1041</v>
      </c>
      <c r="BX23" s="223" t="s">
        <v>694</v>
      </c>
      <c r="BY23" s="63" t="s">
        <v>1279</v>
      </c>
      <c r="BZ23" s="64">
        <f>10000+4000</f>
        <v>14000</v>
      </c>
      <c r="CC23" s="272" t="s">
        <v>1041</v>
      </c>
      <c r="CD23" s="223" t="s">
        <v>694</v>
      </c>
      <c r="CE23" s="63" t="s">
        <v>1290</v>
      </c>
      <c r="CF23" s="64">
        <v>10000</v>
      </c>
      <c r="CI23" s="273" t="s">
        <v>1341</v>
      </c>
      <c r="CJ23" s="210">
        <v>91.86</v>
      </c>
      <c r="CK23" s="266" t="s">
        <v>1285</v>
      </c>
      <c r="CL23" s="287">
        <v>-20000</v>
      </c>
      <c r="CO23" s="273" t="s">
        <v>1368</v>
      </c>
      <c r="CP23" s="210">
        <v>57.34</v>
      </c>
      <c r="CQ23" s="266" t="s">
        <v>1285</v>
      </c>
      <c r="CR23" s="287">
        <v>-20000</v>
      </c>
      <c r="CS23" s="78" t="s">
        <v>1389</v>
      </c>
      <c r="CT23" s="78" t="s">
        <v>1390</v>
      </c>
      <c r="CU23" s="273" t="s">
        <v>1303</v>
      </c>
      <c r="CV23" s="210">
        <v>136.53</v>
      </c>
      <c r="CW23" s="266" t="s">
        <v>1285</v>
      </c>
      <c r="CX23" s="287">
        <v>-20000</v>
      </c>
      <c r="DA23" s="272" t="s">
        <v>1351</v>
      </c>
      <c r="DB23" s="210">
        <v>53.24</v>
      </c>
      <c r="DC23" s="63" t="s">
        <v>1008</v>
      </c>
      <c r="DD23" s="64">
        <v>45991</v>
      </c>
      <c r="DF23" s="6"/>
      <c r="DG23" s="304" t="s">
        <v>1432</v>
      </c>
      <c r="DH23" s="286" t="s">
        <v>694</v>
      </c>
      <c r="DI23" s="63" t="s">
        <v>1475</v>
      </c>
      <c r="DJ23" s="277">
        <v>10000</v>
      </c>
      <c r="DM23" s="300" t="s">
        <v>1534</v>
      </c>
      <c r="DN23" s="314">
        <v>189.2</v>
      </c>
      <c r="DO23" s="63" t="s">
        <v>1486</v>
      </c>
      <c r="DP23" s="277">
        <v>5000</v>
      </c>
      <c r="DQ23" s="6" t="s">
        <v>1517</v>
      </c>
      <c r="DR23" s="9">
        <v>10.51</v>
      </c>
      <c r="DS23" s="272" t="s">
        <v>1303</v>
      </c>
      <c r="DT23" s="286">
        <v>140.44999999999999</v>
      </c>
      <c r="DU23" s="63" t="s">
        <v>1486</v>
      </c>
      <c r="DV23" s="277">
        <v>5000</v>
      </c>
      <c r="EA23" s="63" t="s">
        <v>1474</v>
      </c>
      <c r="EB23" s="277">
        <v>5000</v>
      </c>
      <c r="EE23" s="344" t="s">
        <v>1657</v>
      </c>
      <c r="EF23">
        <v>10</v>
      </c>
      <c r="EH23" s="1" t="s">
        <v>1654</v>
      </c>
      <c r="EI23" s="279">
        <v>10000</v>
      </c>
      <c r="EJ23" t="s">
        <v>1663</v>
      </c>
      <c r="EK23">
        <v>33.71</v>
      </c>
      <c r="EL23" s="250" t="s">
        <v>1554</v>
      </c>
      <c r="EM23">
        <f>64+32</f>
        <v>96</v>
      </c>
      <c r="EN23" s="1" t="s">
        <v>1516</v>
      </c>
      <c r="EO23" s="279">
        <v>30000</v>
      </c>
      <c r="ER23" s="352" t="s">
        <v>1554</v>
      </c>
      <c r="ES23" s="145">
        <v>0</v>
      </c>
      <c r="ET23" s="1" t="s">
        <v>1717</v>
      </c>
      <c r="EU23" s="279">
        <v>13000</v>
      </c>
      <c r="EV23" s="6" t="s">
        <v>1753</v>
      </c>
      <c r="EW23">
        <f>4074+4965-9000</f>
        <v>39</v>
      </c>
      <c r="EX23" s="352" t="s">
        <v>1529</v>
      </c>
      <c r="EY23">
        <f>5.2+0.88+2.24+16.2+10+1.44+10.21+16.7+1.31+15.1+2.62+2.62+2.53+2.62+2.62+4.71</f>
        <v>97</v>
      </c>
      <c r="EZ23" s="1" t="s">
        <v>1716</v>
      </c>
      <c r="FA23" s="279">
        <v>2000</v>
      </c>
      <c r="FB23" s="6"/>
      <c r="FC23" s="728"/>
      <c r="FD23" s="352" t="s">
        <v>1529</v>
      </c>
      <c r="FE23">
        <f>2.62+4.71+2.62+13.99+15.65+7.92+10.66+6.21</f>
        <v>64.38</v>
      </c>
      <c r="FF23" s="1" t="s">
        <v>1716</v>
      </c>
      <c r="FG23" s="279">
        <v>2000</v>
      </c>
      <c r="FH23" s="6"/>
      <c r="FJ23" s="352" t="s">
        <v>1529</v>
      </c>
      <c r="FK23">
        <f>8.69+8.74+7.36+10.96+7.08+7.26</f>
        <v>50.089999999999996</v>
      </c>
      <c r="FL23" s="1" t="s">
        <v>1715</v>
      </c>
      <c r="FM23" s="279">
        <v>0</v>
      </c>
      <c r="FP23" s="352" t="s">
        <v>1554</v>
      </c>
      <c r="FQ23">
        <v>64</v>
      </c>
      <c r="FR23" s="1" t="s">
        <v>1654</v>
      </c>
      <c r="FS23" s="279" t="s">
        <v>1095</v>
      </c>
      <c r="FT23" t="s">
        <v>1920</v>
      </c>
      <c r="FU23">
        <v>1193.8599999999999</v>
      </c>
      <c r="FV23" s="352" t="s">
        <v>1554</v>
      </c>
      <c r="FW23" t="s">
        <v>665</v>
      </c>
      <c r="FX23" s="1" t="s">
        <v>1774</v>
      </c>
      <c r="FY23" s="279">
        <v>25000</v>
      </c>
      <c r="GB23" s="352" t="s">
        <v>1951</v>
      </c>
      <c r="GC23">
        <v>10.96</v>
      </c>
      <c r="GD23" s="1" t="s">
        <v>1774</v>
      </c>
      <c r="GE23" s="279">
        <v>25000</v>
      </c>
      <c r="GF23" t="s">
        <v>1905</v>
      </c>
      <c r="GG23">
        <f>990.58-1001</f>
        <v>-10.419999999999959</v>
      </c>
      <c r="GH23" s="352" t="s">
        <v>1951</v>
      </c>
      <c r="GI23">
        <v>10.96</v>
      </c>
      <c r="GJ23" s="1" t="s">
        <v>1718</v>
      </c>
      <c r="GK23" s="279">
        <v>3000</v>
      </c>
      <c r="GN23" s="352" t="s">
        <v>1212</v>
      </c>
      <c r="GO23">
        <f>15+6.5+25.7</f>
        <v>47.2</v>
      </c>
      <c r="GP23" s="1" t="s">
        <v>2030</v>
      </c>
      <c r="GQ23" s="279">
        <v>3000</v>
      </c>
      <c r="GR23" s="60" t="s">
        <v>2067</v>
      </c>
      <c r="GT23" s="352" t="s">
        <v>1554</v>
      </c>
      <c r="GU23">
        <v>64</v>
      </c>
      <c r="GV23" s="1" t="s">
        <v>2031</v>
      </c>
      <c r="GW23" s="279">
        <v>4000</v>
      </c>
      <c r="GZ23" s="352" t="s">
        <v>2177</v>
      </c>
      <c r="HA23">
        <f>10.96+9.01+6.5+15</f>
        <v>41.47</v>
      </c>
      <c r="HB23" s="1" t="s">
        <v>2030</v>
      </c>
      <c r="HC23" s="279">
        <v>3000</v>
      </c>
      <c r="HD23" t="s">
        <v>2167</v>
      </c>
      <c r="HF23" s="352" t="s">
        <v>1833</v>
      </c>
      <c r="HG23">
        <v>140.44999999999999</v>
      </c>
      <c r="HH23" s="1" t="s">
        <v>1655</v>
      </c>
      <c r="HI23" s="279">
        <v>2000</v>
      </c>
      <c r="HJ23" s="697" t="s">
        <v>2188</v>
      </c>
      <c r="HK23" s="697"/>
      <c r="HL23" s="344" t="s">
        <v>2195</v>
      </c>
      <c r="HM23">
        <v>57.3</v>
      </c>
      <c r="HN23" s="1" t="s">
        <v>2032</v>
      </c>
      <c r="HO23" s="279">
        <v>25000</v>
      </c>
      <c r="HR23" s="352" t="s">
        <v>2272</v>
      </c>
      <c r="HS23">
        <v>10</v>
      </c>
      <c r="HT23" s="66" t="s">
        <v>2247</v>
      </c>
      <c r="HU23">
        <f>5002+10000+10000+5000</f>
        <v>30002</v>
      </c>
      <c r="HV23" s="697" t="s">
        <v>2188</v>
      </c>
      <c r="HW23" s="697"/>
      <c r="HX23" s="352" t="s">
        <v>2342</v>
      </c>
      <c r="HY23">
        <v>30</v>
      </c>
      <c r="HZ23" s="66" t="s">
        <v>2285</v>
      </c>
      <c r="IA23" s="2">
        <v>60000.04</v>
      </c>
      <c r="IB23" s="415"/>
      <c r="ID23" s="352" t="s">
        <v>1212</v>
      </c>
      <c r="IE23">
        <f>15+6.5</f>
        <v>21.5</v>
      </c>
      <c r="IF23" s="1" t="s">
        <v>517</v>
      </c>
      <c r="IG23">
        <v>80</v>
      </c>
      <c r="IH23" t="s">
        <v>2455</v>
      </c>
      <c r="II23">
        <f>2.74+2.52+1.19*2</f>
        <v>7.64</v>
      </c>
      <c r="IJ23" s="352" t="s">
        <v>2403</v>
      </c>
      <c r="IK23" s="424">
        <f>20.75+15.85+16.8+10+21.56+17.42+14.05+10</f>
        <v>126.43</v>
      </c>
      <c r="IL23" s="1" t="s">
        <v>2487</v>
      </c>
      <c r="IM23">
        <v>150</v>
      </c>
      <c r="IN23" s="617"/>
      <c r="IO23" s="537"/>
      <c r="IP23" s="344" t="s">
        <v>1908</v>
      </c>
      <c r="IQ23" s="61">
        <v>80</v>
      </c>
      <c r="IR23" s="260" t="s">
        <v>2509</v>
      </c>
      <c r="IS23" s="285"/>
      <c r="IT23" s="697" t="s">
        <v>2188</v>
      </c>
      <c r="IU23" s="697"/>
      <c r="IV23" s="344" t="s">
        <v>2693</v>
      </c>
      <c r="IW23" s="61">
        <v>45.2</v>
      </c>
      <c r="IX23" s="680"/>
      <c r="IY23" s="638"/>
      <c r="IZ23" s="252" t="s">
        <v>1977</v>
      </c>
      <c r="JA23" s="293">
        <f>SUM(JC11:JC11)</f>
        <v>0</v>
      </c>
      <c r="JB23" s="344" t="s">
        <v>1880</v>
      </c>
      <c r="JC23" s="61"/>
      <c r="JD23" s="687"/>
      <c r="JE23" s="687"/>
    </row>
    <row r="24" spans="1:266" x14ac:dyDescent="0.2">
      <c r="A24" s="731" t="s">
        <v>515</v>
      </c>
      <c r="B24" s="731"/>
      <c r="E24" s="167" t="s">
        <v>237</v>
      </c>
      <c r="F24" s="169"/>
      <c r="G24" s="731" t="s">
        <v>515</v>
      </c>
      <c r="H24" s="731"/>
      <c r="K24" s="250" t="s">
        <v>1031</v>
      </c>
      <c r="L24" s="145">
        <v>0</v>
      </c>
      <c r="M24" s="724"/>
      <c r="N24" s="724"/>
      <c r="Q24" s="169" t="s">
        <v>1072</v>
      </c>
      <c r="S24" s="724"/>
      <c r="T24" s="724"/>
      <c r="W24" s="250" t="s">
        <v>1039</v>
      </c>
      <c r="X24" s="210">
        <v>0</v>
      </c>
      <c r="Y24" s="729" t="s">
        <v>1002</v>
      </c>
      <c r="Z24" s="729"/>
      <c r="AC24"/>
      <c r="AE24" s="731" t="s">
        <v>515</v>
      </c>
      <c r="AF24" s="731"/>
      <c r="AI24"/>
      <c r="AK24" s="731" t="s">
        <v>515</v>
      </c>
      <c r="AL24" s="731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1068</v>
      </c>
      <c r="BF24" s="210" t="s">
        <v>665</v>
      </c>
      <c r="BG24" s="266" t="s">
        <v>353</v>
      </c>
      <c r="BH24" s="266">
        <v>-30000</v>
      </c>
      <c r="BK24" s="273" t="s">
        <v>1068</v>
      </c>
      <c r="BL24" s="210" t="s">
        <v>665</v>
      </c>
      <c r="BM24" s="266" t="s">
        <v>353</v>
      </c>
      <c r="BN24" s="266">
        <v>-30000</v>
      </c>
      <c r="BQ24" s="273" t="s">
        <v>1274</v>
      </c>
      <c r="BR24" s="210">
        <v>121.05</v>
      </c>
      <c r="BS24" s="266" t="s">
        <v>1246</v>
      </c>
      <c r="BT24" s="282">
        <v>-20000</v>
      </c>
      <c r="BW24" s="273" t="s">
        <v>1068</v>
      </c>
      <c r="BX24" s="210" t="s">
        <v>665</v>
      </c>
      <c r="BY24" s="266" t="s">
        <v>1285</v>
      </c>
      <c r="BZ24" s="287">
        <v>-20000</v>
      </c>
      <c r="CC24" s="273" t="s">
        <v>1068</v>
      </c>
      <c r="CD24" s="210">
        <v>47.12</v>
      </c>
      <c r="CE24" s="266" t="s">
        <v>1285</v>
      </c>
      <c r="CF24" s="287">
        <v>-20000</v>
      </c>
      <c r="CI24" s="273" t="s">
        <v>1328</v>
      </c>
      <c r="CJ24" s="210">
        <v>72.42</v>
      </c>
      <c r="CK24" s="6" t="s">
        <v>1330</v>
      </c>
      <c r="CL24" s="290">
        <v>802</v>
      </c>
      <c r="CO24" s="273" t="s">
        <v>1212</v>
      </c>
      <c r="CP24" s="210">
        <v>13</v>
      </c>
      <c r="CQ24" s="260" t="s">
        <v>1330</v>
      </c>
      <c r="CR24" s="260">
        <f>802-791</f>
        <v>11</v>
      </c>
      <c r="CU24" s="273" t="s">
        <v>1351</v>
      </c>
      <c r="CV24" s="210">
        <v>53.24</v>
      </c>
      <c r="CW24" s="297" t="s">
        <v>1330</v>
      </c>
      <c r="CX24" s="64"/>
      <c r="DA24" s="272" t="s">
        <v>1320</v>
      </c>
      <c r="DB24" s="210">
        <v>64</v>
      </c>
      <c r="DC24" s="266" t="s">
        <v>1285</v>
      </c>
      <c r="DD24" s="287">
        <v>-20000</v>
      </c>
      <c r="DE24" s="78" t="s">
        <v>1456</v>
      </c>
      <c r="DF24" s="9">
        <f>7.1+13</f>
        <v>20.100000000000001</v>
      </c>
      <c r="DG24" s="303" t="s">
        <v>1478</v>
      </c>
      <c r="DH24" s="309">
        <v>35.630000000000003</v>
      </c>
      <c r="DI24" s="63" t="s">
        <v>1476</v>
      </c>
      <c r="DJ24" s="277">
        <v>10000</v>
      </c>
      <c r="DK24" s="6"/>
      <c r="DM24" s="300"/>
      <c r="DN24" s="286"/>
      <c r="DO24" s="63" t="s">
        <v>1474</v>
      </c>
      <c r="DP24" s="277">
        <v>5000</v>
      </c>
      <c r="DQ24" s="6"/>
      <c r="DS24" s="272" t="s">
        <v>1351</v>
      </c>
      <c r="DT24" s="286">
        <v>11</v>
      </c>
      <c r="DU24" s="63" t="s">
        <v>1474</v>
      </c>
      <c r="DV24" s="277">
        <v>5000</v>
      </c>
      <c r="DY24" s="344" t="s">
        <v>1619</v>
      </c>
      <c r="DZ24">
        <v>25</v>
      </c>
      <c r="EA24" s="63" t="s">
        <v>1511</v>
      </c>
      <c r="EB24" s="277">
        <v>5000</v>
      </c>
      <c r="EE24" s="727" t="s">
        <v>1553</v>
      </c>
      <c r="EF24" s="727"/>
      <c r="EH24" s="1" t="s">
        <v>1655</v>
      </c>
      <c r="EI24" s="279">
        <v>5000</v>
      </c>
      <c r="EL24" s="250" t="s">
        <v>1529</v>
      </c>
      <c r="EM24">
        <f>5.43+3.52+5.66+9.02+8.26</f>
        <v>31.89</v>
      </c>
      <c r="EN24" s="1" t="s">
        <v>1584</v>
      </c>
      <c r="EO24" s="279">
        <v>20000</v>
      </c>
      <c r="ER24" s="352" t="s">
        <v>1529</v>
      </c>
      <c r="ES24" s="145">
        <f>7.48+6.15+3.6+2.24+10+2.24</f>
        <v>31.71</v>
      </c>
      <c r="ET24" s="1" t="s">
        <v>1721</v>
      </c>
      <c r="EU24" s="279">
        <v>10000</v>
      </c>
      <c r="EV24" s="6" t="s">
        <v>1768</v>
      </c>
      <c r="EW24" s="728" t="s">
        <v>1767</v>
      </c>
      <c r="EX24" s="344" t="s">
        <v>1744</v>
      </c>
      <c r="EY24">
        <f>6+3.65</f>
        <v>9.65</v>
      </c>
      <c r="EZ24" s="1" t="s">
        <v>1717</v>
      </c>
      <c r="FA24" s="279">
        <v>3000</v>
      </c>
      <c r="FB24" s="6"/>
      <c r="FC24" s="728"/>
      <c r="FD24" s="344" t="s">
        <v>1775</v>
      </c>
      <c r="FE24">
        <v>10</v>
      </c>
      <c r="FF24" s="1" t="s">
        <v>1717</v>
      </c>
      <c r="FG24" s="279">
        <v>3000</v>
      </c>
      <c r="FJ24" s="344" t="s">
        <v>1810</v>
      </c>
      <c r="FK24">
        <v>70</v>
      </c>
      <c r="FL24" s="1" t="s">
        <v>1654</v>
      </c>
      <c r="FM24" s="279">
        <v>2000</v>
      </c>
      <c r="FN24" s="6"/>
      <c r="FO24" s="3"/>
      <c r="FP24" s="352" t="s">
        <v>1806</v>
      </c>
      <c r="FQ24">
        <v>12</v>
      </c>
      <c r="FR24" s="1" t="s">
        <v>1716</v>
      </c>
      <c r="FS24" s="279">
        <v>2000</v>
      </c>
      <c r="FT24" s="60" t="s">
        <v>1921</v>
      </c>
      <c r="FV24" s="352" t="s">
        <v>1806</v>
      </c>
      <c r="FW24">
        <v>12</v>
      </c>
      <c r="FX24" s="1" t="s">
        <v>1716</v>
      </c>
      <c r="FY24" s="279">
        <v>2000</v>
      </c>
      <c r="GB24" s="352" t="s">
        <v>2005</v>
      </c>
      <c r="GC24">
        <v>64</v>
      </c>
      <c r="GD24" s="1" t="s">
        <v>1716</v>
      </c>
      <c r="GE24" s="279">
        <v>2000</v>
      </c>
      <c r="GF24" t="s">
        <v>2000</v>
      </c>
      <c r="GG24">
        <f>989.5-1001</f>
        <v>-11.5</v>
      </c>
      <c r="GH24" s="352" t="s">
        <v>1554</v>
      </c>
      <c r="GI24">
        <v>64</v>
      </c>
      <c r="GJ24" s="1" t="s">
        <v>1722</v>
      </c>
      <c r="GK24" s="279">
        <v>4000</v>
      </c>
      <c r="GN24" s="352" t="s">
        <v>1951</v>
      </c>
      <c r="GO24">
        <v>10.96</v>
      </c>
      <c r="GP24" s="1" t="s">
        <v>2031</v>
      </c>
      <c r="GQ24" s="279">
        <v>4000</v>
      </c>
      <c r="GT24" s="352" t="s">
        <v>2002</v>
      </c>
      <c r="GU24">
        <f>10+10</f>
        <v>20</v>
      </c>
      <c r="GV24" s="1" t="s">
        <v>2032</v>
      </c>
      <c r="GW24" s="279">
        <v>25000</v>
      </c>
      <c r="GZ24" s="352" t="s">
        <v>2178</v>
      </c>
      <c r="HA24">
        <f>10+2.2</f>
        <v>12.2</v>
      </c>
      <c r="HB24" s="1" t="s">
        <v>2031</v>
      </c>
      <c r="HC24" s="279">
        <v>4000</v>
      </c>
      <c r="HD24" t="s">
        <v>2170</v>
      </c>
      <c r="HF24" s="352" t="s">
        <v>1212</v>
      </c>
      <c r="HG24">
        <f>6.5+15+90</f>
        <v>111.5</v>
      </c>
      <c r="HH24" s="1" t="s">
        <v>1656</v>
      </c>
      <c r="HI24" s="279">
        <v>4000</v>
      </c>
      <c r="HJ24" s="359" t="s">
        <v>1976</v>
      </c>
      <c r="HK24" s="293">
        <f>SUM(HM7:HM7)</f>
        <v>1900.08</v>
      </c>
      <c r="HL24" t="s">
        <v>2215</v>
      </c>
      <c r="HM24" s="6">
        <v>130</v>
      </c>
      <c r="HN24" s="1" t="s">
        <v>1655</v>
      </c>
      <c r="HO24" s="279">
        <v>2000</v>
      </c>
      <c r="HR24" s="352" t="s">
        <v>2003</v>
      </c>
      <c r="HS24" s="424">
        <f>16.5+14.09+10+1.34+13.21+16.39+15.89+17.3</f>
        <v>104.72</v>
      </c>
      <c r="HT24" s="1" t="s">
        <v>1642</v>
      </c>
      <c r="HU24">
        <v>150</v>
      </c>
      <c r="HV24" s="358" t="s">
        <v>1976</v>
      </c>
      <c r="HW24" s="293">
        <f>SUM(HY8:HY8)</f>
        <v>1900.1</v>
      </c>
      <c r="HX24" s="352" t="s">
        <v>2003</v>
      </c>
      <c r="HY24" s="424">
        <f>17.86+15.16+7.54+15.3+16.45+13.02</f>
        <v>85.33</v>
      </c>
      <c r="HZ24" s="66" t="s">
        <v>2286</v>
      </c>
      <c r="IA24" s="2">
        <v>160001.65</v>
      </c>
      <c r="IB24" s="415"/>
      <c r="ID24" s="352" t="s">
        <v>1024</v>
      </c>
      <c r="IE24">
        <f>9</f>
        <v>9</v>
      </c>
      <c r="IF24" s="7" t="s">
        <v>2017</v>
      </c>
      <c r="IG24">
        <v>1002</v>
      </c>
      <c r="IJ24" s="344" t="s">
        <v>2470</v>
      </c>
      <c r="IK24">
        <v>60</v>
      </c>
      <c r="IL24" s="570" t="s">
        <v>2491</v>
      </c>
      <c r="IM24">
        <v>1004</v>
      </c>
      <c r="IN24" s="617"/>
      <c r="IO24" s="537"/>
      <c r="IP24" s="344" t="s">
        <v>2510</v>
      </c>
      <c r="IQ24" s="61">
        <v>40.5</v>
      </c>
      <c r="IR24" s="584" t="s">
        <v>2519</v>
      </c>
      <c r="IS24" s="582">
        <v>28</v>
      </c>
      <c r="IT24" s="358" t="s">
        <v>1976</v>
      </c>
      <c r="IU24" s="293">
        <f>SUM(IW6:IW8)</f>
        <v>3911.02</v>
      </c>
      <c r="IV24" s="344" t="s">
        <v>2691</v>
      </c>
      <c r="IW24" s="61">
        <v>54.7</v>
      </c>
      <c r="IX24" s="549"/>
      <c r="IZ24" s="369" t="s">
        <v>1409</v>
      </c>
      <c r="JA24" s="684">
        <f>SUM(JC9:JC9)</f>
        <v>0</v>
      </c>
      <c r="JB24" s="344" t="s">
        <v>1880</v>
      </c>
      <c r="JC24" s="61"/>
      <c r="JD24" s="549"/>
    </row>
    <row r="25" spans="1:266" x14ac:dyDescent="0.2">
      <c r="A25" s="729" t="s">
        <v>1002</v>
      </c>
      <c r="B25" s="729"/>
      <c r="E25" s="167" t="s">
        <v>139</v>
      </c>
      <c r="F25" s="169"/>
      <c r="G25" s="729" t="s">
        <v>1002</v>
      </c>
      <c r="H25" s="729"/>
      <c r="K25" s="250" t="s">
        <v>1039</v>
      </c>
      <c r="L25" s="210">
        <v>0</v>
      </c>
      <c r="M25" s="724"/>
      <c r="N25" s="724"/>
      <c r="Q25" s="250" t="s">
        <v>1041</v>
      </c>
      <c r="R25" s="145">
        <v>0</v>
      </c>
      <c r="S25" s="724"/>
      <c r="T25" s="724"/>
      <c r="W25" s="250" t="s">
        <v>1066</v>
      </c>
      <c r="X25" s="145">
        <v>910.17</v>
      </c>
      <c r="Y25" s="724"/>
      <c r="Z25" s="724"/>
      <c r="AC25" s="255" t="s">
        <v>1099</v>
      </c>
      <c r="AD25" s="145">
        <v>90</v>
      </c>
      <c r="AE25" s="729" t="s">
        <v>1002</v>
      </c>
      <c r="AF25" s="729"/>
      <c r="AI25" s="252" t="s">
        <v>1117</v>
      </c>
      <c r="AJ25" s="145">
        <v>30</v>
      </c>
      <c r="AK25" s="729" t="s">
        <v>1002</v>
      </c>
      <c r="AL25" s="729"/>
      <c r="AO25" s="250" t="s">
        <v>1039</v>
      </c>
      <c r="AP25" s="210">
        <v>0</v>
      </c>
      <c r="AQ25" s="6" t="s">
        <v>1162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1067</v>
      </c>
      <c r="BF25" s="210">
        <v>54.83</v>
      </c>
      <c r="BG25" s="729"/>
      <c r="BH25" s="729"/>
      <c r="BK25" s="273" t="s">
        <v>1239</v>
      </c>
      <c r="BL25" s="210">
        <v>48.54</v>
      </c>
      <c r="BM25" s="729"/>
      <c r="BN25" s="729"/>
      <c r="BQ25" s="273" t="s">
        <v>1067</v>
      </c>
      <c r="BR25" s="210">
        <v>50.15</v>
      </c>
      <c r="BS25" s="729" t="s">
        <v>1262</v>
      </c>
      <c r="BT25" s="729"/>
      <c r="BW25" s="273" t="s">
        <v>1067</v>
      </c>
      <c r="BX25" s="210">
        <v>48.54</v>
      </c>
      <c r="BY25" s="729"/>
      <c r="BZ25" s="729"/>
      <c r="CC25" s="273" t="s">
        <v>1067</v>
      </c>
      <c r="CD25" s="210">
        <v>142.91</v>
      </c>
      <c r="CE25" s="729"/>
      <c r="CF25" s="729"/>
      <c r="CI25" s="273" t="s">
        <v>1329</v>
      </c>
      <c r="CJ25" s="210">
        <v>35.049999999999997</v>
      </c>
      <c r="CK25" s="724"/>
      <c r="CL25" s="724"/>
      <c r="CO25" s="273" t="s">
        <v>1303</v>
      </c>
      <c r="CP25" s="210">
        <v>153.41</v>
      </c>
      <c r="CQ25" s="724" t="s">
        <v>1344</v>
      </c>
      <c r="CR25" s="724"/>
      <c r="CU25" s="273" t="s">
        <v>1320</v>
      </c>
      <c r="CV25" s="210">
        <v>32</v>
      </c>
      <c r="CW25" s="297" t="s">
        <v>1369</v>
      </c>
      <c r="CX25" s="297" t="s">
        <v>1384</v>
      </c>
      <c r="DA25" s="272" t="s">
        <v>1419</v>
      </c>
      <c r="DB25" s="210">
        <v>0</v>
      </c>
      <c r="DC25" s="297" t="s">
        <v>1330</v>
      </c>
      <c r="DD25" s="64"/>
      <c r="DE25" s="78" t="s">
        <v>1435</v>
      </c>
      <c r="DF25" s="9">
        <v>14</v>
      </c>
      <c r="DG25" s="303" t="s">
        <v>1576</v>
      </c>
      <c r="DH25" s="309">
        <v>152</v>
      </c>
      <c r="DI25" s="63" t="s">
        <v>1485</v>
      </c>
      <c r="DJ25" s="277">
        <v>40000</v>
      </c>
      <c r="DK25" s="6"/>
      <c r="DM25" s="272" t="s">
        <v>1582</v>
      </c>
      <c r="DN25" s="286">
        <v>118.12</v>
      </c>
      <c r="DO25" s="63" t="s">
        <v>1511</v>
      </c>
      <c r="DP25" s="277">
        <v>5000</v>
      </c>
      <c r="DQ25" s="6"/>
      <c r="DS25" s="272" t="s">
        <v>1545</v>
      </c>
      <c r="DT25" s="286">
        <v>10340.549999999999</v>
      </c>
      <c r="DU25" s="63" t="s">
        <v>1511</v>
      </c>
      <c r="DV25" s="277">
        <v>5000</v>
      </c>
      <c r="DY25" s="344" t="s">
        <v>1629</v>
      </c>
      <c r="DZ25">
        <v>20.100000000000001</v>
      </c>
      <c r="EA25" s="63" t="s">
        <v>1512</v>
      </c>
      <c r="EB25" s="277">
        <v>5000</v>
      </c>
      <c r="EE25" s="346">
        <v>100</v>
      </c>
      <c r="EF25" s="323">
        <f>EB12+EE25-EI10</f>
        <v>50</v>
      </c>
      <c r="EH25" s="1" t="s">
        <v>1656</v>
      </c>
      <c r="EI25" s="279">
        <v>5000</v>
      </c>
      <c r="EL25" s="344" t="s">
        <v>1664</v>
      </c>
      <c r="EM25">
        <v>70</v>
      </c>
      <c r="EN25" s="1" t="s">
        <v>1514</v>
      </c>
      <c r="EO25" s="279">
        <v>10000</v>
      </c>
      <c r="ER25" s="344" t="s">
        <v>1674</v>
      </c>
      <c r="ES25" s="145">
        <v>0</v>
      </c>
      <c r="ET25" s="6" t="s">
        <v>1719</v>
      </c>
      <c r="EU25" s="279">
        <v>0</v>
      </c>
      <c r="EW25" s="728"/>
      <c r="EX25" s="344" t="s">
        <v>1754</v>
      </c>
      <c r="EY25">
        <v>10</v>
      </c>
      <c r="EZ25" s="1" t="s">
        <v>1717</v>
      </c>
      <c r="FA25" s="279">
        <v>1000</v>
      </c>
      <c r="FB25" s="6"/>
      <c r="FC25" s="6"/>
      <c r="FD25" s="344" t="s">
        <v>1796</v>
      </c>
      <c r="FE25">
        <f>8*2</f>
        <v>16</v>
      </c>
      <c r="FF25" s="1" t="s">
        <v>1717</v>
      </c>
      <c r="FG25" s="279">
        <v>1000</v>
      </c>
      <c r="FJ25" s="344" t="s">
        <v>1811</v>
      </c>
      <c r="FK25">
        <v>60.14</v>
      </c>
      <c r="FL25" s="1" t="s">
        <v>1716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1717</v>
      </c>
      <c r="FS25" s="279">
        <v>3000</v>
      </c>
      <c r="FT25" t="s">
        <v>1949</v>
      </c>
      <c r="FU25">
        <v>15.000999999999999</v>
      </c>
      <c r="FV25" s="352" t="s">
        <v>2029</v>
      </c>
      <c r="FW25">
        <v>18</v>
      </c>
      <c r="FX25" s="1" t="s">
        <v>1717</v>
      </c>
      <c r="FY25" s="279">
        <v>3000</v>
      </c>
      <c r="GB25" s="352" t="s">
        <v>1972</v>
      </c>
      <c r="GC25">
        <v>6</v>
      </c>
      <c r="GD25" s="1" t="s">
        <v>1717</v>
      </c>
      <c r="GE25" s="279">
        <v>3000</v>
      </c>
      <c r="GF25" s="60"/>
      <c r="GH25" s="352" t="s">
        <v>2021</v>
      </c>
      <c r="GI25">
        <v>11.24</v>
      </c>
      <c r="GJ25" s="1" t="s">
        <v>1774</v>
      </c>
      <c r="GK25" s="279">
        <v>25000</v>
      </c>
      <c r="GN25" s="352" t="s">
        <v>1554</v>
      </c>
      <c r="GO25" t="s">
        <v>1621</v>
      </c>
      <c r="GP25" s="1" t="s">
        <v>2032</v>
      </c>
      <c r="GQ25" s="279">
        <v>25000</v>
      </c>
      <c r="GT25" s="352" t="s">
        <v>2003</v>
      </c>
      <c r="GU25">
        <f>19.42+13.02+12.12+17.99+16.7+14.44</f>
        <v>93.69</v>
      </c>
      <c r="GV25" s="1" t="s">
        <v>1655</v>
      </c>
      <c r="GW25" s="279">
        <v>2000</v>
      </c>
      <c r="GZ25" s="352" t="s">
        <v>2003</v>
      </c>
      <c r="HA25">
        <f>15.19+14.56+13.54+14.83+17.61+15.15</f>
        <v>90.88</v>
      </c>
      <c r="HB25" s="1" t="s">
        <v>2032</v>
      </c>
      <c r="HC25" s="279">
        <v>25000</v>
      </c>
      <c r="HD25" t="s">
        <v>2166</v>
      </c>
      <c r="HF25" s="352" t="s">
        <v>2185</v>
      </c>
      <c r="HG25">
        <f>9+10.96</f>
        <v>19.96</v>
      </c>
      <c r="HH25" s="6" t="s">
        <v>1828</v>
      </c>
      <c r="HI25" s="279" t="s">
        <v>1095</v>
      </c>
      <c r="HJ25" s="401" t="s">
        <v>1977</v>
      </c>
      <c r="HK25" s="293">
        <f>SUM(HM8:HM9)</f>
        <v>2450.5333333333333</v>
      </c>
      <c r="HL25" s="9" t="s">
        <v>2214</v>
      </c>
      <c r="HM25" s="9">
        <v>530</v>
      </c>
      <c r="HN25" s="1" t="s">
        <v>1656</v>
      </c>
      <c r="HO25" s="279">
        <v>4000</v>
      </c>
      <c r="HQ25" s="413"/>
      <c r="HR25" s="344" t="s">
        <v>2230</v>
      </c>
      <c r="HS25">
        <v>20</v>
      </c>
      <c r="HT25" s="261" t="s">
        <v>2254</v>
      </c>
      <c r="HV25" s="252" t="s">
        <v>1977</v>
      </c>
      <c r="HW25" s="293">
        <f>SUM(HY10:HY15)</f>
        <v>605426.56333333335</v>
      </c>
      <c r="HX25" s="344" t="s">
        <v>2341</v>
      </c>
      <c r="HY25">
        <f>10+10</f>
        <v>20</v>
      </c>
      <c r="HZ25" s="1" t="s">
        <v>2287</v>
      </c>
      <c r="IA25" s="485">
        <v>-13000</v>
      </c>
      <c r="IB25" s="697" t="s">
        <v>2188</v>
      </c>
      <c r="IC25" s="697"/>
      <c r="ID25" s="352" t="s">
        <v>2282</v>
      </c>
      <c r="IE25">
        <v>32</v>
      </c>
      <c r="IF25" s="572" t="s">
        <v>2493</v>
      </c>
      <c r="IG25" s="571">
        <v>4</v>
      </c>
      <c r="IH25" t="s">
        <v>2364</v>
      </c>
      <c r="II25" s="537"/>
      <c r="IJ25" s="344" t="s">
        <v>2424</v>
      </c>
      <c r="IK25">
        <v>10</v>
      </c>
      <c r="IL25" s="572" t="s">
        <v>2493</v>
      </c>
      <c r="IM25" s="571">
        <v>4</v>
      </c>
      <c r="IN25" s="591"/>
      <c r="IO25" s="537"/>
      <c r="IP25" s="344" t="s">
        <v>2523</v>
      </c>
      <c r="IQ25" s="61">
        <v>88.51</v>
      </c>
      <c r="IR25" s="593" t="s">
        <v>2536</v>
      </c>
      <c r="IS25" s="592" t="s">
        <v>2578</v>
      </c>
      <c r="IT25" s="252" t="s">
        <v>1977</v>
      </c>
      <c r="IU25" s="293">
        <f>SUM(IW13:IW13)</f>
        <v>2116.9666666666667</v>
      </c>
      <c r="IV25" s="626" t="s">
        <v>2515</v>
      </c>
      <c r="IW25" s="78">
        <f>2+59+11+23</f>
        <v>95</v>
      </c>
      <c r="IX25" s="549"/>
      <c r="IY25" s="639"/>
      <c r="IZ25" s="353" t="s">
        <v>2183</v>
      </c>
      <c r="JA25" s="684">
        <f>SUM(JC10:JC10)</f>
        <v>52.89</v>
      </c>
      <c r="JB25" s="684" t="s">
        <v>2515</v>
      </c>
      <c r="JC25" s="78"/>
      <c r="JD25" s="549"/>
    </row>
    <row r="26" spans="1:266" x14ac:dyDescent="0.2">
      <c r="A26" s="724"/>
      <c r="B26" s="724"/>
      <c r="E26" s="203" t="s">
        <v>368</v>
      </c>
      <c r="F26" s="173"/>
      <c r="G26" s="724"/>
      <c r="H26" s="724"/>
      <c r="K26" s="250" t="s">
        <v>1030</v>
      </c>
      <c r="L26" s="145">
        <f>910+40</f>
        <v>950</v>
      </c>
      <c r="M26" s="724"/>
      <c r="N26" s="724"/>
      <c r="Q26" s="250" t="s">
        <v>1038</v>
      </c>
      <c r="R26" s="145">
        <v>0</v>
      </c>
      <c r="S26" s="724"/>
      <c r="T26" s="724"/>
      <c r="W26" s="146" t="s">
        <v>1101</v>
      </c>
      <c r="X26" s="145">
        <v>110.58</v>
      </c>
      <c r="Y26" s="724"/>
      <c r="Z26" s="724"/>
      <c r="AE26" s="724"/>
      <c r="AF26" s="724"/>
      <c r="AK26" s="724"/>
      <c r="AL26" s="724"/>
      <c r="AO26" s="146" t="s">
        <v>1138</v>
      </c>
      <c r="AP26" s="210">
        <v>33</v>
      </c>
      <c r="AR26"/>
      <c r="AU26" s="146" t="s">
        <v>1171</v>
      </c>
      <c r="AV26" s="210">
        <v>172.57</v>
      </c>
      <c r="AW26" s="724"/>
      <c r="AX26" s="724"/>
      <c r="AY26" s="146"/>
      <c r="AZ26" s="210"/>
      <c r="BA26" s="724"/>
      <c r="BB26" s="724"/>
      <c r="BE26" s="146" t="s">
        <v>1212</v>
      </c>
      <c r="BF26" s="210">
        <f>6.5*2</f>
        <v>13</v>
      </c>
      <c r="BG26" s="724"/>
      <c r="BH26" s="724"/>
      <c r="BK26" s="273" t="s">
        <v>1212</v>
      </c>
      <c r="BL26" s="210">
        <f>6.5*2</f>
        <v>13</v>
      </c>
      <c r="BM26" s="724"/>
      <c r="BN26" s="724"/>
      <c r="BQ26" s="273" t="s">
        <v>1212</v>
      </c>
      <c r="BR26" s="210">
        <v>13</v>
      </c>
      <c r="BS26" s="724"/>
      <c r="BT26" s="724"/>
      <c r="BW26" s="273" t="s">
        <v>1212</v>
      </c>
      <c r="BX26" s="210">
        <v>13</v>
      </c>
      <c r="BY26" s="724"/>
      <c r="BZ26" s="724"/>
      <c r="CC26" s="273" t="s">
        <v>1212</v>
      </c>
      <c r="CD26" s="210">
        <v>13</v>
      </c>
      <c r="CE26" s="724"/>
      <c r="CF26" s="724"/>
      <c r="CI26" s="273" t="s">
        <v>1212</v>
      </c>
      <c r="CJ26" s="210">
        <v>13</v>
      </c>
      <c r="CK26" s="60" t="s">
        <v>514</v>
      </c>
      <c r="CL26" s="288"/>
      <c r="CO26" s="273" t="s">
        <v>1351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1404</v>
      </c>
      <c r="CX26" s="297" t="s">
        <v>1383</v>
      </c>
      <c r="DA26" s="302" t="s">
        <v>1117</v>
      </c>
      <c r="DB26" s="223">
        <v>52.3</v>
      </c>
      <c r="DC26" s="297" t="s">
        <v>1406</v>
      </c>
      <c r="DD26" s="297">
        <v>81</v>
      </c>
      <c r="DG26" s="303" t="s">
        <v>1479</v>
      </c>
      <c r="DH26" s="309">
        <v>378.81</v>
      </c>
      <c r="DI26" s="63" t="s">
        <v>1465</v>
      </c>
      <c r="DJ26" s="277">
        <v>10000</v>
      </c>
      <c r="DM26" s="272" t="s">
        <v>1452</v>
      </c>
      <c r="DN26" s="286"/>
      <c r="DO26" s="63" t="s">
        <v>1512</v>
      </c>
      <c r="DP26" s="277">
        <v>5000</v>
      </c>
      <c r="DS26" s="272" t="s">
        <v>1554</v>
      </c>
      <c r="DT26" s="286">
        <v>64</v>
      </c>
      <c r="DU26" s="63" t="s">
        <v>1512</v>
      </c>
      <c r="DV26" s="277">
        <v>5000</v>
      </c>
      <c r="DY26" s="744" t="s">
        <v>1553</v>
      </c>
      <c r="DZ26" s="745"/>
      <c r="EA26" s="63" t="s">
        <v>1510</v>
      </c>
      <c r="EB26" s="277">
        <v>5000</v>
      </c>
      <c r="EE26" s="347" t="s">
        <v>1640</v>
      </c>
      <c r="EF26" s="348"/>
      <c r="EH26" s="1" t="s">
        <v>1650</v>
      </c>
      <c r="EI26" s="279">
        <v>0</v>
      </c>
      <c r="EL26" s="344" t="s">
        <v>1674</v>
      </c>
      <c r="EM26">
        <v>7</v>
      </c>
      <c r="EN26" s="1" t="s">
        <v>1650</v>
      </c>
      <c r="EO26" s="279">
        <v>0</v>
      </c>
      <c r="ER26" s="727" t="s">
        <v>1553</v>
      </c>
      <c r="ES26" s="727"/>
      <c r="ET26" s="1" t="s">
        <v>1720</v>
      </c>
      <c r="EU26" s="279">
        <v>20000</v>
      </c>
      <c r="EW26" s="728"/>
      <c r="EX26" s="344" t="s">
        <v>1746</v>
      </c>
      <c r="EY26">
        <v>40.299999999999997</v>
      </c>
      <c r="EZ26" s="1" t="s">
        <v>1721</v>
      </c>
      <c r="FA26" s="279">
        <v>10000</v>
      </c>
      <c r="FB26" s="6"/>
      <c r="FD26" s="344" t="s">
        <v>1773</v>
      </c>
      <c r="FE26">
        <v>33.9</v>
      </c>
      <c r="FF26" s="1" t="s">
        <v>1721</v>
      </c>
      <c r="FG26" s="279">
        <v>15000</v>
      </c>
      <c r="FJ26" s="344" t="s">
        <v>1841</v>
      </c>
      <c r="FK26">
        <v>7.3</v>
      </c>
      <c r="FL26" s="1" t="s">
        <v>1717</v>
      </c>
      <c r="FM26" s="279">
        <v>3000</v>
      </c>
      <c r="FN26" s="6"/>
      <c r="FO26" s="3"/>
      <c r="FP26" s="352" t="s">
        <v>1529</v>
      </c>
      <c r="FQ26">
        <f>7.74+13.99+8.86+10.74+6.17</f>
        <v>47.5</v>
      </c>
      <c r="FR26" s="1" t="s">
        <v>1717</v>
      </c>
      <c r="FS26" s="279">
        <v>1000</v>
      </c>
      <c r="FT26" t="s">
        <v>1903</v>
      </c>
      <c r="FU26">
        <f>1346.59-FU21</f>
        <v>146.58999999999992</v>
      </c>
      <c r="FV26" s="352" t="s">
        <v>1529</v>
      </c>
      <c r="FW26">
        <f>15.09+8.94+6.74+13.3+10+14.76</f>
        <v>68.830000000000013</v>
      </c>
      <c r="FX26" s="1" t="s">
        <v>1717</v>
      </c>
      <c r="FY26" s="279">
        <v>1000</v>
      </c>
      <c r="FZ26" s="6"/>
      <c r="GB26" s="352" t="s">
        <v>2029</v>
      </c>
      <c r="GC26">
        <v>9</v>
      </c>
      <c r="GD26" s="1" t="s">
        <v>1717</v>
      </c>
      <c r="GE26" s="279">
        <v>1000</v>
      </c>
      <c r="GH26" s="352" t="s">
        <v>2029</v>
      </c>
      <c r="GI26">
        <v>9</v>
      </c>
      <c r="GJ26" s="1" t="s">
        <v>1716</v>
      </c>
      <c r="GK26" s="279">
        <v>2000</v>
      </c>
      <c r="GL26" s="6"/>
      <c r="GN26" s="352" t="s">
        <v>2029</v>
      </c>
      <c r="GO26">
        <v>9</v>
      </c>
      <c r="GP26" s="1" t="s">
        <v>1655</v>
      </c>
      <c r="GQ26" s="279">
        <v>2000</v>
      </c>
      <c r="GR26" s="60"/>
      <c r="GT26" s="344" t="s">
        <v>2070</v>
      </c>
      <c r="GU26">
        <v>8</v>
      </c>
      <c r="GV26" s="1" t="s">
        <v>1656</v>
      </c>
      <c r="GW26" s="279">
        <v>4000</v>
      </c>
      <c r="GX26" s="6"/>
      <c r="GZ26" s="344" t="s">
        <v>2136</v>
      </c>
      <c r="HA26">
        <f>35+4</f>
        <v>39</v>
      </c>
      <c r="HB26" s="1" t="s">
        <v>1655</v>
      </c>
      <c r="HC26" s="279">
        <v>2000</v>
      </c>
      <c r="HD26" s="260"/>
      <c r="HF26" s="352" t="s">
        <v>1554</v>
      </c>
      <c r="HG26">
        <v>64</v>
      </c>
      <c r="HH26" s="261" t="s">
        <v>1649</v>
      </c>
      <c r="HI26" s="285"/>
      <c r="HJ26" s="357" t="s">
        <v>1409</v>
      </c>
      <c r="HK26">
        <v>0</v>
      </c>
      <c r="HL26" s="425">
        <v>32.770000000000003</v>
      </c>
      <c r="HM26" s="9" t="s">
        <v>2213</v>
      </c>
      <c r="HN26" s="261" t="s">
        <v>1649</v>
      </c>
      <c r="HO26" s="285"/>
      <c r="HQ26" s="413"/>
      <c r="HR26" s="344" t="s">
        <v>2253</v>
      </c>
      <c r="HS26">
        <v>26.6</v>
      </c>
      <c r="HT26" s="572" t="s">
        <v>2493</v>
      </c>
      <c r="HU26" s="571">
        <v>4</v>
      </c>
      <c r="HV26" s="353" t="s">
        <v>2183</v>
      </c>
      <c r="HW26">
        <f>SUM(HY9:HY9)</f>
        <v>535</v>
      </c>
      <c r="HX26" s="344" t="s">
        <v>2405</v>
      </c>
      <c r="HY26">
        <v>46.73</v>
      </c>
      <c r="HZ26" s="1" t="s">
        <v>2316</v>
      </c>
      <c r="IA26" s="279">
        <v>-70000</v>
      </c>
      <c r="IB26" s="358" t="s">
        <v>1976</v>
      </c>
      <c r="IC26" s="293">
        <f>SUM(IE7:IE7)</f>
        <v>1900.11</v>
      </c>
      <c r="ID26" s="352" t="s">
        <v>2403</v>
      </c>
      <c r="IE26" s="424">
        <f>11.74+10+9.21+17.04+10+12.34+15.71+10+15.63+10</f>
        <v>121.66999999999999</v>
      </c>
      <c r="IF26" s="6" t="s">
        <v>2377</v>
      </c>
      <c r="IG26" s="279"/>
      <c r="IH26" s="415" t="s">
        <v>2426</v>
      </c>
      <c r="II26" s="555">
        <v>19.45</v>
      </c>
      <c r="IJ26" s="344" t="s">
        <v>2484</v>
      </c>
      <c r="IK26">
        <f>91.7+12</f>
        <v>103.7</v>
      </c>
      <c r="IL26" s="260" t="s">
        <v>2280</v>
      </c>
      <c r="IM26" s="285"/>
      <c r="IN26" s="415"/>
      <c r="IO26" s="555"/>
      <c r="IP26" s="581" t="s">
        <v>2187</v>
      </c>
      <c r="IQ26" s="61">
        <v>58.4</v>
      </c>
      <c r="IR26" s="586" t="s">
        <v>2521</v>
      </c>
      <c r="IS26" s="585">
        <v>1000</v>
      </c>
      <c r="IT26" s="369" t="s">
        <v>1409</v>
      </c>
      <c r="IU26" s="626">
        <f>SUM(IW9:IW11)</f>
        <v>2514.06</v>
      </c>
      <c r="IV26" s="9" t="s">
        <v>2214</v>
      </c>
      <c r="IW26" s="580">
        <f>70+106+167+164+22.7</f>
        <v>529.70000000000005</v>
      </c>
      <c r="IX26" s="631"/>
      <c r="IZ26" s="352" t="s">
        <v>2184</v>
      </c>
      <c r="JA26" s="424">
        <f>SUM(JC12:JC19)</f>
        <v>17.98</v>
      </c>
      <c r="JB26" s="9" t="s">
        <v>2214</v>
      </c>
      <c r="JC26" s="580"/>
      <c r="JD26" s="687"/>
    </row>
    <row r="27" spans="1:266" x14ac:dyDescent="0.2">
      <c r="A27" s="724"/>
      <c r="B27" s="724"/>
      <c r="F27" s="199"/>
      <c r="G27" s="724"/>
      <c r="H27" s="724"/>
      <c r="K27"/>
      <c r="M27" s="734" t="s">
        <v>514</v>
      </c>
      <c r="N27" s="734"/>
      <c r="Q27" s="250" t="s">
        <v>1031</v>
      </c>
      <c r="R27" s="145">
        <v>0</v>
      </c>
      <c r="S27" s="734" t="s">
        <v>514</v>
      </c>
      <c r="T27" s="734"/>
      <c r="W27" s="146" t="s">
        <v>1067</v>
      </c>
      <c r="X27" s="145">
        <v>60.75</v>
      </c>
      <c r="Y27" s="724"/>
      <c r="Z27" s="724"/>
      <c r="AC27" s="224" t="s">
        <v>1108</v>
      </c>
      <c r="AD27" s="224"/>
      <c r="AE27" s="734" t="s">
        <v>514</v>
      </c>
      <c r="AF27" s="734"/>
      <c r="AI27" s="210" t="s">
        <v>1119</v>
      </c>
      <c r="AJ27" s="145">
        <v>210</v>
      </c>
      <c r="AK27" s="60" t="s">
        <v>514</v>
      </c>
      <c r="AL27" s="60" t="s">
        <v>514</v>
      </c>
      <c r="AO27" s="146" t="s">
        <v>1145</v>
      </c>
      <c r="AP27" s="210">
        <v>28.94</v>
      </c>
      <c r="AQ27" s="60" t="s">
        <v>514</v>
      </c>
      <c r="AR27" s="60"/>
      <c r="AU27" s="146" t="s">
        <v>1176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1303</v>
      </c>
      <c r="CD27" s="210">
        <v>138.30000000000001</v>
      </c>
      <c r="CE27" s="60" t="s">
        <v>514</v>
      </c>
      <c r="CF27" s="288"/>
      <c r="CI27" s="273" t="s">
        <v>1303</v>
      </c>
      <c r="CJ27" s="210">
        <v>137.85</v>
      </c>
      <c r="CK27" s="260" t="s">
        <v>1314</v>
      </c>
      <c r="CL27" s="286"/>
      <c r="CO27" s="273" t="s">
        <v>1320</v>
      </c>
      <c r="CP27" s="210">
        <v>64</v>
      </c>
      <c r="CQ27" s="60" t="s">
        <v>514</v>
      </c>
      <c r="CR27" s="288"/>
      <c r="CU27" s="294" t="s">
        <v>1373</v>
      </c>
      <c r="CV27" s="210">
        <f>16.33+8.5</f>
        <v>24.83</v>
      </c>
      <c r="CW27" s="297" t="s">
        <v>1370</v>
      </c>
      <c r="CX27" s="298" t="s">
        <v>1381</v>
      </c>
      <c r="DA27" s="302" t="s">
        <v>1401</v>
      </c>
      <c r="DB27" s="223">
        <v>43.31</v>
      </c>
      <c r="DC27" s="297" t="s">
        <v>1405</v>
      </c>
      <c r="DD27" s="297">
        <v>101</v>
      </c>
      <c r="DG27" s="300" t="s">
        <v>1394</v>
      </c>
      <c r="DH27" s="309">
        <f>395.9+637.65</f>
        <v>1033.55</v>
      </c>
      <c r="DI27" s="63" t="s">
        <v>1472</v>
      </c>
      <c r="DJ27" s="233" t="s">
        <v>1095</v>
      </c>
      <c r="DM27" s="272" t="s">
        <v>1212</v>
      </c>
      <c r="DN27" s="286">
        <f>13+30</f>
        <v>43</v>
      </c>
      <c r="DO27" s="63" t="s">
        <v>1510</v>
      </c>
      <c r="DP27" s="277">
        <v>5000</v>
      </c>
      <c r="DS27" s="272" t="s">
        <v>1583</v>
      </c>
      <c r="DT27" s="286">
        <v>35</v>
      </c>
      <c r="DU27" s="63" t="s">
        <v>1510</v>
      </c>
      <c r="DV27" s="277">
        <v>5000</v>
      </c>
      <c r="DY27" s="346">
        <v>100</v>
      </c>
      <c r="DZ27" s="323">
        <f>DV13+DY27-EB12</f>
        <v>140</v>
      </c>
      <c r="EA27" s="63" t="s">
        <v>1513</v>
      </c>
      <c r="EB27" s="277">
        <v>5000</v>
      </c>
      <c r="EE27" s="63" t="s">
        <v>1637</v>
      </c>
      <c r="EF27" s="63"/>
      <c r="EG27" s="349"/>
      <c r="EH27" s="261" t="s">
        <v>1649</v>
      </c>
      <c r="EI27" s="261"/>
      <c r="EL27" s="344" t="s">
        <v>1668</v>
      </c>
      <c r="EM27">
        <v>9.9</v>
      </c>
      <c r="EN27" s="261" t="s">
        <v>1649</v>
      </c>
      <c r="EO27" s="261"/>
      <c r="ER27" s="360">
        <f>200+250</f>
        <v>450</v>
      </c>
      <c r="ES27" s="361">
        <f>EO10+ER27-EU10</f>
        <v>260</v>
      </c>
      <c r="ET27" s="1" t="s">
        <v>1584</v>
      </c>
      <c r="EU27" s="279">
        <v>10000</v>
      </c>
      <c r="EX27" s="727" t="s">
        <v>1553</v>
      </c>
      <c r="EY27" s="727"/>
      <c r="EZ27" s="1" t="s">
        <v>1720</v>
      </c>
      <c r="FA27" s="279">
        <v>30000</v>
      </c>
      <c r="FD27" s="344" t="s">
        <v>1783</v>
      </c>
      <c r="FE27">
        <v>57.12</v>
      </c>
      <c r="FF27" s="1" t="s">
        <v>1720</v>
      </c>
      <c r="FG27" s="279">
        <v>30000</v>
      </c>
      <c r="FJ27" s="344" t="s">
        <v>1825</v>
      </c>
      <c r="FK27">
        <f>40.89-20</f>
        <v>20.89</v>
      </c>
      <c r="FL27" s="1" t="s">
        <v>1717</v>
      </c>
      <c r="FM27" s="279">
        <v>1000</v>
      </c>
      <c r="FN27" s="6"/>
      <c r="FO27" s="6"/>
      <c r="FP27" s="344" t="s">
        <v>1874</v>
      </c>
      <c r="FQ27">
        <v>49.7</v>
      </c>
      <c r="FR27" s="1" t="s">
        <v>1720</v>
      </c>
      <c r="FS27" s="279">
        <v>10000</v>
      </c>
      <c r="FT27" s="60" t="s">
        <v>1904</v>
      </c>
      <c r="FU27">
        <f>242.32-FU22</f>
        <v>42.319999999999993</v>
      </c>
      <c r="FV27" s="344" t="s">
        <v>1908</v>
      </c>
      <c r="FW27">
        <v>70</v>
      </c>
      <c r="FX27" s="6" t="s">
        <v>1828</v>
      </c>
      <c r="FY27" s="279">
        <v>100</v>
      </c>
      <c r="FZ27" s="1"/>
      <c r="GA27" s="3"/>
      <c r="GB27" s="352" t="s">
        <v>1529</v>
      </c>
      <c r="GC27">
        <f>16.06+16.53+14.35+15.3+15.91+1.41+13.3</f>
        <v>92.86</v>
      </c>
      <c r="GD27" s="6" t="s">
        <v>1828</v>
      </c>
      <c r="GE27" s="279">
        <v>200</v>
      </c>
      <c r="GH27" s="352" t="s">
        <v>2002</v>
      </c>
      <c r="GI27">
        <v>20</v>
      </c>
      <c r="GJ27" s="1" t="s">
        <v>1717</v>
      </c>
      <c r="GK27" s="279">
        <v>4000</v>
      </c>
      <c r="GL27" s="1"/>
      <c r="GM27" s="3"/>
      <c r="GN27" s="352" t="s">
        <v>2054</v>
      </c>
      <c r="GO27">
        <f>20+40+10+10</f>
        <v>80</v>
      </c>
      <c r="GP27" s="1" t="s">
        <v>1656</v>
      </c>
      <c r="GQ27" s="279">
        <v>4000</v>
      </c>
      <c r="GT27" s="344" t="s">
        <v>2085</v>
      </c>
      <c r="GU27">
        <f>15.74+43.21</f>
        <v>58.95</v>
      </c>
      <c r="GV27" s="6" t="s">
        <v>1828</v>
      </c>
      <c r="GW27" s="279">
        <v>300</v>
      </c>
      <c r="GX27" s="1"/>
      <c r="GY27" s="3"/>
      <c r="GZ27" s="344" t="s">
        <v>2132</v>
      </c>
      <c r="HA27">
        <v>20</v>
      </c>
      <c r="HB27" s="1" t="s">
        <v>1656</v>
      </c>
      <c r="HC27" s="279">
        <v>4000</v>
      </c>
      <c r="HD27" s="260"/>
      <c r="HE27" s="3"/>
      <c r="HF27" s="352" t="s">
        <v>2003</v>
      </c>
      <c r="HG27">
        <f>12.57+14.64+15.52+10+15.22+15.49+15.3</f>
        <v>98.74</v>
      </c>
      <c r="HH27" s="260" t="s">
        <v>2168</v>
      </c>
      <c r="HI27" s="290">
        <v>74.900000000000006</v>
      </c>
      <c r="HJ27" s="354" t="s">
        <v>2183</v>
      </c>
      <c r="HK27">
        <v>0</v>
      </c>
      <c r="HL27" s="399" t="s">
        <v>2211</v>
      </c>
      <c r="HM27" s="421">
        <f>HI16+HK31-HO18</f>
        <v>240</v>
      </c>
      <c r="HN27" s="411" t="s">
        <v>2207</v>
      </c>
      <c r="HO27" s="285">
        <v>21</v>
      </c>
      <c r="HP27" s="697" t="s">
        <v>2188</v>
      </c>
      <c r="HQ27" s="697"/>
      <c r="HR27" s="344" t="s">
        <v>2260</v>
      </c>
      <c r="HS27">
        <v>10</v>
      </c>
      <c r="HT27" s="7" t="s">
        <v>2017</v>
      </c>
      <c r="HU27">
        <v>1000</v>
      </c>
      <c r="HV27" s="352" t="s">
        <v>2184</v>
      </c>
      <c r="HW27" s="424">
        <f>SUM(HY16:HY24)</f>
        <v>1033.9166666666667</v>
      </c>
      <c r="HX27" s="344" t="s">
        <v>2343</v>
      </c>
      <c r="HY27">
        <f>32.37+27.07</f>
        <v>59.44</v>
      </c>
      <c r="HZ27" s="7" t="s">
        <v>2320</v>
      </c>
      <c r="IA27" s="281">
        <v>0</v>
      </c>
      <c r="IB27" s="252" t="s">
        <v>1977</v>
      </c>
      <c r="IC27" s="293">
        <f>SUM(IE10:IE17)</f>
        <v>51233.746666666666</v>
      </c>
      <c r="ID27" s="344" t="s">
        <v>2397</v>
      </c>
      <c r="IE27">
        <v>30</v>
      </c>
      <c r="IF27" s="549" t="s">
        <v>2394</v>
      </c>
      <c r="IG27" s="285">
        <v>127</v>
      </c>
      <c r="IH27" s="415" t="s">
        <v>2427</v>
      </c>
      <c r="II27" s="555">
        <v>19.45</v>
      </c>
      <c r="IJ27" s="344" t="s">
        <v>2471</v>
      </c>
      <c r="IK27">
        <v>6.8</v>
      </c>
      <c r="IL27" s="260" t="s">
        <v>2441</v>
      </c>
      <c r="IM27">
        <v>41</v>
      </c>
      <c r="IN27" s="415"/>
      <c r="IO27" s="555"/>
      <c r="IP27" s="344" t="s">
        <v>2522</v>
      </c>
      <c r="IQ27" s="61">
        <v>23.42</v>
      </c>
      <c r="IR27" s="549" t="s">
        <v>2518</v>
      </c>
      <c r="IS27" s="61">
        <v>260</v>
      </c>
      <c r="IT27" s="353" t="s">
        <v>2183</v>
      </c>
      <c r="IU27" s="626">
        <f>SUM(IW12:IW12)</f>
        <v>170</v>
      </c>
      <c r="IV27" s="425">
        <v>22.7</v>
      </c>
      <c r="IW27" s="580"/>
      <c r="IX27" s="626" t="s">
        <v>514</v>
      </c>
      <c r="IZ27" s="344" t="s">
        <v>2182</v>
      </c>
      <c r="JA27" s="684">
        <f>SUM(JC20:JC24)</f>
        <v>34</v>
      </c>
      <c r="JB27" s="425">
        <v>22.7</v>
      </c>
      <c r="JC27" s="580"/>
      <c r="JD27" s="684" t="s">
        <v>514</v>
      </c>
    </row>
    <row r="28" spans="1:266" x14ac:dyDescent="0.2">
      <c r="A28" s="724"/>
      <c r="B28" s="724"/>
      <c r="E28" s="198" t="s">
        <v>366</v>
      </c>
      <c r="F28" s="199"/>
      <c r="G28" s="724"/>
      <c r="H28" s="724"/>
      <c r="K28" s="146" t="s">
        <v>1029</v>
      </c>
      <c r="L28" s="145">
        <f>60</f>
        <v>60</v>
      </c>
      <c r="M28" s="734" t="s">
        <v>1004</v>
      </c>
      <c r="N28" s="734"/>
      <c r="Q28" s="250" t="s">
        <v>1089</v>
      </c>
      <c r="R28" s="210">
        <v>200</v>
      </c>
      <c r="S28" s="734" t="s">
        <v>1004</v>
      </c>
      <c r="T28" s="734"/>
      <c r="W28" s="146" t="s">
        <v>1028</v>
      </c>
      <c r="X28" s="145">
        <v>61.35</v>
      </c>
      <c r="Y28" s="734" t="s">
        <v>514</v>
      </c>
      <c r="Z28" s="734"/>
      <c r="AC28" s="224" t="s">
        <v>1104</v>
      </c>
      <c r="AD28" s="224">
        <f>53+207+63</f>
        <v>323</v>
      </c>
      <c r="AE28" s="734" t="s">
        <v>1004</v>
      </c>
      <c r="AF28" s="734"/>
      <c r="AI28" s="145" t="s">
        <v>1694</v>
      </c>
      <c r="AJ28" s="145">
        <f>299+19</f>
        <v>318</v>
      </c>
      <c r="AK28" s="60" t="s">
        <v>1004</v>
      </c>
      <c r="AL28" s="60" t="s">
        <v>1004</v>
      </c>
      <c r="AO28" s="146" t="s">
        <v>1178</v>
      </c>
      <c r="AP28" s="210">
        <v>43.86</v>
      </c>
      <c r="AQ28" s="60" t="s">
        <v>1004</v>
      </c>
      <c r="AR28" s="60"/>
      <c r="AU28" s="146" t="s">
        <v>1177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1159</v>
      </c>
      <c r="BF28" s="210" t="s">
        <v>665</v>
      </c>
      <c r="BG28" s="60" t="s">
        <v>1004</v>
      </c>
      <c r="BH28" s="60"/>
      <c r="BK28" s="273" t="s">
        <v>1159</v>
      </c>
      <c r="BL28" s="210">
        <v>11</v>
      </c>
      <c r="BM28" s="60" t="s">
        <v>1004</v>
      </c>
      <c r="BN28" s="60"/>
      <c r="BQ28" s="273" t="s">
        <v>1263</v>
      </c>
      <c r="BR28" s="210">
        <v>11</v>
      </c>
      <c r="BS28" s="60" t="s">
        <v>1004</v>
      </c>
      <c r="BT28" s="283"/>
      <c r="BW28" s="273" t="s">
        <v>1298</v>
      </c>
      <c r="BX28" s="210">
        <v>11</v>
      </c>
      <c r="BY28" s="60" t="s">
        <v>1004</v>
      </c>
      <c r="BZ28" s="288"/>
      <c r="CC28" s="273" t="s">
        <v>1159</v>
      </c>
      <c r="CD28" s="210">
        <v>11</v>
      </c>
      <c r="CE28" s="60" t="s">
        <v>1004</v>
      </c>
      <c r="CF28" s="288"/>
      <c r="CI28" s="273" t="s">
        <v>1325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1386</v>
      </c>
      <c r="CV28" s="223">
        <f>72+11+5.8</f>
        <v>88.8</v>
      </c>
      <c r="CW28" s="297" t="s">
        <v>1374</v>
      </c>
      <c r="CX28" s="298" t="s">
        <v>1382</v>
      </c>
      <c r="DA28" s="302" t="s">
        <v>1396</v>
      </c>
      <c r="DB28" s="210">
        <v>60</v>
      </c>
      <c r="DC28" s="297"/>
      <c r="DD28" s="298"/>
      <c r="DE28" s="9" t="s">
        <v>1437</v>
      </c>
      <c r="DG28" s="300" t="s">
        <v>1454</v>
      </c>
      <c r="DH28" s="314">
        <v>13.57</v>
      </c>
      <c r="DI28" s="63" t="s">
        <v>1466</v>
      </c>
      <c r="DJ28" s="233" t="s">
        <v>1095</v>
      </c>
      <c r="DM28" s="272" t="s">
        <v>1303</v>
      </c>
      <c r="DN28" s="286">
        <v>134.44999999999999</v>
      </c>
      <c r="DO28" s="63" t="s">
        <v>1513</v>
      </c>
      <c r="DP28" s="277">
        <v>5000</v>
      </c>
      <c r="DS28" s="272" t="s">
        <v>1529</v>
      </c>
      <c r="DT28" s="286">
        <f>12.32+17.25+(1.31*2)+9.98+13.82+14.98+2.1+2.02</f>
        <v>75.089999999999989</v>
      </c>
      <c r="DU28" s="63" t="s">
        <v>1513</v>
      </c>
      <c r="DV28" s="277">
        <v>5000</v>
      </c>
      <c r="DY28" s="347" t="s">
        <v>1634</v>
      </c>
      <c r="DZ28" s="348"/>
      <c r="EA28" s="63" t="s">
        <v>1502</v>
      </c>
      <c r="EB28" s="233" t="s">
        <v>694</v>
      </c>
      <c r="EE28" s="63" t="s">
        <v>1651</v>
      </c>
      <c r="EF28" s="63"/>
      <c r="EG28" s="350"/>
      <c r="EH28" s="1"/>
      <c r="EI28" s="1"/>
      <c r="EL28" s="344" t="s">
        <v>1665</v>
      </c>
      <c r="EM28">
        <v>64.849999999999994</v>
      </c>
      <c r="EN28" s="260" t="s">
        <v>1680</v>
      </c>
      <c r="EO28" s="315">
        <v>807.9</v>
      </c>
      <c r="ER28" s="348" t="s">
        <v>1733</v>
      </c>
      <c r="ES28" s="365"/>
      <c r="ET28" s="1" t="s">
        <v>1514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1584</v>
      </c>
      <c r="FA28" s="279">
        <v>11010</v>
      </c>
      <c r="FD28" s="727" t="s">
        <v>1764</v>
      </c>
      <c r="FE28" s="727"/>
      <c r="FF28" s="1" t="s">
        <v>1584</v>
      </c>
      <c r="FG28" s="279">
        <v>11010</v>
      </c>
      <c r="FJ28" s="344" t="s">
        <v>1836</v>
      </c>
      <c r="FK28">
        <v>8</v>
      </c>
      <c r="FL28" s="6" t="s">
        <v>1812</v>
      </c>
      <c r="FM28" s="279" t="s">
        <v>1095</v>
      </c>
      <c r="FN28" s="6"/>
      <c r="FP28" s="344" t="s">
        <v>1848</v>
      </c>
      <c r="FQ28">
        <v>17.399999999999999</v>
      </c>
      <c r="FR28" s="1" t="s">
        <v>1584</v>
      </c>
      <c r="FS28" s="279">
        <v>1010</v>
      </c>
      <c r="FT28" t="s">
        <v>1920</v>
      </c>
      <c r="FU28">
        <f>1227.41-FU23</f>
        <v>33.550000000000182</v>
      </c>
      <c r="FV28" s="344" t="s">
        <v>1117</v>
      </c>
      <c r="FW28">
        <v>49.8</v>
      </c>
      <c r="FX28" s="1" t="s">
        <v>1905</v>
      </c>
      <c r="FY28" s="279">
        <v>1010</v>
      </c>
      <c r="GB28" s="344" t="s">
        <v>1964</v>
      </c>
      <c r="GC28">
        <v>8</v>
      </c>
      <c r="GD28" s="1" t="s">
        <v>1905</v>
      </c>
      <c r="GE28" s="279">
        <v>808</v>
      </c>
      <c r="GH28" s="352" t="s">
        <v>2003</v>
      </c>
      <c r="GI28">
        <f>11.48+13.49+12.33+10+12.88+6.22+14.16</f>
        <v>80.56</v>
      </c>
      <c r="GJ28" s="1" t="s">
        <v>1905</v>
      </c>
      <c r="GK28" s="279">
        <v>2002</v>
      </c>
      <c r="GN28" s="352" t="s">
        <v>2003</v>
      </c>
      <c r="GO28">
        <f>8.9+15.69+15.34+15.72</f>
        <v>55.65</v>
      </c>
      <c r="GP28" s="1" t="s">
        <v>1905</v>
      </c>
      <c r="GQ28" s="279" t="s">
        <v>1095</v>
      </c>
      <c r="GT28" s="344" t="s">
        <v>2078</v>
      </c>
      <c r="GU28">
        <v>5.4</v>
      </c>
      <c r="GV28" s="1" t="s">
        <v>1930</v>
      </c>
      <c r="GW28" s="279">
        <v>0</v>
      </c>
      <c r="GZ28" s="344" t="s">
        <v>2144</v>
      </c>
      <c r="HA28">
        <v>20</v>
      </c>
      <c r="HB28" s="6" t="s">
        <v>1828</v>
      </c>
      <c r="HC28" s="279">
        <v>300</v>
      </c>
      <c r="HF28" s="344" t="s">
        <v>2155</v>
      </c>
      <c r="HG28">
        <f>35.9+3.3</f>
        <v>39.199999999999996</v>
      </c>
      <c r="HH28" s="411" t="s">
        <v>2158</v>
      </c>
      <c r="HI28" s="414">
        <v>3179.26</v>
      </c>
      <c r="HJ28" s="355" t="s">
        <v>2184</v>
      </c>
      <c r="HK28" s="409">
        <f>SUM(HM10:HM18)</f>
        <v>1046.8376666666666</v>
      </c>
      <c r="HL28" s="422">
        <v>60</v>
      </c>
      <c r="HM28" s="347" t="s">
        <v>1845</v>
      </c>
      <c r="HN28" s="260" t="s">
        <v>2217</v>
      </c>
      <c r="HO28" s="285">
        <v>214</v>
      </c>
      <c r="HP28" s="358" t="s">
        <v>1976</v>
      </c>
      <c r="HQ28" s="293">
        <f>SUM(HS7:HS7)</f>
        <v>1900.09</v>
      </c>
      <c r="HR28" s="344" t="s">
        <v>2257</v>
      </c>
      <c r="HS28">
        <v>10</v>
      </c>
      <c r="HT28" s="1" t="s">
        <v>2030</v>
      </c>
      <c r="HU28" s="279">
        <v>3000</v>
      </c>
      <c r="HV28" s="344" t="s">
        <v>2182</v>
      </c>
      <c r="HW28">
        <f>SUM(HY25:HY30)</f>
        <v>271.94</v>
      </c>
      <c r="HX28" s="344" t="s">
        <v>2308</v>
      </c>
      <c r="HY28">
        <v>69.569999999999993</v>
      </c>
      <c r="HZ28" s="1" t="s">
        <v>517</v>
      </c>
      <c r="IA28">
        <v>50</v>
      </c>
      <c r="IB28" s="369" t="s">
        <v>1409</v>
      </c>
      <c r="IC28">
        <f>SUM(IE8)</f>
        <v>5.73</v>
      </c>
      <c r="ID28" s="344" t="s">
        <v>2371</v>
      </c>
      <c r="IE28">
        <v>329.76</v>
      </c>
      <c r="IF28" s="260" t="s">
        <v>2392</v>
      </c>
      <c r="IG28" s="285">
        <v>111</v>
      </c>
      <c r="IH28" s="415" t="s">
        <v>2428</v>
      </c>
      <c r="II28" s="555">
        <v>19.45</v>
      </c>
      <c r="IJ28" s="344" t="s">
        <v>2440</v>
      </c>
      <c r="IK28">
        <f>3.8*2+9.9</f>
        <v>17.5</v>
      </c>
      <c r="IL28" s="260" t="s">
        <v>2460</v>
      </c>
      <c r="IN28" s="415"/>
      <c r="IO28" s="555"/>
      <c r="IP28" s="344" t="s">
        <v>2527</v>
      </c>
      <c r="IQ28" s="61">
        <v>61.71</v>
      </c>
      <c r="IR28" s="260" t="s">
        <v>2460</v>
      </c>
      <c r="IT28" s="352" t="s">
        <v>2184</v>
      </c>
      <c r="IU28" s="424">
        <f>SUM(IW14:IW19)</f>
        <v>1471.3133333333333</v>
      </c>
      <c r="IV28" s="399" t="s">
        <v>1428</v>
      </c>
      <c r="IW28" s="421">
        <f>IS19+IU31-IY18</f>
        <v>70</v>
      </c>
      <c r="IX28" s="9" t="s">
        <v>1883</v>
      </c>
      <c r="JB28" s="399" t="s">
        <v>1428</v>
      </c>
      <c r="JC28" s="421">
        <f>IY18+JA29-JE18</f>
        <v>0</v>
      </c>
      <c r="JD28" s="9" t="s">
        <v>1883</v>
      </c>
    </row>
    <row r="29" spans="1:266" x14ac:dyDescent="0.2">
      <c r="A29" s="734" t="s">
        <v>514</v>
      </c>
      <c r="B29" s="734"/>
      <c r="E29" s="198" t="s">
        <v>282</v>
      </c>
      <c r="F29" s="199"/>
      <c r="G29" s="734" t="s">
        <v>514</v>
      </c>
      <c r="H29" s="734"/>
      <c r="K29" s="146" t="s">
        <v>1028</v>
      </c>
      <c r="L29" s="145">
        <v>0</v>
      </c>
      <c r="M29" s="733" t="s">
        <v>93</v>
      </c>
      <c r="N29" s="733"/>
      <c r="Q29" s="250" t="s">
        <v>1066</v>
      </c>
      <c r="R29" s="145">
        <v>0</v>
      </c>
      <c r="S29" s="733" t="s">
        <v>93</v>
      </c>
      <c r="T29" s="733"/>
      <c r="W29" s="146" t="s">
        <v>1027</v>
      </c>
      <c r="X29" s="145">
        <v>64</v>
      </c>
      <c r="Y29" s="734" t="s">
        <v>1004</v>
      </c>
      <c r="Z29" s="734"/>
      <c r="AC29" s="224" t="s">
        <v>1105</v>
      </c>
      <c r="AD29" s="224">
        <f>63+46</f>
        <v>109</v>
      </c>
      <c r="AE29" s="733" t="s">
        <v>93</v>
      </c>
      <c r="AF29" s="733"/>
      <c r="AI29" s="145" t="s">
        <v>1163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1180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1241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1280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1320</v>
      </c>
      <c r="CJ29" s="210">
        <v>64</v>
      </c>
      <c r="CK29" s="1" t="s">
        <v>93</v>
      </c>
      <c r="CL29" s="84"/>
      <c r="CO29" s="294" t="s">
        <v>1333</v>
      </c>
      <c r="CP29" s="223">
        <f>28+34</f>
        <v>62</v>
      </c>
      <c r="CQ29" s="1" t="s">
        <v>93</v>
      </c>
      <c r="CR29" s="84"/>
      <c r="CU29" s="294" t="s">
        <v>1371</v>
      </c>
      <c r="CV29" s="223">
        <v>26.7</v>
      </c>
      <c r="CX29" s="84"/>
      <c r="DA29" s="302" t="s">
        <v>1402</v>
      </c>
      <c r="DB29" s="210">
        <v>178.21</v>
      </c>
      <c r="DC29" s="297"/>
      <c r="DD29" s="298"/>
      <c r="DE29" s="6" t="s">
        <v>1459</v>
      </c>
      <c r="DF29" s="9">
        <f>51*2/3</f>
        <v>34</v>
      </c>
      <c r="DG29" s="300" t="s">
        <v>1446</v>
      </c>
      <c r="DH29" s="286">
        <v>185.01</v>
      </c>
      <c r="DI29" s="63" t="s">
        <v>1467</v>
      </c>
      <c r="DJ29" s="277">
        <v>10000</v>
      </c>
      <c r="DM29" s="272" t="s">
        <v>1351</v>
      </c>
      <c r="DN29" s="286">
        <f>11+53.24</f>
        <v>64.240000000000009</v>
      </c>
      <c r="DO29" s="63" t="s">
        <v>1502</v>
      </c>
      <c r="DP29" s="233" t="s">
        <v>694</v>
      </c>
      <c r="DS29" s="302" t="s">
        <v>1615</v>
      </c>
      <c r="DT29" s="286">
        <v>10</v>
      </c>
      <c r="DU29" s="63" t="s">
        <v>1502</v>
      </c>
      <c r="DV29" s="233" t="s">
        <v>694</v>
      </c>
      <c r="DY29" s="63" t="s">
        <v>1623</v>
      </c>
      <c r="DZ29" s="63"/>
      <c r="EA29" s="254"/>
      <c r="EB29" s="316"/>
      <c r="EE29" s="63" t="s">
        <v>1659</v>
      </c>
      <c r="EF29" s="63"/>
      <c r="EG29" s="351"/>
      <c r="EL29" s="727" t="s">
        <v>1553</v>
      </c>
      <c r="EM29" s="727"/>
      <c r="EN29" s="260"/>
      <c r="EO29" s="281"/>
      <c r="ER29" s="63" t="s">
        <v>1696</v>
      </c>
      <c r="ES29" s="224"/>
      <c r="ET29" s="1" t="s">
        <v>1714</v>
      </c>
      <c r="EU29" s="279">
        <v>10000</v>
      </c>
      <c r="EX29" s="348" t="s">
        <v>1739</v>
      </c>
      <c r="EY29" s="348"/>
      <c r="EZ29" s="1" t="s">
        <v>1584</v>
      </c>
      <c r="FA29" s="279">
        <v>2010</v>
      </c>
      <c r="FD29" s="360">
        <v>300</v>
      </c>
      <c r="FE29" s="361">
        <f>FA10+FD29-FG10</f>
        <v>280</v>
      </c>
      <c r="FF29" s="1" t="s">
        <v>1584</v>
      </c>
      <c r="FG29" s="279">
        <v>6010</v>
      </c>
      <c r="FJ29" s="344" t="s">
        <v>1837</v>
      </c>
      <c r="FK29">
        <v>8</v>
      </c>
      <c r="FL29" s="1" t="s">
        <v>1721</v>
      </c>
      <c r="FM29" s="279">
        <v>0</v>
      </c>
      <c r="FP29" s="344" t="s">
        <v>1871</v>
      </c>
      <c r="FQ29">
        <v>86.2</v>
      </c>
      <c r="FR29" s="1" t="s">
        <v>1584</v>
      </c>
      <c r="FS29" s="279">
        <v>6010</v>
      </c>
      <c r="FT29" t="s">
        <v>1906</v>
      </c>
      <c r="FU29">
        <f>5984.25-6010</f>
        <v>-25.75</v>
      </c>
      <c r="FV29" s="344" t="s">
        <v>1943</v>
      </c>
      <c r="FW29">
        <v>41.2</v>
      </c>
      <c r="FX29" s="1" t="s">
        <v>1905</v>
      </c>
      <c r="FY29" s="279">
        <v>5005</v>
      </c>
      <c r="GB29" s="344" t="s">
        <v>1980</v>
      </c>
      <c r="GC29">
        <v>127.1</v>
      </c>
      <c r="GD29" s="1" t="s">
        <v>1905</v>
      </c>
      <c r="GE29" s="279">
        <v>4004</v>
      </c>
      <c r="GF29" s="6"/>
      <c r="GH29" s="344" t="s">
        <v>1987</v>
      </c>
      <c r="GI29">
        <v>70</v>
      </c>
      <c r="GJ29" s="1" t="s">
        <v>1905</v>
      </c>
      <c r="GK29" s="279">
        <v>808</v>
      </c>
      <c r="GN29" s="344" t="s">
        <v>2058</v>
      </c>
      <c r="GO29">
        <v>20</v>
      </c>
      <c r="GP29" s="1" t="s">
        <v>1905</v>
      </c>
      <c r="GQ29" s="279" t="s">
        <v>1095</v>
      </c>
      <c r="GT29" s="344" t="s">
        <v>2093</v>
      </c>
      <c r="GU29">
        <v>10</v>
      </c>
      <c r="GV29" s="261" t="s">
        <v>1649</v>
      </c>
      <c r="GW29" s="285"/>
      <c r="GZ29" s="344" t="s">
        <v>2113</v>
      </c>
      <c r="HA29">
        <v>505.66</v>
      </c>
      <c r="HB29" s="1" t="s">
        <v>1930</v>
      </c>
      <c r="HC29" s="279">
        <v>0</v>
      </c>
      <c r="HD29" s="1"/>
      <c r="HF29" s="344" t="s">
        <v>2179</v>
      </c>
      <c r="HG29">
        <f>74.8-6.1</f>
        <v>68.7</v>
      </c>
      <c r="HH29" t="s">
        <v>2164</v>
      </c>
      <c r="HI29" s="207">
        <v>-114.61</v>
      </c>
      <c r="HJ29" s="356" t="s">
        <v>2182</v>
      </c>
      <c r="HK29">
        <f>SUM(HM19:HM23)</f>
        <v>275.58</v>
      </c>
      <c r="HL29" s="422">
        <v>20</v>
      </c>
      <c r="HM29" s="347" t="s">
        <v>2140</v>
      </c>
      <c r="HN29" s="411"/>
      <c r="HO29" s="285"/>
      <c r="HP29" s="252" t="s">
        <v>1977</v>
      </c>
      <c r="HQ29" s="293">
        <f>SUM(HS10:HS12)</f>
        <v>2361.4333333333334</v>
      </c>
      <c r="HR29" s="344" t="s">
        <v>2270</v>
      </c>
      <c r="HS29">
        <v>14</v>
      </c>
      <c r="HT29" s="1" t="s">
        <v>2189</v>
      </c>
      <c r="HU29" s="279">
        <v>4000</v>
      </c>
      <c r="HV29" s="219" t="s">
        <v>2663</v>
      </c>
      <c r="HW29">
        <f>SUM(HY45:HY52)</f>
        <v>1548.6</v>
      </c>
      <c r="HX29" s="344" t="s">
        <v>2333</v>
      </c>
      <c r="HY29">
        <f>22.3+42.9</f>
        <v>65.2</v>
      </c>
      <c r="HZ29" s="261" t="s">
        <v>2254</v>
      </c>
      <c r="IB29" s="353" t="s">
        <v>2183</v>
      </c>
      <c r="IC29">
        <f>SUM(IE9:IE9)</f>
        <v>32.1</v>
      </c>
      <c r="ID29" s="344" t="s">
        <v>2370</v>
      </c>
      <c r="IE29">
        <v>80</v>
      </c>
      <c r="IF29" s="260" t="s">
        <v>2280</v>
      </c>
      <c r="IG29" s="285"/>
      <c r="IH29" s="414" t="s">
        <v>2429</v>
      </c>
      <c r="II29" s="555">
        <f>19.45*3</f>
        <v>58.349999999999994</v>
      </c>
      <c r="IJ29" s="344" t="s">
        <v>2473</v>
      </c>
      <c r="IK29">
        <f>7.15+14.85</f>
        <v>22</v>
      </c>
      <c r="IL29" s="413" t="s">
        <v>2281</v>
      </c>
      <c r="IM29" s="486">
        <v>21.35</v>
      </c>
      <c r="IN29" s="414"/>
      <c r="IO29" s="555"/>
      <c r="IP29" s="344" t="s">
        <v>2532</v>
      </c>
      <c r="IQ29" s="61">
        <v>23.1</v>
      </c>
      <c r="IR29" s="576" t="s">
        <v>2497</v>
      </c>
      <c r="IS29" s="575" t="s">
        <v>2498</v>
      </c>
      <c r="IT29" s="344" t="s">
        <v>2182</v>
      </c>
      <c r="IU29" s="626">
        <f>SUM(IW20:IW24)</f>
        <v>268.39</v>
      </c>
      <c r="IV29" s="422">
        <v>5</v>
      </c>
      <c r="IW29" s="589" t="s">
        <v>2600</v>
      </c>
      <c r="IX29" s="626" t="s">
        <v>93</v>
      </c>
      <c r="IZ29" s="685"/>
      <c r="JA29" s="360"/>
      <c r="JB29" s="422">
        <v>20</v>
      </c>
      <c r="JC29" s="589" t="s">
        <v>2713</v>
      </c>
      <c r="JD29" s="684" t="s">
        <v>93</v>
      </c>
    </row>
    <row r="30" spans="1:266" x14ac:dyDescent="0.2">
      <c r="A30" s="734" t="s">
        <v>1004</v>
      </c>
      <c r="B30" s="734"/>
      <c r="E30" s="198" t="s">
        <v>378</v>
      </c>
      <c r="F30" s="199"/>
      <c r="G30" s="734" t="s">
        <v>1004</v>
      </c>
      <c r="H30" s="734"/>
      <c r="K30" s="146" t="s">
        <v>1027</v>
      </c>
      <c r="L30" s="145">
        <v>64</v>
      </c>
      <c r="M30" s="724" t="s">
        <v>391</v>
      </c>
      <c r="N30" s="724"/>
      <c r="Q30"/>
      <c r="S30" s="724" t="s">
        <v>391</v>
      </c>
      <c r="T30" s="724"/>
      <c r="W30" s="146" t="s">
        <v>1026</v>
      </c>
      <c r="X30" s="145">
        <v>100.01</v>
      </c>
      <c r="Y30" s="733" t="s">
        <v>93</v>
      </c>
      <c r="Z30" s="733"/>
      <c r="AC30" s="145" t="s">
        <v>1103</v>
      </c>
      <c r="AD30" s="145">
        <v>65</v>
      </c>
      <c r="AE30" s="724" t="s">
        <v>391</v>
      </c>
      <c r="AF30" s="724"/>
      <c r="AK30" t="s">
        <v>391</v>
      </c>
      <c r="AL30" t="s">
        <v>391</v>
      </c>
      <c r="AO30" s="146" t="s">
        <v>1159</v>
      </c>
      <c r="AP30" s="210">
        <f>11*2</f>
        <v>22</v>
      </c>
      <c r="AQ30" t="s">
        <v>391</v>
      </c>
      <c r="AR30"/>
      <c r="AU30" s="146" t="s">
        <v>1159</v>
      </c>
      <c r="AV30" s="210">
        <v>11</v>
      </c>
      <c r="AW30" t="s">
        <v>1165</v>
      </c>
      <c r="AX30"/>
      <c r="AY30" s="146"/>
      <c r="AZ30" s="210"/>
      <c r="BA30" t="s">
        <v>1165</v>
      </c>
      <c r="BB30"/>
      <c r="BE30" s="146" t="s">
        <v>1026</v>
      </c>
      <c r="BF30" s="210">
        <v>50</v>
      </c>
      <c r="BG30" t="s">
        <v>1165</v>
      </c>
      <c r="BH30"/>
      <c r="BK30" s="273" t="s">
        <v>1026</v>
      </c>
      <c r="BL30" s="210">
        <v>10</v>
      </c>
      <c r="BM30" t="s">
        <v>1165</v>
      </c>
      <c r="BN30"/>
      <c r="BQ30" s="273" t="s">
        <v>1026</v>
      </c>
      <c r="BR30" s="210">
        <v>20</v>
      </c>
      <c r="BS30" t="s">
        <v>1165</v>
      </c>
      <c r="BW30" s="273" t="s">
        <v>1026</v>
      </c>
      <c r="BX30" s="210">
        <v>50</v>
      </c>
      <c r="BY30" t="s">
        <v>1165</v>
      </c>
      <c r="CC30" s="273" t="s">
        <v>1026</v>
      </c>
      <c r="CD30" s="210">
        <v>70.001000000000005</v>
      </c>
      <c r="CE30" t="s">
        <v>1165</v>
      </c>
      <c r="CI30" s="273" t="s">
        <v>1026</v>
      </c>
      <c r="CJ30" s="210">
        <v>100.001</v>
      </c>
      <c r="CK30" t="s">
        <v>1165</v>
      </c>
      <c r="CO30" s="294" t="s">
        <v>1340</v>
      </c>
      <c r="CP30" s="223">
        <v>35</v>
      </c>
      <c r="CQ30" t="s">
        <v>1165</v>
      </c>
      <c r="CU30" s="294" t="s">
        <v>1379</v>
      </c>
      <c r="CV30" s="223">
        <f>6*4+5*2+5</f>
        <v>39</v>
      </c>
      <c r="CW30" s="60" t="s">
        <v>514</v>
      </c>
      <c r="DA30" s="302" t="s">
        <v>1414</v>
      </c>
      <c r="DB30" s="210">
        <v>300</v>
      </c>
      <c r="DD30" s="84"/>
      <c r="DG30" s="272" t="s">
        <v>1354</v>
      </c>
      <c r="DH30" s="286">
        <v>85.71</v>
      </c>
      <c r="DI30" s="63" t="s">
        <v>1468</v>
      </c>
      <c r="DJ30" s="277" t="s">
        <v>1095</v>
      </c>
      <c r="DM30" s="272" t="s">
        <v>1320</v>
      </c>
      <c r="DN30" s="286">
        <v>64</v>
      </c>
      <c r="DO30" s="254"/>
      <c r="DP30" s="316"/>
      <c r="DS30" s="302" t="s">
        <v>1603</v>
      </c>
      <c r="DT30" s="286">
        <v>10</v>
      </c>
      <c r="DU30" s="254"/>
      <c r="DV30" s="316"/>
      <c r="DY30" s="63" t="s">
        <v>1616</v>
      </c>
      <c r="DZ30" s="63"/>
      <c r="EA30" t="s">
        <v>1285</v>
      </c>
      <c r="EB30" s="2">
        <v>-20000</v>
      </c>
      <c r="EE30" t="s">
        <v>1645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1728</v>
      </c>
      <c r="ES30" s="224"/>
      <c r="ET30" s="1" t="s">
        <v>1713</v>
      </c>
      <c r="EU30" s="279">
        <v>0</v>
      </c>
      <c r="EX30" s="347" t="s">
        <v>1734</v>
      </c>
      <c r="EY30" s="348"/>
      <c r="EZ30" s="1" t="s">
        <v>1584</v>
      </c>
      <c r="FA30" s="279">
        <v>5010</v>
      </c>
      <c r="FD30" s="348" t="s">
        <v>1801</v>
      </c>
      <c r="FE30" s="348"/>
      <c r="FF30" s="1" t="s">
        <v>1584</v>
      </c>
      <c r="FG30" s="279">
        <v>10010</v>
      </c>
      <c r="FJ30" s="727" t="s">
        <v>1764</v>
      </c>
      <c r="FK30" s="727"/>
      <c r="FL30" s="1" t="s">
        <v>1720</v>
      </c>
      <c r="FM30" s="279">
        <v>10000</v>
      </c>
      <c r="FP30" s="344" t="s">
        <v>1850</v>
      </c>
      <c r="FQ30">
        <v>35.799999999999997</v>
      </c>
      <c r="FR30" s="1" t="s">
        <v>1584</v>
      </c>
      <c r="FS30" s="279">
        <v>10010</v>
      </c>
      <c r="FT30" t="s">
        <v>1931</v>
      </c>
      <c r="FU30">
        <f>4980.91-5005</f>
        <v>-24.090000000000146</v>
      </c>
      <c r="FV30" s="344" t="s">
        <v>1959</v>
      </c>
      <c r="FW30">
        <v>6.3</v>
      </c>
      <c r="FX30" s="1" t="s">
        <v>1930</v>
      </c>
      <c r="FY30" s="279" t="s">
        <v>694</v>
      </c>
      <c r="GB30" s="344" t="s">
        <v>1979</v>
      </c>
      <c r="GC30">
        <v>18.8</v>
      </c>
      <c r="GD30" s="1" t="s">
        <v>1930</v>
      </c>
      <c r="GE30" s="279" t="s">
        <v>694</v>
      </c>
      <c r="GF30" s="1"/>
      <c r="GG30" s="3"/>
      <c r="GH30" s="344" t="s">
        <v>2023</v>
      </c>
      <c r="GI30">
        <v>16</v>
      </c>
      <c r="GJ30" s="6" t="s">
        <v>1828</v>
      </c>
      <c r="GK30" s="279">
        <v>300</v>
      </c>
      <c r="GN30" s="344" t="s">
        <v>2044</v>
      </c>
      <c r="GO30">
        <v>10</v>
      </c>
      <c r="GP30" s="6" t="s">
        <v>1828</v>
      </c>
      <c r="GQ30" s="279">
        <v>300</v>
      </c>
      <c r="GR30" s="6"/>
      <c r="GT30" s="344" t="s">
        <v>2077</v>
      </c>
      <c r="GU30">
        <v>10</v>
      </c>
      <c r="GV30" s="260" t="s">
        <v>2083</v>
      </c>
      <c r="GW30" s="285">
        <v>1159.4000000000001</v>
      </c>
      <c r="GZ30" s="344" t="s">
        <v>2118</v>
      </c>
      <c r="HA30">
        <f>80+105</f>
        <v>185</v>
      </c>
      <c r="HB30" s="261" t="s">
        <v>1649</v>
      </c>
      <c r="HC30" s="285"/>
      <c r="HF30" s="399" t="s">
        <v>1764</v>
      </c>
      <c r="HG30" s="63"/>
      <c r="HH30" s="411" t="s">
        <v>2156</v>
      </c>
      <c r="HI30" s="414">
        <v>258.44</v>
      </c>
      <c r="HL30" s="422">
        <v>60</v>
      </c>
      <c r="HM30" s="347" t="s">
        <v>2165</v>
      </c>
      <c r="HP30" s="369" t="s">
        <v>1409</v>
      </c>
      <c r="HQ30">
        <v>0</v>
      </c>
      <c r="HR30" s="344" t="s">
        <v>2118</v>
      </c>
      <c r="HS30">
        <v>80</v>
      </c>
      <c r="HT30" s="1" t="s">
        <v>2032</v>
      </c>
      <c r="HU30" s="279">
        <v>25000</v>
      </c>
      <c r="HX30" s="344" t="s">
        <v>2331</v>
      </c>
      <c r="HY30">
        <v>11</v>
      </c>
      <c r="HZ30" s="572" t="s">
        <v>2493</v>
      </c>
      <c r="IA30" s="571">
        <v>4</v>
      </c>
      <c r="IB30" s="352" t="s">
        <v>2184</v>
      </c>
      <c r="IC30" s="424">
        <f>SUM(IE18:IE26)</f>
        <v>1421.2533333333333</v>
      </c>
      <c r="ID30" s="344" t="s">
        <v>2399</v>
      </c>
      <c r="IE30">
        <v>62</v>
      </c>
      <c r="IF30" s="413" t="s">
        <v>2281</v>
      </c>
      <c r="IG30" s="486">
        <v>21.35</v>
      </c>
      <c r="IH30" s="414" t="s">
        <v>2430</v>
      </c>
      <c r="II30" s="555">
        <f>19.45*25</f>
        <v>486.25</v>
      </c>
      <c r="IJ30" s="344" t="s">
        <v>2472</v>
      </c>
      <c r="IK30">
        <v>34</v>
      </c>
      <c r="IL30" s="574" t="s">
        <v>2495</v>
      </c>
      <c r="IM30">
        <v>1.49</v>
      </c>
      <c r="IN30" s="414"/>
      <c r="IO30" s="555"/>
      <c r="IP30" s="344" t="s">
        <v>2601</v>
      </c>
      <c r="IQ30" s="61" t="s">
        <v>2602</v>
      </c>
      <c r="IR30" s="588"/>
      <c r="IS30" s="573"/>
      <c r="IV30" s="422">
        <v>50</v>
      </c>
      <c r="IW30" s="589" t="s">
        <v>1845</v>
      </c>
      <c r="IX30" s="626" t="s">
        <v>2418</v>
      </c>
      <c r="JB30" s="422"/>
      <c r="JC30" s="589"/>
      <c r="JD30" s="684" t="s">
        <v>2418</v>
      </c>
    </row>
    <row r="31" spans="1:266" ht="12.75" customHeight="1" x14ac:dyDescent="0.2">
      <c r="A31" s="733" t="s">
        <v>93</v>
      </c>
      <c r="B31" s="733"/>
      <c r="E31" s="198" t="s">
        <v>1019</v>
      </c>
      <c r="F31" s="173"/>
      <c r="G31" s="733" t="s">
        <v>93</v>
      </c>
      <c r="H31" s="733"/>
      <c r="K31" s="146" t="s">
        <v>1026</v>
      </c>
      <c r="L31" s="145">
        <v>50.01</v>
      </c>
      <c r="M31" s="732" t="s">
        <v>1013</v>
      </c>
      <c r="N31" s="732"/>
      <c r="Q31" s="146" t="s">
        <v>1068</v>
      </c>
      <c r="R31" s="145">
        <v>26</v>
      </c>
      <c r="S31" s="732" t="s">
        <v>1013</v>
      </c>
      <c r="T31" s="732"/>
      <c r="W31"/>
      <c r="Y31" s="724" t="s">
        <v>391</v>
      </c>
      <c r="Z31" s="724"/>
      <c r="AC31" s="145" t="s">
        <v>1106</v>
      </c>
      <c r="AD31" s="145">
        <v>10</v>
      </c>
      <c r="AE31" s="732" t="s">
        <v>1013</v>
      </c>
      <c r="AF31" s="732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1214</v>
      </c>
      <c r="BF31" s="145">
        <v>56.62</v>
      </c>
      <c r="BG31" s="261" t="s">
        <v>1013</v>
      </c>
      <c r="BH31" s="261"/>
      <c r="BK31" s="274" t="s">
        <v>1238</v>
      </c>
      <c r="BL31" s="223">
        <v>5</v>
      </c>
      <c r="BM31" s="261" t="s">
        <v>1013</v>
      </c>
      <c r="BN31" s="261"/>
      <c r="BQ31" s="274" t="s">
        <v>1254</v>
      </c>
      <c r="BR31" s="223">
        <v>20</v>
      </c>
      <c r="BS31" s="261" t="s">
        <v>1013</v>
      </c>
      <c r="BT31" s="284"/>
      <c r="BW31" s="274" t="s">
        <v>1254</v>
      </c>
      <c r="BX31" s="223">
        <v>15</v>
      </c>
      <c r="BY31" s="261" t="s">
        <v>1013</v>
      </c>
      <c r="BZ31" s="289"/>
      <c r="CC31" s="274" t="s">
        <v>1254</v>
      </c>
      <c r="CD31" s="223">
        <v>5</v>
      </c>
      <c r="CE31" s="261" t="s">
        <v>1013</v>
      </c>
      <c r="CF31" s="289"/>
      <c r="CI31" s="294" t="s">
        <v>1254</v>
      </c>
      <c r="CJ31" s="223">
        <f>10+5</f>
        <v>15</v>
      </c>
      <c r="CK31" s="261" t="s">
        <v>1013</v>
      </c>
      <c r="CL31" s="289"/>
      <c r="CO31" s="294" t="s">
        <v>1350</v>
      </c>
      <c r="CP31" s="223">
        <v>39</v>
      </c>
      <c r="CQ31" s="261" t="s">
        <v>1013</v>
      </c>
      <c r="CR31" s="289"/>
      <c r="CU31" s="294" t="s">
        <v>1388</v>
      </c>
      <c r="CV31" s="223">
        <v>46.9</v>
      </c>
      <c r="CW31" s="60" t="s">
        <v>1004</v>
      </c>
      <c r="CX31" s="289"/>
      <c r="DA31" s="302" t="s">
        <v>1423</v>
      </c>
      <c r="DB31" s="210">
        <v>28</v>
      </c>
      <c r="DC31" s="60" t="s">
        <v>514</v>
      </c>
      <c r="DG31" s="272" t="s">
        <v>1452</v>
      </c>
      <c r="DH31" s="286">
        <f>51.05+57.34</f>
        <v>108.39</v>
      </c>
      <c r="DI31" s="63" t="s">
        <v>1486</v>
      </c>
      <c r="DJ31" s="277">
        <v>5000</v>
      </c>
      <c r="DK31" s="6"/>
      <c r="DM31" s="272" t="s">
        <v>1529</v>
      </c>
      <c r="DN31" s="286">
        <f>12.19+9.83+1.31+11.91+13.1+17+10+12.95</f>
        <v>88.29</v>
      </c>
      <c r="DO31" s="260" t="s">
        <v>1285</v>
      </c>
      <c r="DP31" s="279">
        <v>-20000</v>
      </c>
      <c r="DQ31" s="6"/>
      <c r="DS31" s="302" t="s">
        <v>1602</v>
      </c>
      <c r="DT31" s="286">
        <v>10</v>
      </c>
      <c r="DU31" s="260" t="s">
        <v>1285</v>
      </c>
      <c r="DV31" s="279">
        <v>-20000</v>
      </c>
      <c r="DY31" s="63" t="s">
        <v>1620</v>
      </c>
      <c r="DZ31" s="63"/>
      <c r="EA31" s="345" t="s">
        <v>1609</v>
      </c>
      <c r="EB31" s="109"/>
      <c r="EE31" t="s">
        <v>1646</v>
      </c>
      <c r="EF31">
        <v>201</v>
      </c>
      <c r="EG31" s="1"/>
      <c r="EH31" t="s">
        <v>1639</v>
      </c>
      <c r="EL31" s="348" t="s">
        <v>1675</v>
      </c>
      <c r="EM31" s="348"/>
      <c r="EN31" t="s">
        <v>514</v>
      </c>
      <c r="ER31" s="63" t="s">
        <v>1704</v>
      </c>
      <c r="ES31" s="224"/>
      <c r="ET31" s="261" t="s">
        <v>1649</v>
      </c>
      <c r="EU31" s="261"/>
      <c r="EX31" s="347" t="s">
        <v>1762</v>
      </c>
      <c r="EY31" s="348"/>
      <c r="EZ31" s="1" t="s">
        <v>1514</v>
      </c>
      <c r="FA31" s="279">
        <v>10000</v>
      </c>
      <c r="FD31" s="347" t="s">
        <v>1771</v>
      </c>
      <c r="FE31" s="348"/>
      <c r="FF31" s="1" t="s">
        <v>1514</v>
      </c>
      <c r="FG31" s="279">
        <v>15000</v>
      </c>
      <c r="FJ31" s="360">
        <v>200</v>
      </c>
      <c r="FK31" s="361">
        <f>FG10+FJ31-FM11</f>
        <v>340</v>
      </c>
      <c r="FL31" s="1" t="s">
        <v>1720</v>
      </c>
      <c r="FM31" s="279">
        <v>0</v>
      </c>
      <c r="FP31" s="344" t="s">
        <v>1860</v>
      </c>
      <c r="FQ31">
        <v>44.8</v>
      </c>
      <c r="FR31" s="1" t="s">
        <v>1714</v>
      </c>
      <c r="FS31" s="279">
        <v>0</v>
      </c>
      <c r="FT31" s="6" t="s">
        <v>1720</v>
      </c>
      <c r="FU31">
        <f>9952.43-10000</f>
        <v>-47.569999999999709</v>
      </c>
      <c r="FV31" s="399" t="s">
        <v>1764</v>
      </c>
      <c r="FW31" s="399"/>
      <c r="FX31" s="261" t="s">
        <v>1649</v>
      </c>
      <c r="FY31" s="285"/>
      <c r="GB31" s="344" t="s">
        <v>1983</v>
      </c>
      <c r="GC31">
        <v>20</v>
      </c>
      <c r="GD31" s="261" t="s">
        <v>1649</v>
      </c>
      <c r="GE31" s="285"/>
      <c r="GH31" s="344" t="s">
        <v>1550</v>
      </c>
      <c r="GI31">
        <v>66.62</v>
      </c>
      <c r="GJ31" s="1" t="s">
        <v>1930</v>
      </c>
      <c r="GK31" s="279">
        <v>0</v>
      </c>
      <c r="GN31" s="344" t="s">
        <v>2059</v>
      </c>
      <c r="GO31">
        <v>14.06</v>
      </c>
      <c r="GP31" s="261" t="s">
        <v>1649</v>
      </c>
      <c r="GQ31" s="285"/>
      <c r="GR31" s="1"/>
      <c r="GS31" s="3"/>
      <c r="GT31" s="344" t="s">
        <v>2079</v>
      </c>
      <c r="GU31">
        <v>47.67</v>
      </c>
      <c r="GV31" s="260"/>
      <c r="GZ31" s="344" t="s">
        <v>1796</v>
      </c>
      <c r="HA31">
        <v>8</v>
      </c>
      <c r="HB31" s="260" t="s">
        <v>2153</v>
      </c>
      <c r="HC31" s="290">
        <v>1159.4000000000001</v>
      </c>
      <c r="HF31" s="360">
        <v>200</v>
      </c>
      <c r="HG31" s="399"/>
      <c r="HH31" s="411" t="s">
        <v>2156</v>
      </c>
      <c r="HI31" s="414">
        <v>23.05</v>
      </c>
      <c r="HJ31" s="347" t="s">
        <v>2212</v>
      </c>
      <c r="HK31" s="360">
        <v>300</v>
      </c>
      <c r="HL31" s="422">
        <v>45</v>
      </c>
      <c r="HM31" s="347" t="s">
        <v>1619</v>
      </c>
      <c r="HP31" s="353" t="s">
        <v>2183</v>
      </c>
      <c r="HQ31">
        <f>SUM(HS8:HS9)</f>
        <v>1867.15</v>
      </c>
      <c r="HR31" t="s">
        <v>2215</v>
      </c>
      <c r="HS31" s="6">
        <v>37</v>
      </c>
      <c r="HT31" s="1" t="s">
        <v>1655</v>
      </c>
      <c r="HU31" s="279">
        <v>2000</v>
      </c>
      <c r="HX31" t="s">
        <v>2215</v>
      </c>
      <c r="HY31" s="6">
        <v>20</v>
      </c>
      <c r="HZ31" s="7" t="s">
        <v>2017</v>
      </c>
      <c r="IA31">
        <v>1000</v>
      </c>
      <c r="IB31" s="344" t="s">
        <v>2182</v>
      </c>
      <c r="IC31">
        <f>SUM(IE27:IE35)</f>
        <v>712.47</v>
      </c>
      <c r="ID31" s="344" t="s">
        <v>2406</v>
      </c>
      <c r="IE31">
        <v>10</v>
      </c>
      <c r="IF31" s="260" t="s">
        <v>2311</v>
      </c>
      <c r="IG31" s="486">
        <v>125.91</v>
      </c>
      <c r="IH31" s="414"/>
      <c r="II31" s="555"/>
      <c r="IJ31" s="344" t="s">
        <v>2481</v>
      </c>
      <c r="IK31">
        <f>22+32.4</f>
        <v>54.4</v>
      </c>
      <c r="IL31" s="260"/>
      <c r="IM31" s="285"/>
      <c r="IN31" s="415"/>
      <c r="IP31" s="344" t="s">
        <v>2560</v>
      </c>
      <c r="IQ31" s="61">
        <v>42.17</v>
      </c>
      <c r="IR31" s="590"/>
      <c r="IT31" s="627" t="s">
        <v>2603</v>
      </c>
      <c r="IU31" s="360">
        <v>90</v>
      </c>
      <c r="IV31" s="422">
        <v>10</v>
      </c>
      <c r="IW31" s="589" t="s">
        <v>2695</v>
      </c>
      <c r="IX31" s="626" t="s">
        <v>1691</v>
      </c>
      <c r="JB31" s="422"/>
      <c r="JC31" s="589"/>
      <c r="JD31" s="684" t="s">
        <v>1691</v>
      </c>
    </row>
    <row r="32" spans="1:266" x14ac:dyDescent="0.2">
      <c r="A32" s="724" t="s">
        <v>391</v>
      </c>
      <c r="B32" s="724"/>
      <c r="E32" s="173"/>
      <c r="F32" s="173"/>
      <c r="G32" s="724" t="s">
        <v>391</v>
      </c>
      <c r="H32" s="724"/>
      <c r="K32"/>
      <c r="M32" s="729" t="s">
        <v>243</v>
      </c>
      <c r="N32" s="729"/>
      <c r="Q32" s="146" t="s">
        <v>1067</v>
      </c>
      <c r="R32" s="145">
        <v>55</v>
      </c>
      <c r="S32" s="729" t="s">
        <v>243</v>
      </c>
      <c r="T32" s="729"/>
      <c r="W32" s="249" t="s">
        <v>1088</v>
      </c>
      <c r="X32" s="249">
        <v>0</v>
      </c>
      <c r="Y32" s="732" t="s">
        <v>1013</v>
      </c>
      <c r="Z32" s="732"/>
      <c r="AE32" s="729" t="s">
        <v>243</v>
      </c>
      <c r="AF32" s="729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1218</v>
      </c>
      <c r="BF32" s="145">
        <v>53</v>
      </c>
      <c r="BG32" s="6" t="s">
        <v>243</v>
      </c>
      <c r="BH32" s="6"/>
      <c r="BK32" s="274" t="s">
        <v>1240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1273</v>
      </c>
      <c r="BX32" s="223">
        <v>29.8</v>
      </c>
      <c r="BY32" s="6" t="s">
        <v>243</v>
      </c>
      <c r="BZ32" s="78"/>
      <c r="CC32" s="274" t="s">
        <v>1292</v>
      </c>
      <c r="CD32" s="223">
        <v>37</v>
      </c>
      <c r="CE32" s="6" t="s">
        <v>243</v>
      </c>
      <c r="CF32" s="78"/>
      <c r="CI32" s="294" t="s">
        <v>1317</v>
      </c>
      <c r="CJ32" s="223">
        <v>9</v>
      </c>
      <c r="CK32" s="6" t="s">
        <v>243</v>
      </c>
      <c r="CL32" s="78"/>
      <c r="CO32" s="223" t="s">
        <v>1342</v>
      </c>
      <c r="CQ32" s="6" t="s">
        <v>243</v>
      </c>
      <c r="CR32" s="78"/>
      <c r="CU32" s="294" t="s">
        <v>1392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1440</v>
      </c>
      <c r="DG32" s="272" t="s">
        <v>1212</v>
      </c>
      <c r="DH32" s="286">
        <v>13</v>
      </c>
      <c r="DI32" s="63" t="s">
        <v>1474</v>
      </c>
      <c r="DJ32" s="277">
        <v>5000</v>
      </c>
      <c r="DK32" s="6"/>
      <c r="DM32" s="302" t="s">
        <v>1505</v>
      </c>
      <c r="DN32" s="286">
        <v>5</v>
      </c>
      <c r="DO32" s="737" t="s">
        <v>1455</v>
      </c>
      <c r="DP32" s="737"/>
      <c r="DQ32" s="6"/>
      <c r="DS32" s="302" t="s">
        <v>1593</v>
      </c>
      <c r="DT32" s="286">
        <f>95+70</f>
        <v>165</v>
      </c>
      <c r="DU32" s="336" t="s">
        <v>1609</v>
      </c>
      <c r="DV32" s="337"/>
      <c r="DY32" s="63" t="s">
        <v>1632</v>
      </c>
      <c r="DZ32" s="63"/>
      <c r="EA32" s="63" t="s">
        <v>1631</v>
      </c>
      <c r="EB32" s="63">
        <v>991</v>
      </c>
      <c r="EE32" t="s">
        <v>1644</v>
      </c>
      <c r="EF32">
        <v>30</v>
      </c>
      <c r="EG32" s="1"/>
      <c r="EH32" t="s">
        <v>1558</v>
      </c>
      <c r="EL32" s="63" t="s">
        <v>1684</v>
      </c>
      <c r="EM32" s="63"/>
      <c r="EN32" t="s">
        <v>1691</v>
      </c>
      <c r="ER32" s="63" t="s">
        <v>1707</v>
      </c>
      <c r="ES32" s="224"/>
      <c r="ET32" s="260" t="s">
        <v>1680</v>
      </c>
      <c r="EU32" s="315">
        <v>326.35000000000002</v>
      </c>
      <c r="EX32" s="347" t="s">
        <v>1737</v>
      </c>
      <c r="EY32" s="348"/>
      <c r="EZ32" s="1" t="s">
        <v>1714</v>
      </c>
      <c r="FA32" s="279">
        <f>7000+1000</f>
        <v>8000</v>
      </c>
      <c r="FD32" s="347" t="s">
        <v>1793</v>
      </c>
      <c r="FE32" s="348"/>
      <c r="FF32" s="1" t="s">
        <v>1714</v>
      </c>
      <c r="FG32" s="279">
        <v>0</v>
      </c>
      <c r="FJ32" s="348" t="s">
        <v>1817</v>
      </c>
      <c r="FK32" s="348"/>
      <c r="FL32" s="1" t="s">
        <v>1584</v>
      </c>
      <c r="FM32" s="279">
        <v>1010</v>
      </c>
      <c r="FP32" s="344" t="s">
        <v>1854</v>
      </c>
      <c r="FQ32">
        <v>8</v>
      </c>
      <c r="FR32" s="1" t="s">
        <v>1713</v>
      </c>
      <c r="FS32" s="279">
        <v>0</v>
      </c>
      <c r="FT32" s="1" t="s">
        <v>1586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1505</v>
      </c>
      <c r="GC32">
        <v>10</v>
      </c>
      <c r="GD32" s="260"/>
      <c r="GE32" s="285"/>
      <c r="GH32" s="399" t="s">
        <v>1764</v>
      </c>
      <c r="GI32" s="399"/>
      <c r="GJ32" s="261" t="s">
        <v>1649</v>
      </c>
      <c r="GK32" s="285"/>
      <c r="GN32" s="344" t="s">
        <v>2055</v>
      </c>
      <c r="GO32">
        <v>10</v>
      </c>
      <c r="GP32" s="367" t="s">
        <v>1996</v>
      </c>
      <c r="GQ32" s="6">
        <v>35.1</v>
      </c>
      <c r="GT32" s="344" t="s">
        <v>1943</v>
      </c>
      <c r="GU32">
        <f>37.5+18.7</f>
        <v>56.2</v>
      </c>
      <c r="GV32" s="260"/>
      <c r="GW32" s="285"/>
      <c r="GZ32" s="344" t="s">
        <v>2145</v>
      </c>
      <c r="HA32">
        <v>41.4</v>
      </c>
      <c r="HB32" s="260" t="s">
        <v>2127</v>
      </c>
      <c r="HC32" s="290">
        <v>13.5</v>
      </c>
      <c r="HF32" s="348" t="s">
        <v>2151</v>
      </c>
      <c r="HG32" s="361">
        <f>HC17+HF31-HI16</f>
        <v>200</v>
      </c>
      <c r="HH32" s="413" t="s">
        <v>2169</v>
      </c>
      <c r="HI32" s="415">
        <v>1580.64</v>
      </c>
      <c r="HK32" s="212"/>
      <c r="HL32" s="422">
        <v>5</v>
      </c>
      <c r="HM32" s="347" t="s">
        <v>2216</v>
      </c>
      <c r="HP32" s="352" t="s">
        <v>2184</v>
      </c>
      <c r="HQ32" s="424">
        <f>SUM(HS13:HS24)</f>
        <v>1323.1366666666668</v>
      </c>
      <c r="HR32" s="9" t="s">
        <v>2214</v>
      </c>
      <c r="HS32" s="9">
        <v>429</v>
      </c>
      <c r="HT32" s="1" t="s">
        <v>1656</v>
      </c>
      <c r="HU32" s="279">
        <v>4000</v>
      </c>
      <c r="HX32" s="145" t="s">
        <v>2317</v>
      </c>
      <c r="HY32" s="6">
        <v>10</v>
      </c>
      <c r="HZ32" s="1" t="s">
        <v>2030</v>
      </c>
      <c r="IA32" s="279">
        <v>3000</v>
      </c>
      <c r="IB32" s="219" t="s">
        <v>2663</v>
      </c>
      <c r="IC32" s="663">
        <f>SUM(IE52:IE56)</f>
        <v>235.25000000000003</v>
      </c>
      <c r="ID32" s="344" t="s">
        <v>2401</v>
      </c>
      <c r="IE32">
        <f>40.3+11+11.4+19.2</f>
        <v>81.899999999999991</v>
      </c>
      <c r="IF32" s="260" t="s">
        <v>2411</v>
      </c>
      <c r="IG32" s="285">
        <v>146</v>
      </c>
      <c r="IH32" s="414"/>
      <c r="II32" s="555"/>
      <c r="IJ32" s="344" t="s">
        <v>2482</v>
      </c>
      <c r="IK32">
        <f>10.1+8+57.3+1.6</f>
        <v>77</v>
      </c>
      <c r="IL32" t="s">
        <v>514</v>
      </c>
      <c r="IN32" s="697" t="s">
        <v>2188</v>
      </c>
      <c r="IO32" s="697"/>
      <c r="IP32" s="344" t="s">
        <v>2592</v>
      </c>
      <c r="IQ32" s="61">
        <v>6.5</v>
      </c>
      <c r="IR32" t="s">
        <v>514</v>
      </c>
      <c r="IV32" s="671" t="s">
        <v>2673</v>
      </c>
      <c r="IW32" s="578">
        <v>70</v>
      </c>
      <c r="IX32" s="626" t="s">
        <v>1050</v>
      </c>
      <c r="JA32" s="539"/>
      <c r="JB32" s="671"/>
      <c r="JC32" s="578"/>
      <c r="JD32" s="684" t="s">
        <v>1050</v>
      </c>
    </row>
    <row r="33" spans="1:263" x14ac:dyDescent="0.2">
      <c r="A33" s="732" t="s">
        <v>1013</v>
      </c>
      <c r="B33" s="732"/>
      <c r="C33" s="3"/>
      <c r="D33" s="3"/>
      <c r="E33" s="253"/>
      <c r="F33" s="253"/>
      <c r="G33" s="732" t="s">
        <v>1013</v>
      </c>
      <c r="H33" s="732"/>
      <c r="K33" s="249" t="s">
        <v>1033</v>
      </c>
      <c r="L33" s="249"/>
      <c r="M33" s="735" t="s">
        <v>1050</v>
      </c>
      <c r="N33" s="735"/>
      <c r="Q33" s="146" t="s">
        <v>1028</v>
      </c>
      <c r="R33" s="145">
        <v>77.239999999999995</v>
      </c>
      <c r="S33" s="735" t="s">
        <v>1050</v>
      </c>
      <c r="T33" s="735"/>
      <c r="Y33" s="729" t="s">
        <v>243</v>
      </c>
      <c r="Z33" s="729"/>
      <c r="AC33" s="202" t="s">
        <v>1024</v>
      </c>
      <c r="AD33" s="145">
        <v>350</v>
      </c>
      <c r="AE33" s="735" t="s">
        <v>1050</v>
      </c>
      <c r="AF33" s="735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1217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1248</v>
      </c>
      <c r="BR33" s="223" t="s">
        <v>1242</v>
      </c>
      <c r="BS33" s="260" t="s">
        <v>1050</v>
      </c>
      <c r="BT33" s="285"/>
      <c r="BW33" s="274"/>
      <c r="BY33" s="260" t="s">
        <v>1050</v>
      </c>
      <c r="BZ33" s="290"/>
      <c r="CC33" s="274" t="s">
        <v>1300</v>
      </c>
      <c r="CD33" s="223">
        <v>82.15</v>
      </c>
      <c r="CE33" s="260" t="s">
        <v>1050</v>
      </c>
      <c r="CF33" s="290"/>
      <c r="CI33" s="294" t="s">
        <v>1316</v>
      </c>
      <c r="CJ33" s="223">
        <v>28.6</v>
      </c>
      <c r="CK33" s="260" t="s">
        <v>1050</v>
      </c>
      <c r="CL33" s="290"/>
      <c r="CO33" s="223" t="s">
        <v>1359</v>
      </c>
      <c r="CP33" s="223">
        <v>60</v>
      </c>
      <c r="CQ33" s="260" t="s">
        <v>1050</v>
      </c>
      <c r="CR33" s="290"/>
      <c r="CU33" s="223" t="s">
        <v>1357</v>
      </c>
      <c r="CV33" s="223">
        <v>11</v>
      </c>
      <c r="CW33" t="s">
        <v>1165</v>
      </c>
      <c r="CX33" s="290"/>
      <c r="DA33" s="740" t="s">
        <v>1428</v>
      </c>
      <c r="DB33" s="741"/>
      <c r="DC33" s="1" t="s">
        <v>93</v>
      </c>
      <c r="DD33" s="78"/>
      <c r="DE33" s="6" t="s">
        <v>1492</v>
      </c>
      <c r="DF33" s="9">
        <v>307.61</v>
      </c>
      <c r="DG33" s="272" t="s">
        <v>1303</v>
      </c>
      <c r="DH33" s="286">
        <f>140.45+146.45</f>
        <v>286.89999999999998</v>
      </c>
      <c r="DI33" s="63" t="s">
        <v>1500</v>
      </c>
      <c r="DJ33" s="277">
        <v>10000</v>
      </c>
      <c r="DM33" s="302" t="s">
        <v>1525</v>
      </c>
      <c r="DN33" s="286">
        <v>20</v>
      </c>
      <c r="DO33" s="297" t="s">
        <v>1519</v>
      </c>
      <c r="DP33" s="297"/>
      <c r="DS33" s="302" t="s">
        <v>1604</v>
      </c>
      <c r="DT33" s="286">
        <v>8.5</v>
      </c>
      <c r="DU33" s="334" t="s">
        <v>1608</v>
      </c>
      <c r="DV33" s="335">
        <v>1583.97</v>
      </c>
      <c r="DY33" s="63"/>
      <c r="DZ33" s="63"/>
      <c r="EE33" s="6" t="s">
        <v>1635</v>
      </c>
      <c r="EF33" s="1">
        <v>77.37</v>
      </c>
      <c r="EH33" t="s">
        <v>93</v>
      </c>
      <c r="EL33" s="63" t="s">
        <v>1685</v>
      </c>
      <c r="EM33" s="63"/>
      <c r="EN33" t="s">
        <v>1558</v>
      </c>
      <c r="ER33" s="63" t="s">
        <v>1708</v>
      </c>
      <c r="ES33" s="224"/>
      <c r="ET33" s="260" t="s">
        <v>1724</v>
      </c>
      <c r="EU33" s="281">
        <v>1178</v>
      </c>
      <c r="EX33" s="347" t="s">
        <v>1751</v>
      </c>
      <c r="EY33" s="348"/>
      <c r="EZ33" s="1" t="s">
        <v>1713</v>
      </c>
      <c r="FA33" s="279" t="s">
        <v>694</v>
      </c>
      <c r="FD33" s="347" t="s">
        <v>1787</v>
      </c>
      <c r="FE33" s="348"/>
      <c r="FF33" s="1" t="s">
        <v>1713</v>
      </c>
      <c r="FG33" s="279">
        <v>0</v>
      </c>
      <c r="FJ33" s="347" t="s">
        <v>1814</v>
      </c>
      <c r="FK33" s="348"/>
      <c r="FL33" s="1" t="s">
        <v>1584</v>
      </c>
      <c r="FM33" s="279">
        <v>6010</v>
      </c>
      <c r="FP33" s="344" t="s">
        <v>1862</v>
      </c>
      <c r="FQ33">
        <f>6+4.39+49</f>
        <v>59.39</v>
      </c>
      <c r="FR33" s="261" t="s">
        <v>1649</v>
      </c>
      <c r="FS33" s="285"/>
      <c r="FV33" s="348" t="s">
        <v>1936</v>
      </c>
      <c r="FW33" s="348"/>
      <c r="FX33" s="260"/>
      <c r="FY33" s="285"/>
      <c r="GB33" s="399" t="s">
        <v>1764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1996</v>
      </c>
      <c r="GK33" s="6">
        <v>35.1</v>
      </c>
      <c r="GN33" s="344" t="s">
        <v>2045</v>
      </c>
      <c r="GO33">
        <v>20</v>
      </c>
      <c r="GP33" s="260" t="s">
        <v>2049</v>
      </c>
      <c r="GQ33" s="285">
        <v>81</v>
      </c>
      <c r="GT33" s="399" t="s">
        <v>1764</v>
      </c>
      <c r="GU33" s="63"/>
      <c r="GV33" t="s">
        <v>514</v>
      </c>
      <c r="GZ33" s="344" t="s">
        <v>2137</v>
      </c>
      <c r="HA33">
        <f>12.35+5.8</f>
        <v>18.149999999999999</v>
      </c>
      <c r="HB33" s="260" t="s">
        <v>2121</v>
      </c>
      <c r="HC33" s="290">
        <v>12.9</v>
      </c>
      <c r="HF33" s="406">
        <v>35</v>
      </c>
      <c r="HG33" s="410" t="s">
        <v>2142</v>
      </c>
      <c r="HH33" s="413" t="s">
        <v>2187</v>
      </c>
      <c r="HI33" s="415">
        <v>6.1</v>
      </c>
      <c r="HL33" s="422">
        <v>17</v>
      </c>
      <c r="HM33" s="347" t="s">
        <v>2209</v>
      </c>
      <c r="HP33" s="352" t="s">
        <v>2277</v>
      </c>
      <c r="HQ33" s="424"/>
      <c r="HR33" s="425">
        <v>28.54</v>
      </c>
      <c r="HS33" s="9" t="s">
        <v>2213</v>
      </c>
      <c r="HT33" s="261"/>
      <c r="HU33" s="285"/>
      <c r="HX33" s="9" t="s">
        <v>2214</v>
      </c>
      <c r="HY33" s="9">
        <v>434</v>
      </c>
      <c r="HZ33" s="1" t="s">
        <v>2189</v>
      </c>
      <c r="IA33" s="279">
        <v>4000</v>
      </c>
      <c r="ID33" s="344" t="s">
        <v>2375</v>
      </c>
      <c r="IE33">
        <v>30.01</v>
      </c>
      <c r="IH33" s="414"/>
      <c r="II33" s="555"/>
      <c r="IJ33" s="344" t="s">
        <v>2443</v>
      </c>
      <c r="IK33">
        <v>27.9</v>
      </c>
      <c r="IL33" t="s">
        <v>93</v>
      </c>
      <c r="IN33" s="358" t="s">
        <v>1976</v>
      </c>
      <c r="IO33" s="293">
        <f>SUM(IQ6:IQ9)</f>
        <v>3943.01</v>
      </c>
      <c r="IP33" t="s">
        <v>2515</v>
      </c>
      <c r="IQ33" s="78">
        <v>40</v>
      </c>
      <c r="IR33" t="s">
        <v>93</v>
      </c>
      <c r="IV33" s="549" t="s">
        <v>2644</v>
      </c>
      <c r="IW33" s="626">
        <v>8.67</v>
      </c>
      <c r="JA33" s="539"/>
      <c r="JB33" s="549"/>
    </row>
    <row r="34" spans="1:263" x14ac:dyDescent="0.2">
      <c r="A34" s="729" t="s">
        <v>243</v>
      </c>
      <c r="B34" s="729"/>
      <c r="E34" s="173"/>
      <c r="F34" s="173"/>
      <c r="G34" s="729" t="s">
        <v>243</v>
      </c>
      <c r="H34" s="729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1075</v>
      </c>
      <c r="X34" s="252">
        <v>283</v>
      </c>
      <c r="Y34" s="735" t="s">
        <v>1050</v>
      </c>
      <c r="Z34" s="735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1120</v>
      </c>
      <c r="AP34" s="145">
        <f>242+12+489</f>
        <v>743</v>
      </c>
      <c r="AU34" s="258" t="s">
        <v>1083</v>
      </c>
      <c r="AV34" s="145">
        <v>24</v>
      </c>
      <c r="AY34" s="258"/>
      <c r="BE34" s="258" t="s">
        <v>1224</v>
      </c>
      <c r="BF34" s="145">
        <v>18</v>
      </c>
      <c r="BK34" s="223" t="s">
        <v>1244</v>
      </c>
      <c r="BL34" s="223" t="s">
        <v>1242</v>
      </c>
      <c r="BQ34" s="223" t="s">
        <v>1247</v>
      </c>
      <c r="BR34" s="223" t="s">
        <v>1242</v>
      </c>
      <c r="BW34" s="223" t="s">
        <v>1267</v>
      </c>
      <c r="BX34" s="223" t="s">
        <v>1266</v>
      </c>
      <c r="CC34" s="274" t="s">
        <v>1307</v>
      </c>
      <c r="CD34" s="223">
        <v>171.4</v>
      </c>
      <c r="CI34" s="294" t="s">
        <v>1313</v>
      </c>
      <c r="CJ34" s="223">
        <v>44</v>
      </c>
      <c r="CO34" s="223" t="s">
        <v>1343</v>
      </c>
      <c r="CP34" s="223">
        <v>24</v>
      </c>
      <c r="CU34" s="223" t="s">
        <v>1375</v>
      </c>
      <c r="CV34" s="223">
        <v>318</v>
      </c>
      <c r="CW34" s="261" t="s">
        <v>1013</v>
      </c>
      <c r="DA34" s="222" t="s">
        <v>1427</v>
      </c>
      <c r="DB34" s="222">
        <v>300</v>
      </c>
      <c r="DC34" t="s">
        <v>1165</v>
      </c>
      <c r="DD34" s="290"/>
      <c r="DE34" s="6" t="s">
        <v>1481</v>
      </c>
      <c r="DF34" s="9">
        <f>569.34-527</f>
        <v>42.340000000000032</v>
      </c>
      <c r="DG34" s="272" t="s">
        <v>1351</v>
      </c>
      <c r="DH34" s="286">
        <f>2*(11+53.24)</f>
        <v>128.48000000000002</v>
      </c>
      <c r="DI34" s="63"/>
      <c r="DJ34" s="277"/>
      <c r="DM34" s="302" t="s">
        <v>1536</v>
      </c>
      <c r="DN34" s="286">
        <v>10</v>
      </c>
      <c r="DP34" s="84"/>
      <c r="DS34" s="302" t="s">
        <v>1542</v>
      </c>
      <c r="DT34" s="309">
        <v>11.41</v>
      </c>
      <c r="DU34" s="297" t="s">
        <v>1605</v>
      </c>
      <c r="DV34" s="297">
        <v>214</v>
      </c>
      <c r="DY34" t="s">
        <v>1337</v>
      </c>
      <c r="DZ34">
        <f>55.46-17.24</f>
        <v>38.22</v>
      </c>
      <c r="EA34" s="60" t="s">
        <v>514</v>
      </c>
      <c r="EE34" t="s">
        <v>1636</v>
      </c>
      <c r="EF34">
        <v>10.77</v>
      </c>
      <c r="EH34" t="s">
        <v>1165</v>
      </c>
      <c r="EL34" s="63" t="s">
        <v>1686</v>
      </c>
      <c r="EM34" s="63"/>
      <c r="EN34" t="s">
        <v>93</v>
      </c>
      <c r="ER34" s="63" t="s">
        <v>1723</v>
      </c>
      <c r="ES34" s="224"/>
      <c r="EX34" s="347" t="s">
        <v>1750</v>
      </c>
      <c r="EY34" s="348"/>
      <c r="EZ34" s="261" t="s">
        <v>1649</v>
      </c>
      <c r="FA34" s="285" t="s">
        <v>694</v>
      </c>
      <c r="FD34" s="347" t="s">
        <v>1687</v>
      </c>
      <c r="FE34" s="63"/>
      <c r="FF34" s="261" t="s">
        <v>1649</v>
      </c>
      <c r="FG34" s="285" t="s">
        <v>694</v>
      </c>
      <c r="FJ34" s="347" t="s">
        <v>1829</v>
      </c>
      <c r="FK34" s="348"/>
      <c r="FL34" s="1" t="s">
        <v>1584</v>
      </c>
      <c r="FM34" s="279">
        <v>10010</v>
      </c>
      <c r="FP34" s="344" t="s">
        <v>1873</v>
      </c>
      <c r="FQ34">
        <v>26.78</v>
      </c>
      <c r="FR34" s="260" t="s">
        <v>1868</v>
      </c>
      <c r="FS34" s="285">
        <v>53.5</v>
      </c>
      <c r="FV34" s="347" t="s">
        <v>1845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2016</v>
      </c>
      <c r="GI34" s="348"/>
      <c r="GJ34" s="260" t="s">
        <v>1868</v>
      </c>
      <c r="GK34" s="285">
        <v>20</v>
      </c>
      <c r="GN34" s="344" t="s">
        <v>2035</v>
      </c>
      <c r="GO34">
        <v>23.9</v>
      </c>
      <c r="GP34" s="260" t="s">
        <v>2071</v>
      </c>
      <c r="GQ34" s="285">
        <v>298</v>
      </c>
      <c r="GT34" s="360">
        <v>280</v>
      </c>
      <c r="GU34" s="399"/>
      <c r="GV34" t="s">
        <v>1691</v>
      </c>
      <c r="GZ34" s="344" t="s">
        <v>2112</v>
      </c>
      <c r="HA34">
        <v>31.78</v>
      </c>
      <c r="HB34" s="260" t="s">
        <v>2121</v>
      </c>
      <c r="HC34" s="290">
        <v>22.5</v>
      </c>
      <c r="HF34" s="406">
        <v>40</v>
      </c>
      <c r="HG34" s="347" t="s">
        <v>2140</v>
      </c>
      <c r="HL34" s="422">
        <v>6</v>
      </c>
      <c r="HM34" s="347" t="s">
        <v>2197</v>
      </c>
      <c r="HP34" s="344" t="s">
        <v>2182</v>
      </c>
      <c r="HQ34">
        <f>SUM(HS25:HS30)</f>
        <v>160.6</v>
      </c>
      <c r="HR34" s="399" t="s">
        <v>2231</v>
      </c>
      <c r="HS34" s="421">
        <f>HO18+HQ37-HU24</f>
        <v>100</v>
      </c>
      <c r="HT34" s="411"/>
      <c r="HU34" s="285"/>
      <c r="HX34" s="425">
        <v>34.909999999999997</v>
      </c>
      <c r="HY34" s="9"/>
      <c r="HZ34" s="1" t="s">
        <v>2032</v>
      </c>
      <c r="IA34" s="279">
        <v>25000</v>
      </c>
      <c r="ID34" s="344" t="s">
        <v>2385</v>
      </c>
      <c r="IE34">
        <v>40.840000000000003</v>
      </c>
      <c r="IF34" t="s">
        <v>514</v>
      </c>
      <c r="IH34" s="414"/>
      <c r="II34" s="555"/>
      <c r="IJ34" s="344" t="s">
        <v>2475</v>
      </c>
      <c r="IK34">
        <v>84.86</v>
      </c>
      <c r="IL34" t="s">
        <v>2418</v>
      </c>
      <c r="IN34" s="252" t="s">
        <v>1977</v>
      </c>
      <c r="IO34" s="293">
        <f>SUM(IQ12:IQ12)</f>
        <v>1833.7466666666667</v>
      </c>
      <c r="IP34" s="9" t="s">
        <v>2214</v>
      </c>
      <c r="IQ34" s="580">
        <f>102+308+94+155</f>
        <v>659</v>
      </c>
      <c r="IR34" t="s">
        <v>2418</v>
      </c>
      <c r="IU34" s="539"/>
      <c r="IV34" s="549" t="s">
        <v>2644</v>
      </c>
      <c r="IW34" s="579">
        <v>23.08</v>
      </c>
      <c r="JA34" s="540"/>
      <c r="JB34" s="549"/>
      <c r="JC34" s="579"/>
    </row>
    <row r="35" spans="1:263" ht="14.25" customHeight="1" x14ac:dyDescent="0.25">
      <c r="A35" s="736" t="s">
        <v>348</v>
      </c>
      <c r="B35" s="736"/>
      <c r="E35" s="190" t="s">
        <v>374</v>
      </c>
      <c r="F35" s="173"/>
      <c r="G35" s="736" t="s">
        <v>348</v>
      </c>
      <c r="H35" s="736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1085</v>
      </c>
      <c r="X35" s="252">
        <v>65</v>
      </c>
      <c r="AE35" s="201"/>
      <c r="AF35"/>
      <c r="AK35" s="201"/>
      <c r="AL35"/>
      <c r="AO35" s="259" t="s">
        <v>1121</v>
      </c>
      <c r="AP35" s="145">
        <v>50.28</v>
      </c>
      <c r="AQ35" s="201"/>
      <c r="AR35"/>
      <c r="AW35" s="201"/>
      <c r="AX35"/>
      <c r="BA35" s="201"/>
      <c r="BB35"/>
      <c r="BE35" s="258" t="s">
        <v>1216</v>
      </c>
      <c r="BF35" s="145">
        <f>5+5</f>
        <v>10</v>
      </c>
      <c r="BG35" s="145" t="s">
        <v>486</v>
      </c>
      <c r="BH35"/>
      <c r="BM35" s="145"/>
      <c r="BN35"/>
      <c r="BQ35" s="223" t="s">
        <v>1251</v>
      </c>
      <c r="BR35" s="223">
        <f>950+20+20+12</f>
        <v>1002</v>
      </c>
      <c r="BS35" s="145"/>
      <c r="BW35" s="223" t="s">
        <v>1271</v>
      </c>
      <c r="BX35" s="223" t="s">
        <v>1266</v>
      </c>
      <c r="BY35" s="145"/>
      <c r="CC35" s="223" t="s">
        <v>1299</v>
      </c>
      <c r="CD35" s="223">
        <v>72.5</v>
      </c>
      <c r="CE35" s="145" t="s">
        <v>486</v>
      </c>
      <c r="CK35" s="145" t="s">
        <v>486</v>
      </c>
      <c r="CO35" s="223" t="s">
        <v>1349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1417</v>
      </c>
      <c r="DB35" s="222"/>
      <c r="DC35" s="261" t="s">
        <v>1013</v>
      </c>
      <c r="DE35" s="6" t="s">
        <v>1480</v>
      </c>
      <c r="DF35" s="9">
        <f>17663-17242</f>
        <v>421</v>
      </c>
      <c r="DG35" s="272" t="s">
        <v>1320</v>
      </c>
      <c r="DH35" s="286">
        <f>64+32</f>
        <v>96</v>
      </c>
      <c r="DI35" s="63" t="s">
        <v>1487</v>
      </c>
      <c r="DJ35" s="277">
        <v>5000</v>
      </c>
      <c r="DM35" s="302" t="s">
        <v>1538</v>
      </c>
      <c r="DN35" s="286">
        <v>42.37</v>
      </c>
      <c r="DO35" s="60" t="s">
        <v>514</v>
      </c>
      <c r="DS35" s="302" t="s">
        <v>1579</v>
      </c>
      <c r="DT35" s="286">
        <f>6.9+70.45</f>
        <v>77.350000000000009</v>
      </c>
      <c r="DV35" s="84"/>
      <c r="DY35" t="s">
        <v>1622</v>
      </c>
      <c r="DZ35">
        <v>60.2</v>
      </c>
      <c r="EA35" s="60" t="s">
        <v>1558</v>
      </c>
      <c r="EE35" t="s">
        <v>1635</v>
      </c>
      <c r="EF35">
        <v>113.2</v>
      </c>
      <c r="EH35" t="s">
        <v>1050</v>
      </c>
      <c r="EL35" s="63" t="s">
        <v>1687</v>
      </c>
      <c r="EM35" s="63"/>
      <c r="EN35" t="s">
        <v>1165</v>
      </c>
      <c r="ER35" s="63" t="s">
        <v>1738</v>
      </c>
      <c r="ES35" s="224"/>
      <c r="ET35" t="s">
        <v>514</v>
      </c>
      <c r="EX35" s="63"/>
      <c r="EY35" s="63"/>
      <c r="EZ35" s="260"/>
      <c r="FA35" s="281"/>
      <c r="FD35" s="1" t="s">
        <v>1777</v>
      </c>
      <c r="FE35" s="1"/>
      <c r="FF35" s="260" t="s">
        <v>1776</v>
      </c>
      <c r="FG35" s="78">
        <v>30</v>
      </c>
      <c r="FJ35" s="347" t="s">
        <v>1830</v>
      </c>
      <c r="FK35" s="63"/>
      <c r="FL35" s="1" t="s">
        <v>1514</v>
      </c>
      <c r="FM35" s="279" t="s">
        <v>1095</v>
      </c>
      <c r="FP35" s="344" t="s">
        <v>1863</v>
      </c>
      <c r="FQ35">
        <v>7</v>
      </c>
      <c r="FR35" s="260" t="s">
        <v>1916</v>
      </c>
      <c r="FS35" s="285">
        <v>-738</v>
      </c>
      <c r="FV35" s="347" t="s">
        <v>1961</v>
      </c>
      <c r="FW35" s="348"/>
      <c r="FX35" t="s">
        <v>514</v>
      </c>
      <c r="GB35" s="348" t="s">
        <v>1970</v>
      </c>
      <c r="GC35" s="348"/>
      <c r="GH35" s="347" t="s">
        <v>2008</v>
      </c>
      <c r="GI35" s="348"/>
      <c r="GJ35" s="260" t="s">
        <v>2022</v>
      </c>
      <c r="GK35" s="285">
        <v>20</v>
      </c>
      <c r="GN35" s="344" t="s">
        <v>2037</v>
      </c>
      <c r="GO35">
        <v>95</v>
      </c>
      <c r="GT35" s="348" t="s">
        <v>2092</v>
      </c>
      <c r="GU35" s="361">
        <f>GQ17+GT34-GW16</f>
        <v>262</v>
      </c>
      <c r="GV35" t="s">
        <v>93</v>
      </c>
      <c r="GZ35" s="344" t="s">
        <v>2114</v>
      </c>
      <c r="HA35">
        <v>64.86</v>
      </c>
      <c r="HB35" s="260" t="s">
        <v>2134</v>
      </c>
      <c r="HC35" s="290">
        <v>233.71</v>
      </c>
      <c r="HF35" s="406">
        <v>40</v>
      </c>
      <c r="HG35" s="347" t="s">
        <v>2165</v>
      </c>
      <c r="HH35" t="s">
        <v>514</v>
      </c>
      <c r="HL35" s="411" t="s">
        <v>2174</v>
      </c>
      <c r="HM35" s="351">
        <v>24.7</v>
      </c>
      <c r="HR35" s="422">
        <v>4</v>
      </c>
      <c r="HS35" s="347" t="s">
        <v>2279</v>
      </c>
      <c r="HT35" s="411"/>
      <c r="HU35" s="285"/>
      <c r="HV35" s="347" t="s">
        <v>2312</v>
      </c>
      <c r="HW35" s="360">
        <v>220</v>
      </c>
      <c r="HX35" s="399" t="s">
        <v>1428</v>
      </c>
      <c r="HY35" s="421">
        <f>HU24+HW35-IA28</f>
        <v>320</v>
      </c>
      <c r="HZ35" s="1" t="s">
        <v>1655</v>
      </c>
      <c r="IA35" s="279">
        <v>2000</v>
      </c>
      <c r="ID35" s="344" t="s">
        <v>2395</v>
      </c>
      <c r="IE35">
        <v>47.96</v>
      </c>
      <c r="IF35" t="s">
        <v>93</v>
      </c>
      <c r="IH35" s="414"/>
      <c r="II35" s="555"/>
      <c r="IJ35" s="344" t="s">
        <v>2477</v>
      </c>
      <c r="IK35">
        <v>56.9</v>
      </c>
      <c r="IL35" t="s">
        <v>1691</v>
      </c>
      <c r="IN35" s="369" t="s">
        <v>1409</v>
      </c>
      <c r="IO35">
        <v>0</v>
      </c>
      <c r="IP35" s="425">
        <v>44.08</v>
      </c>
      <c r="IQ35" s="580"/>
      <c r="IR35" t="s">
        <v>1691</v>
      </c>
      <c r="IU35" s="539"/>
      <c r="IV35" s="549" t="s">
        <v>2658</v>
      </c>
      <c r="IW35" s="579">
        <v>6.37</v>
      </c>
      <c r="JB35" s="549"/>
      <c r="JC35" s="579"/>
    </row>
    <row r="36" spans="1:263" ht="14.25" customHeight="1" x14ac:dyDescent="0.25">
      <c r="E36" s="175" t="s">
        <v>409</v>
      </c>
      <c r="F36" s="173">
        <v>250</v>
      </c>
      <c r="Q36"/>
      <c r="W36" s="252" t="s">
        <v>1084</v>
      </c>
      <c r="X36" s="252">
        <v>20.001000000000001</v>
      </c>
      <c r="Y36" s="201"/>
      <c r="Z36"/>
      <c r="AO36" s="258" t="s">
        <v>1134</v>
      </c>
      <c r="AP36" s="145">
        <v>26.26</v>
      </c>
      <c r="AU36" s="145" t="s">
        <v>1185</v>
      </c>
      <c r="AV36" s="145">
        <v>80</v>
      </c>
      <c r="BE36" s="258" t="s">
        <v>1222</v>
      </c>
      <c r="BF36" s="145">
        <v>95</v>
      </c>
      <c r="BK36" s="223" t="s">
        <v>1189</v>
      </c>
      <c r="BL36" s="223">
        <v>200</v>
      </c>
      <c r="BW36" s="223" t="s">
        <v>1276</v>
      </c>
      <c r="BX36" s="223">
        <v>65</v>
      </c>
      <c r="CC36" s="223" t="s">
        <v>1297</v>
      </c>
      <c r="CD36" s="223">
        <v>83.85</v>
      </c>
      <c r="CI36" s="223" t="s">
        <v>1312</v>
      </c>
      <c r="CJ36" s="268">
        <v>46.65</v>
      </c>
      <c r="CK36" s="295"/>
      <c r="CO36" s="223" t="s">
        <v>1347</v>
      </c>
      <c r="CP36" s="223">
        <f>11.3+50.4</f>
        <v>61.7</v>
      </c>
      <c r="CQ36" s="295"/>
      <c r="CU36" s="223" t="s">
        <v>1365</v>
      </c>
      <c r="CV36" s="293">
        <v>412.25</v>
      </c>
      <c r="CW36" s="260" t="s">
        <v>1050</v>
      </c>
      <c r="DA36" s="222" t="s">
        <v>1420</v>
      </c>
      <c r="DB36" s="222"/>
      <c r="DC36" s="6" t="s">
        <v>243</v>
      </c>
      <c r="DE36" s="6" t="s">
        <v>1482</v>
      </c>
      <c r="DF36" s="9">
        <f>46147-45991</f>
        <v>156</v>
      </c>
      <c r="DG36" s="272" t="s">
        <v>1445</v>
      </c>
      <c r="DH36" s="286">
        <f>16.98+17.17+13.1+13.72+14.74+13.83</f>
        <v>89.54</v>
      </c>
      <c r="DI36" s="63" t="s">
        <v>1473</v>
      </c>
      <c r="DJ36" s="277">
        <v>5000</v>
      </c>
      <c r="DM36" s="302"/>
      <c r="DN36" s="286"/>
      <c r="DO36" s="60" t="s">
        <v>1558</v>
      </c>
      <c r="DP36" s="289"/>
      <c r="DS36" s="302" t="s">
        <v>1550</v>
      </c>
      <c r="DT36" s="286">
        <v>68.97</v>
      </c>
      <c r="DU36" s="60" t="s">
        <v>514</v>
      </c>
      <c r="DY36" s="295" t="s">
        <v>1794</v>
      </c>
      <c r="DZ36">
        <f>1379-100</f>
        <v>1279</v>
      </c>
      <c r="EA36" t="s">
        <v>93</v>
      </c>
      <c r="EG36" s="1"/>
      <c r="EL36" s="63" t="s">
        <v>1688</v>
      </c>
      <c r="EM36" s="63"/>
      <c r="EN36" t="s">
        <v>1050</v>
      </c>
      <c r="ER36" s="63"/>
      <c r="ES36" s="224"/>
      <c r="ET36" t="s">
        <v>1691</v>
      </c>
      <c r="EX36" s="1" t="s">
        <v>1735</v>
      </c>
      <c r="EY36" s="1">
        <v>202.2</v>
      </c>
      <c r="FD36" s="1" t="s">
        <v>1772</v>
      </c>
      <c r="FE36" s="1">
        <v>10.000999999999999</v>
      </c>
      <c r="FF36" s="260" t="s">
        <v>1788</v>
      </c>
      <c r="FG36" s="78">
        <v>67.400000000000006</v>
      </c>
      <c r="FJ36" s="6" t="s">
        <v>1797</v>
      </c>
      <c r="FK36">
        <v>720</v>
      </c>
      <c r="FL36" s="1" t="s">
        <v>1714</v>
      </c>
      <c r="FM36" s="279">
        <v>10005</v>
      </c>
      <c r="FP36" s="344" t="s">
        <v>1879</v>
      </c>
      <c r="FQ36">
        <v>49.23</v>
      </c>
      <c r="FR36" s="260"/>
      <c r="FS36" s="285"/>
      <c r="FV36" s="347" t="s">
        <v>1954</v>
      </c>
      <c r="FW36" s="348"/>
      <c r="FX36" t="s">
        <v>1691</v>
      </c>
      <c r="GB36" s="347" t="s">
        <v>1845</v>
      </c>
      <c r="GC36" s="348"/>
      <c r="GH36" s="347" t="s">
        <v>2033</v>
      </c>
      <c r="GI36" s="348"/>
      <c r="GJ36" s="260" t="s">
        <v>2022</v>
      </c>
      <c r="GK36" s="6">
        <v>63.6</v>
      </c>
      <c r="GN36" s="344" t="s">
        <v>2039</v>
      </c>
      <c r="GO36">
        <v>63.06</v>
      </c>
      <c r="GP36" t="s">
        <v>2323</v>
      </c>
      <c r="GT36" s="405">
        <v>71.8</v>
      </c>
      <c r="GU36" s="347" t="s">
        <v>2109</v>
      </c>
      <c r="GV36" t="s">
        <v>1165</v>
      </c>
      <c r="GZ36" s="344" t="s">
        <v>2122</v>
      </c>
      <c r="HA36">
        <v>32.6</v>
      </c>
      <c r="HB36" s="260" t="s">
        <v>2120</v>
      </c>
      <c r="HC36" s="290">
        <v>71</v>
      </c>
      <c r="HF36" s="406">
        <v>50</v>
      </c>
      <c r="HG36" s="347" t="s">
        <v>1845</v>
      </c>
      <c r="HH36" t="s">
        <v>1691</v>
      </c>
      <c r="HL36" s="411" t="s">
        <v>2206</v>
      </c>
      <c r="HM36" s="423">
        <v>20760</v>
      </c>
      <c r="HQ36" s="212"/>
      <c r="HR36" s="422">
        <v>40</v>
      </c>
      <c r="HS36" s="347" t="s">
        <v>2140</v>
      </c>
      <c r="HT36" s="413"/>
      <c r="HU36" s="285"/>
      <c r="HX36" s="422">
        <v>140</v>
      </c>
      <c r="HY36" s="347" t="s">
        <v>2340</v>
      </c>
      <c r="HZ36" s="1" t="s">
        <v>1656</v>
      </c>
      <c r="IA36" s="279">
        <v>4000</v>
      </c>
      <c r="IC36" s="539"/>
      <c r="ID36" t="s">
        <v>2215</v>
      </c>
      <c r="IE36" s="6">
        <v>52</v>
      </c>
      <c r="IH36" s="414"/>
      <c r="II36" s="555"/>
      <c r="IJ36" s="344" t="s">
        <v>2476</v>
      </c>
      <c r="IK36">
        <v>47.08</v>
      </c>
      <c r="IL36" t="s">
        <v>1050</v>
      </c>
      <c r="IN36" s="353" t="s">
        <v>2183</v>
      </c>
      <c r="IO36">
        <f>SUM(IQ10:IQ11)</f>
        <v>1105.4099999999999</v>
      </c>
      <c r="IP36" s="399" t="s">
        <v>1428</v>
      </c>
      <c r="IQ36" s="64">
        <f>IM23+IO40-IS19</f>
        <v>680</v>
      </c>
      <c r="IR36" t="s">
        <v>1050</v>
      </c>
      <c r="IU36" s="540"/>
      <c r="IV36" s="549" t="s">
        <v>2672</v>
      </c>
      <c r="IW36" s="579">
        <v>104.35</v>
      </c>
      <c r="JB36" s="549"/>
      <c r="JC36" s="579"/>
    </row>
    <row r="37" spans="1:263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1080</v>
      </c>
      <c r="X37" s="252">
        <f>10+5</f>
        <v>15</v>
      </c>
      <c r="AO37" s="258" t="s">
        <v>1080</v>
      </c>
      <c r="AP37" s="145">
        <v>10</v>
      </c>
      <c r="AU37" s="145" t="s">
        <v>1169</v>
      </c>
      <c r="AV37" s="145">
        <v>150</v>
      </c>
      <c r="BE37" s="145" t="s">
        <v>1204</v>
      </c>
      <c r="BF37" s="145">
        <f>108.3+39.8</f>
        <v>148.1</v>
      </c>
      <c r="BK37" s="223" t="s">
        <v>1183</v>
      </c>
      <c r="BL37" s="223">
        <v>400</v>
      </c>
      <c r="BQ37" s="223" t="s">
        <v>1264</v>
      </c>
      <c r="BR37" s="223">
        <v>300</v>
      </c>
      <c r="BW37" s="223" t="s">
        <v>1281</v>
      </c>
      <c r="BX37" s="223">
        <v>32.299999999999997</v>
      </c>
      <c r="CC37" s="223" t="s">
        <v>1288</v>
      </c>
      <c r="CD37" s="223">
        <v>535</v>
      </c>
      <c r="CI37" s="223" t="s">
        <v>1326</v>
      </c>
      <c r="CJ37" s="223">
        <v>39</v>
      </c>
      <c r="CO37" s="223" t="s">
        <v>1339</v>
      </c>
      <c r="CP37" s="223">
        <v>28.85</v>
      </c>
      <c r="CU37" s="223" t="s">
        <v>1366</v>
      </c>
      <c r="CV37" s="223">
        <v>33</v>
      </c>
      <c r="DA37" s="222"/>
      <c r="DB37" s="222"/>
      <c r="DC37" s="260" t="s">
        <v>1050</v>
      </c>
      <c r="DE37" s="6" t="s">
        <v>1493</v>
      </c>
      <c r="DF37" s="9">
        <v>348.15</v>
      </c>
      <c r="DG37" s="302" t="s">
        <v>1421</v>
      </c>
      <c r="DH37" s="286">
        <v>72.33</v>
      </c>
      <c r="DI37" s="63" t="s">
        <v>1502</v>
      </c>
      <c r="DJ37" s="233">
        <v>10000</v>
      </c>
      <c r="DM37" s="308" t="s">
        <v>1426</v>
      </c>
      <c r="DN37" s="310">
        <f>DJ17+DM39-DP14</f>
        <v>169.99999999999997</v>
      </c>
      <c r="DO37" s="60" t="s">
        <v>1004</v>
      </c>
      <c r="DP37" s="78"/>
      <c r="DS37" s="742" t="s">
        <v>1553</v>
      </c>
      <c r="DT37" s="743"/>
      <c r="DU37" s="60" t="s">
        <v>1558</v>
      </c>
      <c r="DV37" s="289"/>
      <c r="DY37" t="s">
        <v>1795</v>
      </c>
      <c r="DZ37">
        <v>100</v>
      </c>
      <c r="EA37" t="s">
        <v>1165</v>
      </c>
      <c r="EE37" t="s">
        <v>1588</v>
      </c>
      <c r="EF37">
        <v>700</v>
      </c>
      <c r="EL37" s="63" t="s">
        <v>1689</v>
      </c>
      <c r="EM37" s="63"/>
      <c r="ER37" s="1" t="s">
        <v>1729</v>
      </c>
      <c r="ES37" s="327">
        <v>110</v>
      </c>
      <c r="ET37" t="s">
        <v>1558</v>
      </c>
      <c r="EX37" s="1" t="s">
        <v>1736</v>
      </c>
      <c r="EY37" s="1">
        <v>22.4</v>
      </c>
      <c r="EZ37" t="s">
        <v>514</v>
      </c>
      <c r="FD37" s="6" t="s">
        <v>1780</v>
      </c>
      <c r="FE37" s="1">
        <v>19.36</v>
      </c>
      <c r="FF37" s="260" t="s">
        <v>1789</v>
      </c>
      <c r="FG37" s="78">
        <v>87</v>
      </c>
      <c r="FJ37" s="1" t="s">
        <v>1808</v>
      </c>
      <c r="FK37" s="1">
        <f>58.1+1.5</f>
        <v>59.6</v>
      </c>
      <c r="FL37" s="1" t="s">
        <v>1713</v>
      </c>
      <c r="FM37" s="279">
        <v>0</v>
      </c>
      <c r="FP37" s="344" t="s">
        <v>1872</v>
      </c>
      <c r="FQ37">
        <v>80</v>
      </c>
      <c r="FR37" t="s">
        <v>514</v>
      </c>
      <c r="FV37" s="6" t="s">
        <v>1907</v>
      </c>
      <c r="FW37">
        <v>9.9</v>
      </c>
      <c r="FX37" t="s">
        <v>93</v>
      </c>
      <c r="GB37" s="347" t="s">
        <v>1968</v>
      </c>
      <c r="GC37" s="348"/>
      <c r="GH37" s="347" t="s">
        <v>1762</v>
      </c>
      <c r="GI37" s="348"/>
      <c r="GJ37" s="260"/>
      <c r="GK37" s="285"/>
      <c r="GN37" s="344" t="s">
        <v>1550</v>
      </c>
      <c r="GO37">
        <v>67.8</v>
      </c>
      <c r="GP37" s="260" t="s">
        <v>2321</v>
      </c>
      <c r="GQ37" s="285"/>
      <c r="GT37" s="406">
        <v>80</v>
      </c>
      <c r="GU37" s="347" t="s">
        <v>1845</v>
      </c>
      <c r="GV37" t="s">
        <v>1050</v>
      </c>
      <c r="GZ37" s="344" t="s">
        <v>2133</v>
      </c>
      <c r="HA37">
        <v>40.479999999999997</v>
      </c>
      <c r="HF37" s="411" t="s">
        <v>2157</v>
      </c>
      <c r="HG37" s="349">
        <v>3000</v>
      </c>
      <c r="HH37" t="s">
        <v>93</v>
      </c>
      <c r="HL37" s="411"/>
      <c r="HM37" s="351"/>
      <c r="HP37" s="347" t="s">
        <v>2255</v>
      </c>
      <c r="HQ37" s="360">
        <v>100</v>
      </c>
      <c r="HR37" s="422">
        <v>20</v>
      </c>
      <c r="HS37" s="347" t="s">
        <v>2243</v>
      </c>
      <c r="HT37" s="413"/>
      <c r="HU37" s="285"/>
      <c r="HX37" s="422">
        <v>40</v>
      </c>
      <c r="HY37" s="347" t="s">
        <v>1845</v>
      </c>
      <c r="HZ37" s="260" t="s">
        <v>2280</v>
      </c>
      <c r="IA37" s="285"/>
      <c r="IC37" s="539"/>
      <c r="ID37" s="9" t="s">
        <v>2214</v>
      </c>
      <c r="IE37" s="9">
        <v>453</v>
      </c>
      <c r="IH37" s="414"/>
      <c r="II37" s="555"/>
      <c r="IJ37" t="s">
        <v>2215</v>
      </c>
      <c r="IK37" s="6">
        <f>35+25+17.47+26.01</f>
        <v>103.48</v>
      </c>
      <c r="IN37" s="352" t="s">
        <v>2184</v>
      </c>
      <c r="IO37" s="424">
        <f>SUM(IQ13:IQ20)</f>
        <v>1316.3133333333333</v>
      </c>
      <c r="IP37" s="422">
        <v>399</v>
      </c>
      <c r="IQ37" s="589" t="s">
        <v>2516</v>
      </c>
      <c r="IV37" s="549" t="s">
        <v>2672</v>
      </c>
      <c r="IW37" s="579">
        <v>51.81</v>
      </c>
      <c r="JB37" s="549"/>
      <c r="JC37" s="579"/>
    </row>
    <row r="38" spans="1:263" x14ac:dyDescent="0.2">
      <c r="W38" s="252" t="s">
        <v>1083</v>
      </c>
      <c r="X38" s="252">
        <f>70+16</f>
        <v>86</v>
      </c>
      <c r="AO38" s="258" t="s">
        <v>1144</v>
      </c>
      <c r="AP38" s="145">
        <v>22</v>
      </c>
      <c r="AU38" s="145" t="s">
        <v>1181</v>
      </c>
      <c r="AV38" s="145">
        <v>118</v>
      </c>
      <c r="BE38" s="145" t="s">
        <v>1215</v>
      </c>
      <c r="BF38" s="145">
        <v>134</v>
      </c>
      <c r="BK38" s="223" t="s">
        <v>1192</v>
      </c>
      <c r="BL38" s="223">
        <v>250</v>
      </c>
      <c r="BQ38" s="223" t="s">
        <v>1183</v>
      </c>
      <c r="BR38" s="223">
        <v>300</v>
      </c>
      <c r="CC38" s="223" t="s">
        <v>1294</v>
      </c>
      <c r="CD38" s="223">
        <v>180</v>
      </c>
      <c r="CI38" s="223" t="s">
        <v>1327</v>
      </c>
      <c r="CJ38" s="223">
        <v>58</v>
      </c>
      <c r="CO38" s="223" t="s">
        <v>1348</v>
      </c>
      <c r="CP38" s="223">
        <v>39</v>
      </c>
      <c r="CU38" s="223" t="s">
        <v>1363</v>
      </c>
      <c r="CV38" s="223">
        <v>10.000999999999999</v>
      </c>
      <c r="CW38" s="145" t="s">
        <v>486</v>
      </c>
      <c r="DA38" s="223" t="s">
        <v>1415</v>
      </c>
      <c r="DB38" s="210">
        <v>192.6</v>
      </c>
      <c r="DG38" s="302" t="s">
        <v>1422</v>
      </c>
      <c r="DH38" s="286">
        <v>127.12</v>
      </c>
      <c r="DI38" s="254"/>
      <c r="DJ38" s="316"/>
      <c r="DM38" s="317" t="s">
        <v>1539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1627</v>
      </c>
      <c r="DZ38">
        <v>49.8</v>
      </c>
      <c r="EA38" t="s">
        <v>1050</v>
      </c>
      <c r="EE38" t="s">
        <v>1660</v>
      </c>
      <c r="EL38" s="63" t="s">
        <v>1682</v>
      </c>
      <c r="EM38" s="63"/>
      <c r="ER38" s="1" t="s">
        <v>1288</v>
      </c>
      <c r="ES38" s="327">
        <v>749</v>
      </c>
      <c r="ET38" t="s">
        <v>93</v>
      </c>
      <c r="EX38" s="6" t="s">
        <v>1749</v>
      </c>
      <c r="EY38">
        <v>7</v>
      </c>
      <c r="EZ38" t="s">
        <v>1691</v>
      </c>
      <c r="FD38" s="6" t="s">
        <v>1780</v>
      </c>
      <c r="FE38" s="1">
        <v>14.08</v>
      </c>
      <c r="FF38" s="260" t="s">
        <v>1790</v>
      </c>
      <c r="FG38" s="78">
        <v>211</v>
      </c>
      <c r="FJ38" s="367" t="s">
        <v>1818</v>
      </c>
      <c r="FK38" s="1">
        <v>26.29</v>
      </c>
      <c r="FL38" s="261" t="s">
        <v>1649</v>
      </c>
      <c r="FM38" s="285"/>
      <c r="FP38" s="399" t="s">
        <v>1764</v>
      </c>
      <c r="FQ38" s="399"/>
      <c r="FR38" t="s">
        <v>1691</v>
      </c>
      <c r="FV38" s="367" t="s">
        <v>1909</v>
      </c>
      <c r="FW38" s="6">
        <v>127.1</v>
      </c>
      <c r="FX38" t="s">
        <v>1165</v>
      </c>
      <c r="GB38" s="347" t="s">
        <v>1971</v>
      </c>
      <c r="GC38" s="348"/>
      <c r="GH38" s="367" t="s">
        <v>2026</v>
      </c>
      <c r="GI38" s="6">
        <v>100</v>
      </c>
      <c r="GJ38" s="260"/>
      <c r="GK38" s="285"/>
      <c r="GN38" s="344" t="s">
        <v>2040</v>
      </c>
      <c r="GO38">
        <v>12.84</v>
      </c>
      <c r="GP38" s="260" t="s">
        <v>2200</v>
      </c>
      <c r="GQ38">
        <f>GU16</f>
        <v>84250</v>
      </c>
      <c r="GT38" s="406">
        <v>5</v>
      </c>
      <c r="GU38" s="347" t="s">
        <v>2105</v>
      </c>
      <c r="GZ38" s="344" t="s">
        <v>1421</v>
      </c>
      <c r="HA38">
        <v>49.98</v>
      </c>
      <c r="HB38" t="s">
        <v>514</v>
      </c>
      <c r="HF38" s="411" t="s">
        <v>2149</v>
      </c>
      <c r="HG38" s="349">
        <v>17367.45</v>
      </c>
      <c r="HH38" t="s">
        <v>1165</v>
      </c>
      <c r="HR38" s="422">
        <v>20</v>
      </c>
      <c r="HS38" s="347" t="s">
        <v>2244</v>
      </c>
      <c r="HT38" t="s">
        <v>514</v>
      </c>
      <c r="HX38" s="422">
        <v>40</v>
      </c>
      <c r="HY38" s="347" t="s">
        <v>2339</v>
      </c>
      <c r="HZ38" s="413" t="s">
        <v>2281</v>
      </c>
      <c r="IA38" s="486">
        <v>21.35</v>
      </c>
      <c r="IC38" s="540"/>
      <c r="ID38" s="425">
        <v>28.33</v>
      </c>
      <c r="IE38" s="9"/>
      <c r="IH38" s="415"/>
      <c r="IJ38" s="9" t="s">
        <v>2214</v>
      </c>
      <c r="IK38" s="9">
        <v>810</v>
      </c>
      <c r="IN38" s="344" t="s">
        <v>2182</v>
      </c>
      <c r="IO38">
        <f>SUM(IQ21:IQ32)</f>
        <v>464.31</v>
      </c>
      <c r="IP38" s="422">
        <v>35</v>
      </c>
      <c r="IQ38" s="589" t="s">
        <v>2506</v>
      </c>
      <c r="IV38" s="549" t="s">
        <v>2672</v>
      </c>
      <c r="IW38" s="579">
        <v>28.77</v>
      </c>
      <c r="JB38" s="549"/>
      <c r="JC38" s="579"/>
    </row>
    <row r="39" spans="1:263" x14ac:dyDescent="0.2">
      <c r="Q39" s="202" t="s">
        <v>1024</v>
      </c>
      <c r="R39" s="145">
        <v>700</v>
      </c>
      <c r="AO39" s="258" t="s">
        <v>1143</v>
      </c>
      <c r="AP39" s="145">
        <v>111</v>
      </c>
      <c r="AU39" s="145" t="s">
        <v>1187</v>
      </c>
      <c r="AV39" s="145">
        <v>134</v>
      </c>
      <c r="BQ39" s="223" t="s">
        <v>1192</v>
      </c>
      <c r="BR39" s="223">
        <v>150</v>
      </c>
      <c r="CC39" s="223" t="s">
        <v>1296</v>
      </c>
      <c r="CD39" s="223">
        <f>6.8+82.4</f>
        <v>89.2</v>
      </c>
      <c r="CI39" s="223" t="s">
        <v>1299</v>
      </c>
      <c r="CJ39" s="223">
        <v>25</v>
      </c>
      <c r="CO39" s="223" t="s">
        <v>1338</v>
      </c>
      <c r="CP39" s="223">
        <v>74.8</v>
      </c>
      <c r="CU39" s="223" t="s">
        <v>1364</v>
      </c>
      <c r="CV39" s="223">
        <f>50+10</f>
        <v>60</v>
      </c>
      <c r="CW39" s="295"/>
      <c r="DA39" s="223" t="s">
        <v>1413</v>
      </c>
      <c r="DB39" s="223">
        <v>40.6</v>
      </c>
      <c r="DC39" s="145"/>
      <c r="DG39" s="302" t="s">
        <v>1424</v>
      </c>
      <c r="DH39" s="286">
        <v>28</v>
      </c>
      <c r="DI39" s="260" t="s">
        <v>1285</v>
      </c>
      <c r="DJ39" s="279">
        <v>-20000</v>
      </c>
      <c r="DM39" s="323">
        <v>200</v>
      </c>
      <c r="DN39" s="311"/>
      <c r="DO39" t="s">
        <v>1165</v>
      </c>
      <c r="DS39" s="321" t="s">
        <v>1617</v>
      </c>
      <c r="DT39" s="322"/>
      <c r="DU39" t="s">
        <v>1165</v>
      </c>
      <c r="DY39" t="s">
        <v>1626</v>
      </c>
      <c r="DZ39">
        <v>34</v>
      </c>
      <c r="EE39" t="s">
        <v>1444</v>
      </c>
      <c r="EF39">
        <v>40</v>
      </c>
      <c r="EH39" s="295"/>
      <c r="EL39" s="63" t="s">
        <v>1690</v>
      </c>
      <c r="EM39" s="63"/>
      <c r="ER39" s="6" t="s">
        <v>1730</v>
      </c>
      <c r="ES39" s="210">
        <f>710+22</f>
        <v>732</v>
      </c>
      <c r="ET39" t="s">
        <v>1165</v>
      </c>
      <c r="EX39" s="6" t="s">
        <v>1740</v>
      </c>
      <c r="EY39" s="1">
        <v>4.83</v>
      </c>
      <c r="EZ39" t="s">
        <v>1558</v>
      </c>
      <c r="FD39" s="6" t="s">
        <v>1781</v>
      </c>
      <c r="FE39" s="1">
        <v>78.69</v>
      </c>
      <c r="FF39" s="260" t="s">
        <v>1791</v>
      </c>
      <c r="FG39" s="78">
        <v>136</v>
      </c>
      <c r="FJ39" s="367" t="s">
        <v>1635</v>
      </c>
      <c r="FK39" s="6">
        <v>87.09</v>
      </c>
      <c r="FL39" s="260" t="s">
        <v>1776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1925</v>
      </c>
      <c r="FW39" s="6">
        <v>8.5299999999999994</v>
      </c>
      <c r="FX39" t="s">
        <v>1050</v>
      </c>
      <c r="GB39" s="347" t="s">
        <v>1981</v>
      </c>
      <c r="GC39" s="348"/>
      <c r="GH39" s="367" t="s">
        <v>2007</v>
      </c>
      <c r="GI39">
        <v>70</v>
      </c>
      <c r="GJ39" t="s">
        <v>514</v>
      </c>
      <c r="GN39" s="344" t="s">
        <v>2057</v>
      </c>
      <c r="GO39">
        <v>26</v>
      </c>
      <c r="GP39" s="260" t="s">
        <v>2201</v>
      </c>
      <c r="GQ39" s="285">
        <v>45000</v>
      </c>
      <c r="GT39" s="406">
        <v>20</v>
      </c>
      <c r="GU39" s="347" t="s">
        <v>2108</v>
      </c>
      <c r="GZ39" s="344" t="s">
        <v>2131</v>
      </c>
      <c r="HA39">
        <f>36.3+3.2+61.6</f>
        <v>101.1</v>
      </c>
      <c r="HB39" t="s">
        <v>1691</v>
      </c>
      <c r="HF39" s="411" t="s">
        <v>2163</v>
      </c>
      <c r="HG39" s="351">
        <v>88</v>
      </c>
      <c r="HH39" t="s">
        <v>1050</v>
      </c>
      <c r="HL39" s="411"/>
      <c r="HM39" s="351"/>
      <c r="HR39" s="411" t="s">
        <v>2252</v>
      </c>
      <c r="HS39" s="423">
        <v>9.9</v>
      </c>
      <c r="HT39" t="s">
        <v>93</v>
      </c>
      <c r="HX39" s="422">
        <v>40</v>
      </c>
      <c r="HY39" s="347" t="s">
        <v>2309</v>
      </c>
      <c r="HZ39" s="260" t="s">
        <v>2311</v>
      </c>
      <c r="IA39" s="285">
        <v>125.91</v>
      </c>
      <c r="ID39" s="399" t="s">
        <v>1428</v>
      </c>
      <c r="IE39" s="421">
        <f>IA28+IC41-IG23</f>
        <v>175</v>
      </c>
      <c r="IH39" s="415"/>
      <c r="IJ39" s="399" t="s">
        <v>1428</v>
      </c>
      <c r="IK39" s="421">
        <f>IG23+II48-IM23</f>
        <v>230</v>
      </c>
      <c r="IP39" s="422">
        <v>7.9</v>
      </c>
      <c r="IQ39" s="589" t="s">
        <v>2507</v>
      </c>
      <c r="IV39" s="413"/>
      <c r="IW39" s="579"/>
      <c r="JB39" s="413"/>
      <c r="JC39" s="579"/>
    </row>
    <row r="40" spans="1:263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1109</v>
      </c>
      <c r="X40" s="145">
        <f>110.35+107.59-8.62-14.01</f>
        <v>195.31</v>
      </c>
      <c r="AO40" s="258" t="s">
        <v>1206</v>
      </c>
      <c r="AP40" s="145">
        <v>99.81</v>
      </c>
      <c r="AU40" s="145" t="s">
        <v>1186</v>
      </c>
      <c r="AV40" s="145">
        <v>-134</v>
      </c>
      <c r="BE40" s="145" t="s">
        <v>1189</v>
      </c>
      <c r="BF40" s="145">
        <v>200</v>
      </c>
      <c r="BW40" s="223" t="s">
        <v>1268</v>
      </c>
      <c r="BX40" s="223">
        <v>100</v>
      </c>
      <c r="CC40" s="223" t="s">
        <v>1301</v>
      </c>
      <c r="CD40" s="223">
        <v>0</v>
      </c>
      <c r="CI40" s="223" t="s">
        <v>1400</v>
      </c>
      <c r="CJ40" s="223">
        <v>102</v>
      </c>
      <c r="CO40" s="223" t="s">
        <v>1337</v>
      </c>
      <c r="CP40" s="223">
        <v>60.08</v>
      </c>
      <c r="CU40" s="223" t="s">
        <v>1358</v>
      </c>
      <c r="CV40" s="223">
        <v>80</v>
      </c>
      <c r="DA40" s="223" t="s">
        <v>1403</v>
      </c>
      <c r="DB40" s="223">
        <v>106.3</v>
      </c>
      <c r="DC40" s="295"/>
      <c r="DG40" s="302" t="s">
        <v>1447</v>
      </c>
      <c r="DH40" s="286">
        <v>32.200000000000003</v>
      </c>
      <c r="DI40" s="737" t="s">
        <v>1455</v>
      </c>
      <c r="DJ40" s="737"/>
      <c r="DM40" s="222" t="s">
        <v>1420</v>
      </c>
      <c r="DN40" s="311"/>
      <c r="DO40" s="260" t="s">
        <v>1050</v>
      </c>
      <c r="DS40" s="222" t="s">
        <v>1543</v>
      </c>
      <c r="DT40" s="311"/>
      <c r="DU40" s="260" t="s">
        <v>1050</v>
      </c>
      <c r="DY40" t="s">
        <v>1403</v>
      </c>
      <c r="DZ40">
        <v>15</v>
      </c>
      <c r="EL40" s="63"/>
      <c r="EM40" s="63"/>
      <c r="EN40" s="295"/>
      <c r="ER40" s="6" t="s">
        <v>1706</v>
      </c>
      <c r="ES40" s="210">
        <v>69</v>
      </c>
      <c r="ET40" t="s">
        <v>1050</v>
      </c>
      <c r="EX40" s="6" t="s">
        <v>1743</v>
      </c>
      <c r="EY40" s="6">
        <v>37.869999999999997</v>
      </c>
      <c r="EZ40" t="s">
        <v>93</v>
      </c>
      <c r="FD40" s="6" t="s">
        <v>1797</v>
      </c>
      <c r="FE40" t="s">
        <v>1798</v>
      </c>
      <c r="FF40" s="6" t="s">
        <v>1782</v>
      </c>
      <c r="FG40" s="6">
        <v>250</v>
      </c>
      <c r="FJ40" s="367" t="s">
        <v>1813</v>
      </c>
      <c r="FK40" s="1">
        <v>11.25</v>
      </c>
      <c r="FL40" s="260" t="s">
        <v>1826</v>
      </c>
      <c r="FM40" s="285">
        <v>101</v>
      </c>
      <c r="FP40" s="348" t="s">
        <v>1846</v>
      </c>
      <c r="FQ40" s="348"/>
      <c r="FR40" t="s">
        <v>1165</v>
      </c>
      <c r="FV40" s="367" t="s">
        <v>1945</v>
      </c>
      <c r="FW40" s="6">
        <v>184</v>
      </c>
      <c r="GB40" s="347" t="s">
        <v>1982</v>
      </c>
      <c r="GC40" s="348"/>
      <c r="GH40" s="367" t="s">
        <v>2027</v>
      </c>
      <c r="GI40" s="6">
        <v>190</v>
      </c>
      <c r="GJ40" t="s">
        <v>1691</v>
      </c>
      <c r="GN40" s="344" t="s">
        <v>2050</v>
      </c>
      <c r="GO40">
        <v>12</v>
      </c>
      <c r="GP40" s="260" t="s">
        <v>1852</v>
      </c>
      <c r="GQ40" s="285">
        <v>1000</v>
      </c>
      <c r="GT40" s="406">
        <v>6</v>
      </c>
      <c r="GU40" s="347" t="s">
        <v>2106</v>
      </c>
      <c r="GV40" t="s">
        <v>486</v>
      </c>
      <c r="GZ40" s="344" t="s">
        <v>2198</v>
      </c>
      <c r="HA40">
        <v>84.3</v>
      </c>
      <c r="HB40" t="s">
        <v>93</v>
      </c>
      <c r="HF40" s="411" t="s">
        <v>2150</v>
      </c>
      <c r="HG40" s="351">
        <v>9.2200000000000006</v>
      </c>
      <c r="HR40" s="411" t="s">
        <v>2271</v>
      </c>
      <c r="HS40" s="351">
        <v>10.57</v>
      </c>
      <c r="HX40" s="422">
        <v>20</v>
      </c>
      <c r="HY40" s="347" t="s">
        <v>2335</v>
      </c>
      <c r="ID40" s="422">
        <v>70</v>
      </c>
      <c r="IE40" s="347" t="s">
        <v>2244</v>
      </c>
      <c r="IH40" s="697" t="s">
        <v>2188</v>
      </c>
      <c r="II40" s="697"/>
      <c r="IJ40" s="422">
        <v>20</v>
      </c>
      <c r="IK40" s="347" t="s">
        <v>2444</v>
      </c>
      <c r="IN40" s="347" t="s">
        <v>2585</v>
      </c>
      <c r="IO40" s="360">
        <f>100+400+100+100</f>
        <v>700</v>
      </c>
      <c r="IP40" s="422">
        <v>6</v>
      </c>
      <c r="IQ40" s="589" t="s">
        <v>2244</v>
      </c>
      <c r="IV40" s="413"/>
      <c r="IW40" s="579"/>
      <c r="JB40" s="413"/>
      <c r="JC40" s="579"/>
    </row>
    <row r="41" spans="1:263" x14ac:dyDescent="0.2">
      <c r="K41" s="202" t="s">
        <v>1024</v>
      </c>
      <c r="L41" s="145">
        <v>300.01</v>
      </c>
      <c r="W41" s="145" t="s">
        <v>1086</v>
      </c>
      <c r="X41" s="145">
        <v>159</v>
      </c>
      <c r="AO41" s="258" t="s">
        <v>1207</v>
      </c>
      <c r="AP41" s="145">
        <v>-99.81</v>
      </c>
      <c r="BE41" s="145" t="s">
        <v>1183</v>
      </c>
      <c r="BF41" s="145">
        <v>400</v>
      </c>
      <c r="BW41" s="223" t="s">
        <v>1183</v>
      </c>
      <c r="BX41" s="223">
        <v>400</v>
      </c>
      <c r="CC41" s="223" t="s">
        <v>1295</v>
      </c>
      <c r="CD41" s="223">
        <v>320</v>
      </c>
      <c r="CI41" s="223" t="s">
        <v>1356</v>
      </c>
      <c r="CJ41" s="223">
        <v>50</v>
      </c>
      <c r="CO41" s="223" t="s">
        <v>1377</v>
      </c>
      <c r="CP41" s="223">
        <v>200</v>
      </c>
      <c r="CU41" s="223" t="s">
        <v>1356</v>
      </c>
      <c r="CV41" s="223">
        <v>100</v>
      </c>
      <c r="DA41" s="223" t="s">
        <v>1398</v>
      </c>
      <c r="DB41" s="223">
        <v>296.14</v>
      </c>
      <c r="DG41" s="302" t="s">
        <v>1494</v>
      </c>
      <c r="DH41" s="286">
        <v>40</v>
      </c>
      <c r="DI41" s="297" t="s">
        <v>1503</v>
      </c>
      <c r="DJ41" s="297">
        <v>200</v>
      </c>
      <c r="DM41" s="222" t="s">
        <v>1540</v>
      </c>
      <c r="DN41" s="311"/>
      <c r="DS41" s="222" t="s">
        <v>1552</v>
      </c>
      <c r="DT41" s="311"/>
      <c r="EL41" t="s">
        <v>1666</v>
      </c>
      <c r="EM41">
        <v>59.7</v>
      </c>
      <c r="ER41" s="1" t="s">
        <v>1693</v>
      </c>
      <c r="ES41" s="327">
        <v>18</v>
      </c>
      <c r="EX41" s="6" t="s">
        <v>1766</v>
      </c>
      <c r="EY41" s="6">
        <v>761</v>
      </c>
      <c r="EZ41" t="s">
        <v>1165</v>
      </c>
      <c r="FD41" s="6"/>
      <c r="FE41" s="6"/>
      <c r="FF41" s="6"/>
      <c r="FG41" s="6"/>
      <c r="FJ41" s="6"/>
      <c r="FK41" s="6"/>
      <c r="FL41" s="260"/>
      <c r="FM41" s="285"/>
      <c r="FP41" s="347" t="s">
        <v>1875</v>
      </c>
      <c r="FQ41" s="348"/>
      <c r="FR41" t="s">
        <v>1050</v>
      </c>
      <c r="FV41" s="367" t="s">
        <v>1952</v>
      </c>
      <c r="FW41" s="6">
        <v>80</v>
      </c>
      <c r="GB41" s="6" t="s">
        <v>1969</v>
      </c>
      <c r="GC41">
        <v>80</v>
      </c>
      <c r="GH41" s="367" t="s">
        <v>2006</v>
      </c>
      <c r="GI41" s="6">
        <v>1100</v>
      </c>
      <c r="GJ41" t="s">
        <v>93</v>
      </c>
      <c r="GN41" s="344" t="s">
        <v>2048</v>
      </c>
      <c r="GO41">
        <f>76+25.2</f>
        <v>101.2</v>
      </c>
      <c r="GP41" s="260" t="s">
        <v>2322</v>
      </c>
      <c r="GQ41" s="285"/>
      <c r="GT41" s="406">
        <v>6</v>
      </c>
      <c r="GU41" s="347" t="s">
        <v>2125</v>
      </c>
      <c r="GV41" s="295"/>
      <c r="GZ41" s="399" t="s">
        <v>1764</v>
      </c>
      <c r="HA41" s="63"/>
      <c r="HB41" t="s">
        <v>1165</v>
      </c>
      <c r="HF41" s="215" t="s">
        <v>2180</v>
      </c>
      <c r="HG41" s="215">
        <v>440</v>
      </c>
      <c r="HR41" s="411" t="s">
        <v>2304</v>
      </c>
      <c r="HS41" s="351">
        <v>65.7</v>
      </c>
      <c r="HX41" s="422">
        <v>45</v>
      </c>
      <c r="HY41" s="347" t="s">
        <v>2334</v>
      </c>
      <c r="IB41" s="347" t="s">
        <v>2366</v>
      </c>
      <c r="IC41" s="360">
        <v>205</v>
      </c>
      <c r="ID41" s="422">
        <v>15</v>
      </c>
      <c r="IE41" s="347" t="s">
        <v>2352</v>
      </c>
      <c r="IH41" s="358" t="s">
        <v>1976</v>
      </c>
      <c r="II41" s="293">
        <f>SUM(IK7:IK9)</f>
        <v>1946.12</v>
      </c>
      <c r="IJ41" s="422">
        <v>40</v>
      </c>
      <c r="IK41" s="347" t="s">
        <v>2419</v>
      </c>
      <c r="IP41" s="422">
        <v>30</v>
      </c>
      <c r="IQ41" s="589" t="s">
        <v>2511</v>
      </c>
      <c r="IV41" s="413"/>
      <c r="IW41" s="579"/>
      <c r="JB41" s="413"/>
      <c r="JC41" s="579"/>
    </row>
    <row r="42" spans="1:263" x14ac:dyDescent="0.2">
      <c r="K42" s="203" t="s">
        <v>1040</v>
      </c>
      <c r="L42" s="145">
        <v>100</v>
      </c>
      <c r="AO42" s="258" t="s">
        <v>1132</v>
      </c>
      <c r="AP42" s="145">
        <v>54</v>
      </c>
      <c r="AU42" s="145" t="s">
        <v>1172</v>
      </c>
      <c r="AV42" s="145">
        <v>180</v>
      </c>
      <c r="BE42" s="145" t="s">
        <v>1192</v>
      </c>
      <c r="BF42" s="145">
        <v>300</v>
      </c>
      <c r="BW42" s="223" t="s">
        <v>1192</v>
      </c>
      <c r="BX42" s="223">
        <v>150</v>
      </c>
      <c r="CC42" s="223" t="s">
        <v>1183</v>
      </c>
      <c r="CD42" s="223">
        <v>500</v>
      </c>
      <c r="CI42" s="223" t="s">
        <v>1332</v>
      </c>
      <c r="CJ42" s="223">
        <v>0</v>
      </c>
      <c r="CO42" s="223" t="s">
        <v>1183</v>
      </c>
      <c r="CP42" s="223">
        <v>500</v>
      </c>
      <c r="CU42" s="223" t="s">
        <v>1355</v>
      </c>
      <c r="CV42" s="223">
        <v>30</v>
      </c>
      <c r="DA42" s="223" t="s">
        <v>1399</v>
      </c>
      <c r="DB42" s="223">
        <v>127.5</v>
      </c>
      <c r="DG42" s="302" t="s">
        <v>1469</v>
      </c>
      <c r="DH42" s="286">
        <v>65.319999999999993</v>
      </c>
      <c r="DI42" s="297" t="s">
        <v>1460</v>
      </c>
      <c r="DJ42" s="298" t="s">
        <v>1498</v>
      </c>
      <c r="DM42" s="222" t="s">
        <v>1530</v>
      </c>
      <c r="DN42" s="311"/>
      <c r="DP42"/>
      <c r="DS42" s="222" t="s">
        <v>1573</v>
      </c>
      <c r="DT42" s="311"/>
      <c r="DY42" t="s">
        <v>1588</v>
      </c>
      <c r="DZ42">
        <v>734.46</v>
      </c>
      <c r="EL42" s="6" t="s">
        <v>1673</v>
      </c>
      <c r="EM42" s="1">
        <v>29.9</v>
      </c>
      <c r="ER42" s="6" t="s">
        <v>1710</v>
      </c>
      <c r="ES42" s="145">
        <f>11.88+1.49+3.62</f>
        <v>16.990000000000002</v>
      </c>
      <c r="EX42" s="6" t="s">
        <v>1763</v>
      </c>
      <c r="EY42" s="6">
        <f>560-555.22</f>
        <v>4.7799999999999727</v>
      </c>
      <c r="EZ42" t="s">
        <v>1050</v>
      </c>
      <c r="FD42" t="s">
        <v>1588</v>
      </c>
      <c r="FE42" s="1">
        <v>790</v>
      </c>
      <c r="FF42" t="s">
        <v>514</v>
      </c>
      <c r="FJ42" t="s">
        <v>1588</v>
      </c>
      <c r="FK42" s="1">
        <v>990</v>
      </c>
      <c r="FL42" s="260"/>
      <c r="FM42" s="285"/>
      <c r="FP42" s="347" t="s">
        <v>1845</v>
      </c>
      <c r="FQ42" s="348"/>
      <c r="FV42" s="367" t="s">
        <v>1958</v>
      </c>
      <c r="FW42" s="6">
        <v>4.5999999999999996</v>
      </c>
      <c r="GB42" s="367" t="s">
        <v>1973</v>
      </c>
      <c r="GC42" s="6">
        <v>11</v>
      </c>
      <c r="GH42" s="367" t="s">
        <v>2004</v>
      </c>
      <c r="GI42" s="6">
        <v>43</v>
      </c>
      <c r="GJ42" t="s">
        <v>1165</v>
      </c>
      <c r="GN42" s="399" t="s">
        <v>1764</v>
      </c>
      <c r="GO42" s="63"/>
      <c r="GP42" t="s">
        <v>1691</v>
      </c>
      <c r="GT42" s="406">
        <v>30</v>
      </c>
      <c r="GU42" s="347" t="s">
        <v>2107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2232</v>
      </c>
      <c r="HS42" s="351">
        <v>2.54</v>
      </c>
      <c r="HX42" s="411" t="s">
        <v>2307</v>
      </c>
      <c r="HY42" s="351">
        <v>98.89</v>
      </c>
      <c r="HZ42" t="s">
        <v>514</v>
      </c>
      <c r="ID42" s="422">
        <v>10</v>
      </c>
      <c r="IE42" s="347" t="s">
        <v>2386</v>
      </c>
      <c r="IH42" s="252" t="s">
        <v>1977</v>
      </c>
      <c r="II42" s="293">
        <f>SUM(IK14:IK15)</f>
        <v>1933.7466666666667</v>
      </c>
      <c r="IJ42" s="422">
        <v>10</v>
      </c>
      <c r="IK42" s="347" t="s">
        <v>2442</v>
      </c>
      <c r="IP42" s="422">
        <v>20</v>
      </c>
      <c r="IQ42" s="589" t="s">
        <v>2580</v>
      </c>
      <c r="IV42" s="633"/>
      <c r="IW42" s="635"/>
      <c r="JB42" s="633"/>
      <c r="JC42" s="635"/>
    </row>
    <row r="43" spans="1:263" x14ac:dyDescent="0.2">
      <c r="W43" s="202" t="s">
        <v>1024</v>
      </c>
      <c r="X43" s="145">
        <v>600</v>
      </c>
      <c r="AO43" s="258" t="s">
        <v>1126</v>
      </c>
      <c r="AP43" s="145">
        <v>95</v>
      </c>
      <c r="AU43" s="145" t="s">
        <v>1188</v>
      </c>
      <c r="AV43" s="145">
        <v>-180</v>
      </c>
      <c r="CC43" s="223" t="s">
        <v>1192</v>
      </c>
      <c r="CD43" s="223">
        <v>150</v>
      </c>
      <c r="CI43" s="223" t="s">
        <v>1322</v>
      </c>
      <c r="CJ43" s="223">
        <v>300</v>
      </c>
      <c r="CO43" s="223" t="s">
        <v>1192</v>
      </c>
      <c r="CP43" s="223">
        <v>400</v>
      </c>
      <c r="CU43" s="223" t="s">
        <v>1183</v>
      </c>
      <c r="CV43" s="223">
        <v>500</v>
      </c>
      <c r="DA43" s="223" t="s">
        <v>1397</v>
      </c>
      <c r="DB43" s="223">
        <v>114.55</v>
      </c>
      <c r="DG43" s="302" t="s">
        <v>1448</v>
      </c>
      <c r="DH43" s="286">
        <v>95</v>
      </c>
      <c r="DI43" s="297" t="s">
        <v>1497</v>
      </c>
      <c r="DJ43" s="298" t="s">
        <v>1498</v>
      </c>
      <c r="DL43" s="6"/>
      <c r="DM43" s="222" t="s">
        <v>1531</v>
      </c>
      <c r="DN43" s="311"/>
      <c r="DO43" s="1"/>
      <c r="DP43" s="109">
        <f>-DP11</f>
        <v>2524</v>
      </c>
      <c r="DR43" s="6"/>
      <c r="DS43" s="222" t="s">
        <v>1610</v>
      </c>
      <c r="DT43" s="311"/>
      <c r="DU43" s="145"/>
      <c r="DY43" t="s">
        <v>1630</v>
      </c>
      <c r="EA43" s="145" t="s">
        <v>1641</v>
      </c>
      <c r="EL43" s="6" t="s">
        <v>1676</v>
      </c>
      <c r="EM43" s="6">
        <v>35.799999999999997</v>
      </c>
      <c r="ER43" s="6" t="s">
        <v>1712</v>
      </c>
      <c r="ES43" s="145">
        <v>69.7</v>
      </c>
      <c r="EX43" s="6" t="s">
        <v>1755</v>
      </c>
      <c r="EY43" s="6">
        <v>8.64</v>
      </c>
      <c r="FD43" t="s">
        <v>1805</v>
      </c>
      <c r="FE43" s="6"/>
      <c r="FF43" t="s">
        <v>1691</v>
      </c>
      <c r="FJ43" t="s">
        <v>1832</v>
      </c>
      <c r="FK43" s="6"/>
      <c r="FL43" s="6"/>
      <c r="FP43" s="347" t="s">
        <v>1847</v>
      </c>
      <c r="FQ43" s="348"/>
      <c r="FX43" s="295"/>
      <c r="GB43" s="367" t="s">
        <v>1978</v>
      </c>
      <c r="GC43" s="6">
        <v>20</v>
      </c>
      <c r="GD43" s="295"/>
      <c r="GH43" s="367" t="s">
        <v>2018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2084</v>
      </c>
      <c r="GU43" s="6">
        <v>70</v>
      </c>
      <c r="GZ43" s="348" t="s">
        <v>2119</v>
      </c>
      <c r="HA43" s="361">
        <f>GW16+GZ42-HC17</f>
        <v>134</v>
      </c>
      <c r="HF43" t="s">
        <v>2103</v>
      </c>
      <c r="HG43" s="6">
        <v>90</v>
      </c>
      <c r="HX43" s="662" t="s">
        <v>2354</v>
      </c>
      <c r="HY43" s="662"/>
      <c r="HZ43" t="s">
        <v>93</v>
      </c>
      <c r="ID43" s="422">
        <f>20+9</f>
        <v>29</v>
      </c>
      <c r="IE43" s="347" t="s">
        <v>2402</v>
      </c>
      <c r="IH43" s="369" t="s">
        <v>1409</v>
      </c>
      <c r="II43">
        <f>SUM(IK10:IK11)</f>
        <v>3467.75</v>
      </c>
      <c r="IJ43" s="422">
        <v>20</v>
      </c>
      <c r="IK43" s="347" t="s">
        <v>2467</v>
      </c>
      <c r="IO43" s="539"/>
      <c r="IP43" s="422">
        <v>12</v>
      </c>
      <c r="IQ43" s="589" t="s">
        <v>2524</v>
      </c>
      <c r="IV43" s="207"/>
      <c r="IW43" s="364"/>
      <c r="JB43" s="207"/>
      <c r="JC43" s="364"/>
    </row>
    <row r="44" spans="1:263" x14ac:dyDescent="0.2">
      <c r="W44" s="203" t="s">
        <v>1040</v>
      </c>
      <c r="X44" s="145">
        <v>100</v>
      </c>
      <c r="AU44" s="145" t="s">
        <v>1182</v>
      </c>
      <c r="AV44" s="145">
        <f>53+76.3</f>
        <v>129.30000000000001</v>
      </c>
      <c r="CI44" s="223" t="s">
        <v>1183</v>
      </c>
      <c r="CJ44" s="223">
        <v>400</v>
      </c>
      <c r="CO44" s="223" t="s">
        <v>1376</v>
      </c>
      <c r="CU44" s="223" t="s">
        <v>1192</v>
      </c>
      <c r="CV44" s="223">
        <v>200</v>
      </c>
      <c r="DA44" s="223" t="s">
        <v>1183</v>
      </c>
      <c r="DB44" s="223">
        <v>700</v>
      </c>
      <c r="DG44" s="308" t="s">
        <v>1426</v>
      </c>
      <c r="DH44" s="310">
        <v>350</v>
      </c>
      <c r="DJ44" s="84"/>
      <c r="DL44" s="6"/>
      <c r="DM44" s="210" t="s">
        <v>1509</v>
      </c>
      <c r="DN44" s="286">
        <v>22.9</v>
      </c>
      <c r="DO44" s="1"/>
      <c r="DP44" s="109">
        <v>34.799999999999997</v>
      </c>
      <c r="DR44" s="6"/>
      <c r="DS44" s="222" t="s">
        <v>1600</v>
      </c>
      <c r="DT44" s="311"/>
      <c r="DU44" s="295"/>
      <c r="DY44" t="s">
        <v>1444</v>
      </c>
      <c r="DZ44">
        <v>70</v>
      </c>
      <c r="EL44" t="s">
        <v>1669</v>
      </c>
      <c r="EM44">
        <v>19.899999999999999</v>
      </c>
      <c r="EN44" s="145"/>
      <c r="ET44" s="295"/>
      <c r="EX44" s="6" t="s">
        <v>1757</v>
      </c>
      <c r="EY44" s="6">
        <f>7.3+13+10.5+10.8</f>
        <v>41.6</v>
      </c>
      <c r="FD44" t="s">
        <v>1444</v>
      </c>
      <c r="FE44">
        <v>30</v>
      </c>
      <c r="FF44" t="s">
        <v>1558</v>
      </c>
      <c r="FJ44" t="s">
        <v>1444</v>
      </c>
      <c r="FK44">
        <v>80</v>
      </c>
      <c r="FL44" s="6"/>
      <c r="FP44" s="6" t="s">
        <v>1840</v>
      </c>
      <c r="FQ44">
        <v>24</v>
      </c>
      <c r="FV44" t="s">
        <v>1588</v>
      </c>
      <c r="FW44" s="1">
        <v>646</v>
      </c>
      <c r="GB44" s="367" t="s">
        <v>1989</v>
      </c>
      <c r="GC44" s="6">
        <v>20</v>
      </c>
      <c r="GN44" s="348" t="s">
        <v>2064</v>
      </c>
      <c r="GO44" s="361">
        <f>GK17+GN43-GQ17</f>
        <v>104</v>
      </c>
      <c r="GP44" t="s">
        <v>1165</v>
      </c>
      <c r="GT44" s="367" t="s">
        <v>2102</v>
      </c>
      <c r="GU44" s="6">
        <v>29.6</v>
      </c>
      <c r="GZ44" s="405">
        <v>60</v>
      </c>
      <c r="HA44" s="347" t="s">
        <v>1845</v>
      </c>
      <c r="HX44" s="662"/>
      <c r="HY44" s="662"/>
      <c r="ID44" s="260" t="s">
        <v>2413</v>
      </c>
      <c r="IE44" s="351">
        <v>23</v>
      </c>
      <c r="IH44" s="353" t="s">
        <v>2183</v>
      </c>
      <c r="II44">
        <f>SUM(IK12:IK13)</f>
        <v>2138.0500000000002</v>
      </c>
      <c r="IJ44" s="422">
        <v>5</v>
      </c>
      <c r="IK44" s="347" t="s">
        <v>2446</v>
      </c>
      <c r="IO44" s="539"/>
      <c r="IP44" s="422">
        <v>20</v>
      </c>
      <c r="IQ44" s="589" t="s">
        <v>2244</v>
      </c>
      <c r="IV44" s="207"/>
      <c r="IW44" s="207"/>
      <c r="JB44" s="207"/>
      <c r="JC44" s="207"/>
    </row>
    <row r="45" spans="1:263" x14ac:dyDescent="0.2">
      <c r="AO45" s="145" t="s">
        <v>1123</v>
      </c>
      <c r="AP45" s="145">
        <f>129-18</f>
        <v>111</v>
      </c>
      <c r="AU45" s="145" t="s">
        <v>1161</v>
      </c>
      <c r="AV45" s="145">
        <v>25</v>
      </c>
      <c r="CI45" s="223" t="s">
        <v>1192</v>
      </c>
      <c r="CJ45" s="223">
        <v>150</v>
      </c>
      <c r="CU45" s="223" t="s">
        <v>1372</v>
      </c>
      <c r="DG45" s="222" t="s">
        <v>1495</v>
      </c>
      <c r="DH45" s="311"/>
      <c r="DI45" s="60" t="s">
        <v>514</v>
      </c>
      <c r="DL45" s="6"/>
      <c r="DM45" s="210" t="s">
        <v>1527</v>
      </c>
      <c r="DN45" s="286">
        <v>36.299999999999997</v>
      </c>
      <c r="DO45" s="1"/>
      <c r="DP45" s="109">
        <v>1.93</v>
      </c>
      <c r="DR45" s="6"/>
      <c r="DS45" s="222" t="s">
        <v>1601</v>
      </c>
      <c r="DT45" s="311"/>
      <c r="EL45" s="6" t="s">
        <v>1678</v>
      </c>
      <c r="EM45" s="6">
        <v>29</v>
      </c>
      <c r="ER45" t="s">
        <v>1588</v>
      </c>
      <c r="ES45" s="327">
        <v>840</v>
      </c>
      <c r="EX45" s="6" t="s">
        <v>1758</v>
      </c>
      <c r="EY45" s="6">
        <v>15.19</v>
      </c>
      <c r="FF45" t="s">
        <v>93</v>
      </c>
      <c r="FL45" t="s">
        <v>514</v>
      </c>
      <c r="FP45" s="1" t="s">
        <v>1358</v>
      </c>
      <c r="FQ45" s="1">
        <v>50</v>
      </c>
      <c r="FR45" s="295"/>
      <c r="FV45" t="s">
        <v>1960</v>
      </c>
      <c r="FW45" s="6"/>
      <c r="GB45" s="367" t="s">
        <v>1984</v>
      </c>
      <c r="GC45" s="6">
        <v>30.35</v>
      </c>
      <c r="GH45" t="s">
        <v>1588</v>
      </c>
      <c r="GI45" s="1">
        <v>638</v>
      </c>
      <c r="GN45" s="347" t="s">
        <v>2041</v>
      </c>
      <c r="GO45" s="348"/>
      <c r="GP45" t="s">
        <v>1050</v>
      </c>
      <c r="GT45" s="367" t="s">
        <v>2081</v>
      </c>
      <c r="GU45" s="6">
        <v>32.1</v>
      </c>
      <c r="GZ45" s="406">
        <v>20</v>
      </c>
      <c r="HA45" s="347" t="s">
        <v>2165</v>
      </c>
      <c r="HX45" s="219" t="s">
        <v>2348</v>
      </c>
      <c r="HY45">
        <f>40+150</f>
        <v>190</v>
      </c>
      <c r="ID45" s="413" t="s">
        <v>2369</v>
      </c>
      <c r="IE45">
        <v>54.8</v>
      </c>
      <c r="IH45" s="352" t="s">
        <v>2184</v>
      </c>
      <c r="II45" s="424">
        <f>SUM(IK16:IK23)</f>
        <v>1252.2433333333333</v>
      </c>
      <c r="IJ45" s="422">
        <v>7</v>
      </c>
      <c r="IK45" s="347" t="s">
        <v>2463</v>
      </c>
      <c r="IO45" s="540"/>
      <c r="IP45" s="360">
        <v>10</v>
      </c>
      <c r="IQ45" s="589" t="s">
        <v>2534</v>
      </c>
      <c r="IV45" s="411"/>
      <c r="IW45" s="207"/>
      <c r="JB45" s="411"/>
      <c r="JC45" s="207"/>
    </row>
    <row r="46" spans="1:263" x14ac:dyDescent="0.2">
      <c r="AO46" s="145" t="s">
        <v>1125</v>
      </c>
      <c r="AP46" s="145">
        <v>25</v>
      </c>
      <c r="BX46" s="268"/>
      <c r="CD46" s="268"/>
      <c r="CJ46" s="268"/>
      <c r="DG46" s="222" t="s">
        <v>1449</v>
      </c>
      <c r="DH46" s="311"/>
      <c r="DI46" s="60" t="s">
        <v>1004</v>
      </c>
      <c r="DJ46" s="289"/>
      <c r="DL46" s="6"/>
      <c r="DM46" s="210" t="s">
        <v>1526</v>
      </c>
      <c r="DN46" s="286">
        <v>50</v>
      </c>
      <c r="DO46" s="1"/>
      <c r="DP46" s="109">
        <v>64</v>
      </c>
      <c r="DR46" s="6"/>
      <c r="DS46" s="222"/>
      <c r="DT46" s="311"/>
      <c r="ER46" t="s">
        <v>1731</v>
      </c>
      <c r="ES46" s="210"/>
      <c r="EX46" s="6"/>
      <c r="EY46" s="6"/>
      <c r="EZ46" s="295"/>
      <c r="FC46" s="52"/>
      <c r="FF46" t="s">
        <v>1165</v>
      </c>
      <c r="FL46" t="s">
        <v>1691</v>
      </c>
      <c r="FP46" s="367" t="s">
        <v>1844</v>
      </c>
      <c r="FQ46" s="1">
        <v>4.41</v>
      </c>
      <c r="FV46" t="s">
        <v>1912</v>
      </c>
      <c r="FW46">
        <v>52.15</v>
      </c>
      <c r="GH46" t="s">
        <v>2028</v>
      </c>
      <c r="GI46" s="6"/>
      <c r="GJ46" t="s">
        <v>486</v>
      </c>
      <c r="GN46" s="347" t="s">
        <v>2062</v>
      </c>
      <c r="GO46" s="348"/>
      <c r="GT46" s="367" t="s">
        <v>1509</v>
      </c>
      <c r="GU46">
        <v>2.66</v>
      </c>
      <c r="GZ46" s="406">
        <v>30</v>
      </c>
      <c r="HA46" s="347" t="s">
        <v>2124</v>
      </c>
      <c r="HB46" s="295"/>
      <c r="HX46" s="664" t="s">
        <v>2315</v>
      </c>
      <c r="HY46" s="351">
        <v>150</v>
      </c>
      <c r="ID46" s="413" t="s">
        <v>1673</v>
      </c>
      <c r="IE46">
        <v>54.6</v>
      </c>
      <c r="IH46" s="344" t="s">
        <v>2182</v>
      </c>
      <c r="II46">
        <f>SUM(IK24:IK36)</f>
        <v>602.14</v>
      </c>
      <c r="IJ46" s="360">
        <f>-IK7</f>
        <v>-15</v>
      </c>
      <c r="IK46" s="347" t="s">
        <v>2447</v>
      </c>
      <c r="IP46" s="360">
        <f>17+11+6</f>
        <v>34</v>
      </c>
      <c r="IQ46" s="589" t="s">
        <v>2573</v>
      </c>
      <c r="IV46" s="207"/>
      <c r="IW46" s="349"/>
      <c r="JB46" s="207"/>
      <c r="JC46" s="349"/>
    </row>
    <row r="47" spans="1:263" x14ac:dyDescent="0.2">
      <c r="AO47" s="145" t="s">
        <v>1124</v>
      </c>
      <c r="AP47" s="145">
        <v>508</v>
      </c>
      <c r="AU47" s="145" t="s">
        <v>1189</v>
      </c>
      <c r="AV47" s="145">
        <v>200</v>
      </c>
      <c r="DG47" s="222" t="s">
        <v>1490</v>
      </c>
      <c r="DH47" s="311"/>
      <c r="DI47" s="1" t="s">
        <v>93</v>
      </c>
      <c r="DJ47" s="78"/>
      <c r="DM47" s="210" t="s">
        <v>1551</v>
      </c>
      <c r="DN47" s="286">
        <v>34</v>
      </c>
      <c r="DO47" s="1"/>
      <c r="DP47" s="109">
        <v>21.78</v>
      </c>
      <c r="DS47" s="210" t="s">
        <v>1547</v>
      </c>
      <c r="DT47" s="286">
        <v>34.799999999999997</v>
      </c>
      <c r="EL47" t="s">
        <v>1588</v>
      </c>
      <c r="EM47">
        <v>870</v>
      </c>
      <c r="EN47" t="s">
        <v>1641</v>
      </c>
      <c r="ER47" t="s">
        <v>1444</v>
      </c>
      <c r="ES47" s="145">
        <v>60</v>
      </c>
      <c r="EX47" t="s">
        <v>1588</v>
      </c>
      <c r="EY47" s="1">
        <v>940</v>
      </c>
      <c r="FF47" t="s">
        <v>1050</v>
      </c>
      <c r="FL47" t="s">
        <v>1558</v>
      </c>
      <c r="FP47" s="367" t="s">
        <v>1843</v>
      </c>
      <c r="FQ47" s="6">
        <v>70.3</v>
      </c>
      <c r="FV47" t="s">
        <v>1913</v>
      </c>
      <c r="FX47" s="145"/>
      <c r="GB47" t="s">
        <v>1588</v>
      </c>
      <c r="GC47" s="1">
        <v>1057</v>
      </c>
      <c r="GD47" s="145"/>
      <c r="GH47" t="s">
        <v>1444</v>
      </c>
      <c r="GI47">
        <v>72</v>
      </c>
      <c r="GJ47" s="295" t="s">
        <v>1323</v>
      </c>
      <c r="GN47" s="347" t="s">
        <v>2111</v>
      </c>
      <c r="GO47" s="348"/>
      <c r="GT47" s="367" t="s">
        <v>2073</v>
      </c>
      <c r="GU47" s="6">
        <v>60.6</v>
      </c>
      <c r="GV47" s="746" t="s">
        <v>2110</v>
      </c>
      <c r="GZ47" s="367" t="s">
        <v>2128</v>
      </c>
      <c r="HA47" s="6">
        <v>6</v>
      </c>
      <c r="HX47" s="665" t="s">
        <v>2344</v>
      </c>
      <c r="HY47">
        <f>389.7+107.1</f>
        <v>496.79999999999995</v>
      </c>
      <c r="ID47" s="413" t="s">
        <v>2390</v>
      </c>
      <c r="IE47">
        <v>195.81</v>
      </c>
      <c r="IJ47" s="360">
        <v>20</v>
      </c>
      <c r="IK47" s="347" t="s">
        <v>1845</v>
      </c>
      <c r="IP47" s="360">
        <v>20</v>
      </c>
      <c r="IQ47" s="589" t="s">
        <v>2579</v>
      </c>
      <c r="IV47" s="413"/>
      <c r="IW47" s="634"/>
      <c r="JB47" s="413"/>
      <c r="JC47" s="634"/>
    </row>
    <row r="48" spans="1:263" x14ac:dyDescent="0.2">
      <c r="AO48" s="145" t="s">
        <v>1131</v>
      </c>
      <c r="AP48" s="145">
        <f>20*3</f>
        <v>60</v>
      </c>
      <c r="AU48" t="s">
        <v>1183</v>
      </c>
      <c r="AV48" s="145">
        <v>300</v>
      </c>
      <c r="AY48"/>
      <c r="DF48" s="6"/>
      <c r="DG48" s="222" t="s">
        <v>1443</v>
      </c>
      <c r="DH48" s="311"/>
      <c r="DI48" t="s">
        <v>1165</v>
      </c>
      <c r="DJ48" s="290"/>
      <c r="DM48" s="210"/>
      <c r="DO48" s="1"/>
      <c r="DP48" s="109">
        <v>27.85</v>
      </c>
      <c r="DS48" s="210" t="s">
        <v>1574</v>
      </c>
      <c r="DT48" s="286">
        <v>39.9</v>
      </c>
      <c r="EL48" t="s">
        <v>1677</v>
      </c>
      <c r="ET48" s="145"/>
      <c r="EX48" t="s">
        <v>1759</v>
      </c>
      <c r="EY48" s="6"/>
      <c r="FL48" t="s">
        <v>93</v>
      </c>
      <c r="FP48" s="367" t="s">
        <v>1876</v>
      </c>
      <c r="FQ48" s="6">
        <v>206</v>
      </c>
      <c r="FV48" t="s">
        <v>1444</v>
      </c>
      <c r="FW48">
        <v>48</v>
      </c>
      <c r="GB48" t="s">
        <v>1988</v>
      </c>
      <c r="GC48" s="6"/>
      <c r="GN48" s="347" t="s">
        <v>2061</v>
      </c>
      <c r="GO48" s="348"/>
      <c r="GP48" t="s">
        <v>486</v>
      </c>
      <c r="GT48" s="367" t="s">
        <v>2080</v>
      </c>
      <c r="GU48" s="6">
        <v>14.9</v>
      </c>
      <c r="GV48" s="746"/>
      <c r="GZ48" t="s">
        <v>2104</v>
      </c>
      <c r="HA48" s="215">
        <v>670.00099999999998</v>
      </c>
      <c r="HX48" s="664" t="s">
        <v>2314</v>
      </c>
      <c r="HY48" s="423">
        <v>14.4</v>
      </c>
      <c r="ID48" s="413" t="s">
        <v>2398</v>
      </c>
      <c r="IE48">
        <v>50</v>
      </c>
      <c r="IH48" s="347" t="s">
        <v>2469</v>
      </c>
      <c r="II48" s="360">
        <v>300</v>
      </c>
      <c r="IJ48" s="360">
        <v>20</v>
      </c>
      <c r="IK48" s="347" t="s">
        <v>2465</v>
      </c>
      <c r="IP48" s="549" t="s">
        <v>2508</v>
      </c>
      <c r="IQ48" s="579">
        <f>757-3.8</f>
        <v>753.2</v>
      </c>
      <c r="IV48" s="413"/>
      <c r="IW48" s="207"/>
      <c r="JB48" s="413"/>
      <c r="JC48" s="207"/>
    </row>
    <row r="49" spans="41:265" x14ac:dyDescent="0.2">
      <c r="AO49" s="145" t="s">
        <v>1133</v>
      </c>
      <c r="AP49" s="145">
        <v>810</v>
      </c>
      <c r="AU49" t="s">
        <v>1192</v>
      </c>
      <c r="AV49" s="145">
        <v>100</v>
      </c>
      <c r="AY49"/>
      <c r="DG49" s="222" t="s">
        <v>1457</v>
      </c>
      <c r="DH49" s="311"/>
      <c r="DI49" s="261" t="s">
        <v>1013</v>
      </c>
      <c r="DK49" s="6"/>
      <c r="DM49" s="223" t="s">
        <v>1548</v>
      </c>
      <c r="DN49" s="309">
        <v>700</v>
      </c>
      <c r="DO49" s="1"/>
      <c r="DP49" s="109">
        <v>15.35</v>
      </c>
      <c r="DQ49" s="6"/>
      <c r="DS49" s="223" t="s">
        <v>1546</v>
      </c>
      <c r="DT49" s="314">
        <v>0</v>
      </c>
      <c r="DU49" s="1"/>
      <c r="EL49" t="s">
        <v>1444</v>
      </c>
      <c r="EM49">
        <v>100</v>
      </c>
      <c r="EV49" s="52"/>
      <c r="EX49" t="s">
        <v>1444</v>
      </c>
      <c r="EY49">
        <v>30</v>
      </c>
      <c r="FL49" t="s">
        <v>1165</v>
      </c>
      <c r="FP49" s="367" t="s">
        <v>1851</v>
      </c>
      <c r="FQ49" s="6">
        <v>45.6</v>
      </c>
      <c r="FR49" s="145"/>
      <c r="GB49" t="s">
        <v>1444</v>
      </c>
      <c r="GC49">
        <v>100</v>
      </c>
      <c r="GN49" s="367" t="s">
        <v>2046</v>
      </c>
      <c r="GO49" s="6">
        <f>360+18</f>
        <v>378</v>
      </c>
      <c r="GP49" s="295" t="s">
        <v>1323</v>
      </c>
      <c r="GT49" s="367" t="s">
        <v>2099</v>
      </c>
      <c r="GU49" s="6">
        <v>55.29</v>
      </c>
      <c r="GV49" s="746"/>
      <c r="GZ49" s="215" t="s">
        <v>2135</v>
      </c>
      <c r="HX49" s="665" t="s">
        <v>2346</v>
      </c>
      <c r="HY49">
        <v>17.88</v>
      </c>
      <c r="ID49" s="413" t="s">
        <v>2400</v>
      </c>
      <c r="IE49">
        <v>26.8</v>
      </c>
      <c r="IJ49" s="422">
        <v>10</v>
      </c>
      <c r="IK49" s="63" t="s">
        <v>2440</v>
      </c>
      <c r="IP49" s="549" t="s">
        <v>2494</v>
      </c>
      <c r="IQ49" s="579">
        <v>92.8</v>
      </c>
      <c r="IV49" s="413"/>
      <c r="IW49" s="207"/>
      <c r="JB49" s="413"/>
      <c r="JC49" s="207"/>
    </row>
    <row r="50" spans="41:265" x14ac:dyDescent="0.2">
      <c r="AO50" s="145" t="s">
        <v>1141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1592</v>
      </c>
      <c r="DO50" s="1"/>
      <c r="DP50" s="109">
        <v>12.7</v>
      </c>
      <c r="DQ50" s="6"/>
      <c r="DS50" s="223" t="s">
        <v>1588</v>
      </c>
      <c r="DT50" s="309">
        <v>590</v>
      </c>
      <c r="EZ50" s="145"/>
      <c r="FL50" t="s">
        <v>1050</v>
      </c>
      <c r="FP50" s="260" t="s">
        <v>1946</v>
      </c>
      <c r="FQ50" s="260"/>
      <c r="GN50" s="367" t="s">
        <v>2053</v>
      </c>
      <c r="GO50">
        <v>38.9</v>
      </c>
      <c r="GU50" s="6"/>
      <c r="GV50" s="746"/>
      <c r="GZ50" t="s">
        <v>2103</v>
      </c>
      <c r="HA50" s="6">
        <v>50.000999999999998</v>
      </c>
      <c r="HF50" s="1"/>
      <c r="HX50" s="665" t="s">
        <v>2347</v>
      </c>
      <c r="HY50">
        <v>23.86</v>
      </c>
      <c r="IJ50" s="549" t="s">
        <v>2436</v>
      </c>
      <c r="IK50" s="560">
        <f>161+14</f>
        <v>175</v>
      </c>
      <c r="IP50" s="549" t="s">
        <v>2500</v>
      </c>
      <c r="IQ50" s="579">
        <f>220.8+7.27*2</f>
        <v>235.34</v>
      </c>
      <c r="IV50" s="413"/>
      <c r="JB50" s="413"/>
    </row>
    <row r="51" spans="41:265" x14ac:dyDescent="0.2">
      <c r="AO51" s="145" t="s">
        <v>1160</v>
      </c>
      <c r="AP51" s="145">
        <v>12.9</v>
      </c>
      <c r="DG51" s="210" t="s">
        <v>1441</v>
      </c>
      <c r="DH51" s="286">
        <v>120</v>
      </c>
      <c r="DI51" s="260" t="s">
        <v>1050</v>
      </c>
      <c r="DK51" s="6"/>
      <c r="DM51" s="223" t="s">
        <v>1444</v>
      </c>
      <c r="DN51" s="309">
        <v>50</v>
      </c>
      <c r="DO51" s="1"/>
      <c r="DP51" s="109">
        <v>11.6</v>
      </c>
      <c r="DQ51" s="6"/>
      <c r="DS51" s="223" t="s">
        <v>1606</v>
      </c>
      <c r="FF51" s="295"/>
      <c r="FP51" s="367" t="s">
        <v>1853</v>
      </c>
      <c r="FQ51" s="6">
        <v>29.95</v>
      </c>
      <c r="GJ51" s="145"/>
      <c r="GN51" s="367" t="s">
        <v>2056</v>
      </c>
      <c r="GO51" s="6">
        <v>33</v>
      </c>
      <c r="GT51" t="s">
        <v>2104</v>
      </c>
      <c r="GU51" s="407">
        <v>900</v>
      </c>
      <c r="HB51" s="1"/>
      <c r="HC51" s="1"/>
      <c r="HD51" s="1"/>
      <c r="HE51" s="1"/>
      <c r="HF51" s="1"/>
      <c r="HX51" s="665" t="s">
        <v>2345</v>
      </c>
      <c r="HY51">
        <v>19.89</v>
      </c>
      <c r="ID51" s="536" t="s">
        <v>2354</v>
      </c>
      <c r="IE51" s="536"/>
      <c r="II51" s="539"/>
      <c r="IJ51" s="549" t="s">
        <v>2458</v>
      </c>
      <c r="IK51" s="560">
        <v>87.8</v>
      </c>
      <c r="IP51" s="411" t="s">
        <v>2525</v>
      </c>
      <c r="IQ51" s="579">
        <v>84.9</v>
      </c>
      <c r="IV51" s="413"/>
      <c r="JB51" s="413"/>
    </row>
    <row r="52" spans="41:265" x14ac:dyDescent="0.2">
      <c r="DA52" s="210"/>
      <c r="DB52" s="210"/>
      <c r="DC52" s="1"/>
      <c r="DD52" s="84"/>
      <c r="DG52" s="210" t="s">
        <v>1458</v>
      </c>
      <c r="DH52" s="286">
        <v>143.96</v>
      </c>
      <c r="DK52" s="6"/>
      <c r="DO52" s="1"/>
      <c r="DP52" s="109">
        <v>2</v>
      </c>
      <c r="DQ52" s="6"/>
      <c r="DS52" s="223" t="s">
        <v>1444</v>
      </c>
      <c r="DT52" s="309">
        <v>80</v>
      </c>
      <c r="FP52" s="367" t="s">
        <v>1867</v>
      </c>
      <c r="FQ52" s="6">
        <v>120</v>
      </c>
      <c r="GO52" s="6"/>
      <c r="GT52" s="407" t="s">
        <v>2101</v>
      </c>
      <c r="HB52" s="1"/>
      <c r="HC52" s="1"/>
      <c r="HD52" s="419"/>
      <c r="HE52" s="1"/>
      <c r="HF52" s="1"/>
      <c r="HX52" s="665" t="s">
        <v>2332</v>
      </c>
      <c r="HY52">
        <f>30.9+469.82+100.14+34.91</f>
        <v>635.77</v>
      </c>
      <c r="ID52" s="219" t="s">
        <v>2353</v>
      </c>
      <c r="IE52" s="145">
        <f>30+139.5</f>
        <v>169.5</v>
      </c>
      <c r="II52" s="539"/>
      <c r="IJ52" s="549" t="s">
        <v>2468</v>
      </c>
      <c r="IK52" s="560">
        <f>40.6+11.5</f>
        <v>52.1</v>
      </c>
      <c r="IP52" s="413" t="s">
        <v>2526</v>
      </c>
      <c r="IQ52" s="579">
        <v>105.8</v>
      </c>
      <c r="IV52" s="413"/>
      <c r="JB52" s="413"/>
    </row>
    <row r="53" spans="41:265" x14ac:dyDescent="0.2">
      <c r="DA53" s="210"/>
      <c r="DB53" s="210"/>
      <c r="DC53" s="1"/>
      <c r="DD53" s="84"/>
      <c r="DG53" s="223" t="s">
        <v>1438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1877</v>
      </c>
      <c r="FQ53" s="6">
        <v>108.12</v>
      </c>
      <c r="GN53" t="s">
        <v>1588</v>
      </c>
      <c r="GO53">
        <v>800</v>
      </c>
      <c r="GT53" t="s">
        <v>2103</v>
      </c>
      <c r="GU53" s="6">
        <v>44</v>
      </c>
      <c r="HB53" s="1"/>
      <c r="HC53" s="1"/>
      <c r="HD53" s="419"/>
      <c r="HE53" s="1"/>
      <c r="HF53" s="1"/>
      <c r="HX53" s="145" t="s">
        <v>2303</v>
      </c>
      <c r="HY53" s="145">
        <v>7329.5</v>
      </c>
      <c r="ID53" s="219" t="s">
        <v>2367</v>
      </c>
      <c r="IE53">
        <v>15.32</v>
      </c>
      <c r="II53" s="540"/>
      <c r="IJ53" s="549" t="s">
        <v>2485</v>
      </c>
      <c r="IK53" s="560">
        <v>10.49</v>
      </c>
      <c r="IP53" s="413" t="s">
        <v>2529</v>
      </c>
      <c r="IQ53" s="579"/>
    </row>
    <row r="54" spans="41:265" x14ac:dyDescent="0.2">
      <c r="AO54" t="s">
        <v>1146</v>
      </c>
      <c r="AP54" s="145">
        <v>600</v>
      </c>
      <c r="DA54" s="210"/>
      <c r="DB54" s="210"/>
      <c r="DC54" s="1"/>
      <c r="DD54" s="84"/>
      <c r="DE54" s="6"/>
      <c r="DG54" s="210" t="s">
        <v>1436</v>
      </c>
      <c r="DH54" s="309">
        <f>500+356</f>
        <v>856</v>
      </c>
      <c r="DI54" s="295" t="s">
        <v>1323</v>
      </c>
      <c r="DK54" s="6"/>
      <c r="DO54" s="1"/>
      <c r="DP54" s="109">
        <v>25.5</v>
      </c>
      <c r="DQ54" s="6"/>
      <c r="FL54" s="295"/>
      <c r="GN54" t="s">
        <v>2063</v>
      </c>
      <c r="GO54" s="1"/>
      <c r="HB54" s="1"/>
      <c r="HC54" s="1"/>
      <c r="HD54" s="419"/>
      <c r="HE54" s="1"/>
      <c r="HF54" s="1"/>
      <c r="HX54" s="413"/>
      <c r="ID54" s="664" t="s">
        <v>2368</v>
      </c>
      <c r="IE54" s="351">
        <v>67.61</v>
      </c>
      <c r="IJ54" s="549" t="s">
        <v>2332</v>
      </c>
      <c r="IK54" s="560">
        <v>135.09</v>
      </c>
      <c r="IP54" s="413" t="s">
        <v>2520</v>
      </c>
      <c r="IQ54" s="579">
        <v>47.05</v>
      </c>
    </row>
    <row r="55" spans="41:265" x14ac:dyDescent="0.2">
      <c r="AO55" t="s">
        <v>1193</v>
      </c>
      <c r="AP55" s="145">
        <v>300</v>
      </c>
      <c r="DA55" s="210"/>
      <c r="DB55" s="210"/>
      <c r="DC55" s="312"/>
      <c r="DD55" s="313"/>
      <c r="DE55" s="6"/>
      <c r="DG55" s="210" t="s">
        <v>1442</v>
      </c>
      <c r="DH55" s="309">
        <v>30</v>
      </c>
      <c r="DK55" s="6"/>
      <c r="DO55" s="1" t="s">
        <v>1589</v>
      </c>
      <c r="DP55" s="109">
        <v>-1122.52</v>
      </c>
      <c r="DQ55" s="6"/>
      <c r="FF55" s="145"/>
      <c r="FP55" t="s">
        <v>1588</v>
      </c>
      <c r="FQ55" s="1">
        <v>753.05</v>
      </c>
      <c r="GN55" t="s">
        <v>1444</v>
      </c>
      <c r="GO55" s="6">
        <v>25</v>
      </c>
      <c r="HB55" s="1"/>
      <c r="HC55" s="1"/>
      <c r="HD55" s="419"/>
      <c r="HE55" s="1"/>
      <c r="HF55" s="1"/>
      <c r="HX55" s="413"/>
      <c r="ID55" s="219" t="s">
        <v>2376</v>
      </c>
      <c r="IE55" s="538">
        <v>-25.98</v>
      </c>
      <c r="IJ55" s="536" t="s">
        <v>2466</v>
      </c>
      <c r="IK55" s="536"/>
      <c r="IP55" s="413" t="s">
        <v>2581</v>
      </c>
      <c r="IQ55" s="635">
        <v>22.2</v>
      </c>
    </row>
    <row r="56" spans="41:265" x14ac:dyDescent="0.2">
      <c r="DA56" s="210"/>
      <c r="DB56" s="210"/>
      <c r="DC56" s="1"/>
      <c r="DD56" s="84"/>
      <c r="DE56" s="6"/>
      <c r="DG56" s="223" t="s">
        <v>1433</v>
      </c>
      <c r="DH56" s="309">
        <v>30</v>
      </c>
      <c r="DK56" s="6"/>
      <c r="DO56" s="1" t="s">
        <v>1590</v>
      </c>
      <c r="DP56" s="109">
        <f>SUM(DP43:DP55)</f>
        <v>1647.79</v>
      </c>
      <c r="DQ56" s="6"/>
      <c r="FP56" t="s">
        <v>1878</v>
      </c>
      <c r="FQ56" s="6"/>
      <c r="GV56" s="404"/>
      <c r="HB56" s="1"/>
      <c r="HC56" s="1"/>
      <c r="HD56" s="419"/>
      <c r="HE56" s="1"/>
      <c r="HF56" s="1"/>
      <c r="HX56" s="413"/>
      <c r="ID56" s="665" t="s">
        <v>2396</v>
      </c>
      <c r="IE56">
        <v>8.8000000000000007</v>
      </c>
      <c r="IJ56" s="413" t="s">
        <v>2414</v>
      </c>
      <c r="IK56">
        <v>150</v>
      </c>
      <c r="IP56" s="633" t="s">
        <v>2584</v>
      </c>
      <c r="IQ56" s="364">
        <v>22.6</v>
      </c>
    </row>
    <row r="57" spans="41:265" x14ac:dyDescent="0.2">
      <c r="DA57" s="210"/>
      <c r="DB57" s="210"/>
      <c r="DC57" s="1"/>
      <c r="DD57" s="84"/>
      <c r="DE57" s="6"/>
      <c r="DG57" s="223" t="s">
        <v>1463</v>
      </c>
      <c r="DH57" s="309">
        <v>58.2</v>
      </c>
      <c r="DK57" s="6"/>
      <c r="DQ57" s="6"/>
      <c r="FP57" t="s">
        <v>1444</v>
      </c>
      <c r="FQ57">
        <v>20</v>
      </c>
      <c r="HB57" s="1"/>
      <c r="HC57" s="1"/>
      <c r="HD57" s="419"/>
      <c r="HE57" s="1"/>
      <c r="HF57" s="1"/>
      <c r="ID57" s="636" t="s">
        <v>2410</v>
      </c>
      <c r="IE57">
        <f>2000+1311.79</f>
        <v>3311.79</v>
      </c>
      <c r="IJ57" s="413" t="s">
        <v>2396</v>
      </c>
      <c r="IK57">
        <v>5.4</v>
      </c>
      <c r="IP57" s="207"/>
      <c r="IQ57" s="207"/>
    </row>
    <row r="58" spans="41:265" x14ac:dyDescent="0.2">
      <c r="DA58" s="210"/>
      <c r="DB58" s="210"/>
      <c r="DC58" s="1"/>
      <c r="DD58" s="313"/>
      <c r="DE58" s="6"/>
      <c r="DG58" s="223" t="s">
        <v>1430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</row>
    <row r="59" spans="41:265" x14ac:dyDescent="0.2">
      <c r="DA59" s="210"/>
      <c r="DB59" s="210"/>
      <c r="DC59" s="1"/>
      <c r="DD59" s="84"/>
      <c r="DE59" s="6"/>
      <c r="DG59" s="223" t="s">
        <v>1450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</row>
    <row r="60" spans="41:265" x14ac:dyDescent="0.2">
      <c r="DA60" s="210"/>
      <c r="DB60" s="210"/>
      <c r="DC60" s="1"/>
      <c r="DD60" s="84"/>
      <c r="DE60" s="6"/>
      <c r="DG60" s="223" t="s">
        <v>1451</v>
      </c>
      <c r="DH60" s="309">
        <v>159</v>
      </c>
      <c r="HB60" s="1"/>
      <c r="HC60" s="1"/>
      <c r="HD60" s="1"/>
      <c r="HE60" s="1"/>
      <c r="HF60" s="1"/>
      <c r="ID60" s="413"/>
      <c r="IJ60" s="536"/>
      <c r="IK60" s="536"/>
      <c r="IP60" s="207"/>
      <c r="IQ60" s="634"/>
      <c r="IY60" s="403"/>
      <c r="JE60" s="403"/>
    </row>
    <row r="61" spans="41:265" x14ac:dyDescent="0.2">
      <c r="DE61" s="6"/>
      <c r="DG61" s="223" t="s">
        <v>1496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</row>
    <row r="62" spans="41:265" x14ac:dyDescent="0.2">
      <c r="DE62" s="6"/>
      <c r="DG62" s="223" t="s">
        <v>1489</v>
      </c>
      <c r="DH62" s="309">
        <v>51.9</v>
      </c>
      <c r="ID62" s="413"/>
      <c r="IP62" s="413"/>
      <c r="IQ62" s="207"/>
    </row>
    <row r="63" spans="41:265" x14ac:dyDescent="0.2">
      <c r="DG63" s="223" t="s">
        <v>1183</v>
      </c>
      <c r="DH63" s="309">
        <v>1500</v>
      </c>
      <c r="IP63" s="413"/>
    </row>
    <row r="64" spans="41:265" x14ac:dyDescent="0.2">
      <c r="IJ64" s="411"/>
      <c r="IK64" s="351"/>
      <c r="IP64" s="413"/>
    </row>
    <row r="65" spans="205:253" x14ac:dyDescent="0.2">
      <c r="IK65" s="538"/>
      <c r="IM65" s="403"/>
      <c r="IP65" s="413"/>
      <c r="IS65" s="403"/>
    </row>
    <row r="66" spans="205:253" x14ac:dyDescent="0.2">
      <c r="IJ66" s="413"/>
      <c r="IP66" s="413"/>
    </row>
    <row r="67" spans="205:253" x14ac:dyDescent="0.2">
      <c r="HO67" s="403"/>
      <c r="IG67" s="403"/>
      <c r="IJ67" s="413"/>
    </row>
    <row r="68" spans="205:253" x14ac:dyDescent="0.2">
      <c r="IJ68" s="413"/>
    </row>
    <row r="69" spans="205:253" x14ac:dyDescent="0.2">
      <c r="IJ69" s="413"/>
    </row>
    <row r="70" spans="205:253" x14ac:dyDescent="0.2">
      <c r="IJ70" s="413"/>
    </row>
    <row r="71" spans="205:253" x14ac:dyDescent="0.2">
      <c r="IJ71" s="413"/>
    </row>
    <row r="72" spans="205:253" x14ac:dyDescent="0.2">
      <c r="HI72" s="403"/>
    </row>
    <row r="74" spans="205:253" x14ac:dyDescent="0.2">
      <c r="GW74" s="403"/>
    </row>
    <row r="75" spans="205:253" x14ac:dyDescent="0.2">
      <c r="HU75" s="403"/>
    </row>
    <row r="76" spans="205:253" x14ac:dyDescent="0.2">
      <c r="HC76" s="403"/>
    </row>
    <row r="77" spans="205:253" x14ac:dyDescent="0.2">
      <c r="IA77" s="403"/>
    </row>
  </sheetData>
  <mergeCells count="246">
    <mergeCell ref="IZ21:JA21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J1:GK1"/>
    <mergeCell ref="GH1:GI1"/>
    <mergeCell ref="GF1:GG1"/>
    <mergeCell ref="IT23:IU23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HIS19</vt:lpstr>
      <vt:lpstr>paydown</vt:lpstr>
      <vt:lpstr>!</vt:lpstr>
      <vt:lpstr>snap</vt:lpstr>
      <vt:lpstr>NavJan23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2023-01-24T07:32:35Z</cp:lastPrinted>
  <dcterms:created xsi:type="dcterms:W3CDTF">1998-07-18T13:03:51Z</dcterms:created>
  <dcterms:modified xsi:type="dcterms:W3CDTF">2023-02-20T09:07:36Z</dcterms:modified>
</cp:coreProperties>
</file>