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8_{83A2E2EB-6DF9-40AD-85FE-DBBBB5D6554C}" xr6:coauthVersionLast="41" xr6:coauthVersionMax="41" xr10:uidLastSave="{00000000-0000-0000-0000-000000000000}"/>
  <bookViews>
    <workbookView xWindow="810" yWindow="-120" windowWidth="28110" windowHeight="16440" activeTab="1" xr2:uid="{C4F54488-0657-4C69-A377-CC4A3E2BE5EB}"/>
  </bookViews>
  <sheets>
    <sheet name="NAV Aug12" sheetId="1" r:id="rId1"/>
    <sheet name="NAV23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K4" i="2" s="1"/>
  <c r="K5" i="2"/>
  <c r="H5" i="2" s="1"/>
  <c r="Q5" i="2"/>
  <c r="N5" i="2" s="1"/>
  <c r="N36" i="2" s="1"/>
  <c r="H6" i="2"/>
  <c r="H10" i="2"/>
  <c r="K10" i="2"/>
  <c r="N12" i="2"/>
  <c r="N13" i="2"/>
  <c r="K13" i="2" s="1"/>
  <c r="H13" i="2" s="1"/>
  <c r="N14" i="2"/>
  <c r="K14" i="2" s="1"/>
  <c r="H14" i="2" s="1"/>
  <c r="H16" i="2"/>
  <c r="K16" i="2"/>
  <c r="N16" i="2"/>
  <c r="K17" i="2"/>
  <c r="H17" i="2" s="1"/>
  <c r="N17" i="2"/>
  <c r="M18" i="2"/>
  <c r="J18" i="2" s="1"/>
  <c r="J19" i="2"/>
  <c r="M19" i="2"/>
  <c r="R19" i="2"/>
  <c r="R36" i="2" s="1"/>
  <c r="G20" i="2"/>
  <c r="J20" i="2"/>
  <c r="M20" i="2"/>
  <c r="P20" i="2"/>
  <c r="G21" i="2"/>
  <c r="J21" i="2"/>
  <c r="M21" i="2"/>
  <c r="P21" i="2"/>
  <c r="J22" i="2"/>
  <c r="G23" i="2"/>
  <c r="M24" i="2"/>
  <c r="G28" i="2"/>
  <c r="J28" i="2"/>
  <c r="J29" i="2"/>
  <c r="M31" i="2"/>
  <c r="J32" i="2"/>
  <c r="N35" i="2"/>
  <c r="P36" i="2"/>
  <c r="Q36" i="2"/>
  <c r="P40" i="2" s="1"/>
  <c r="S36" i="2"/>
  <c r="R40" i="2" s="1"/>
  <c r="F3" i="1"/>
  <c r="F4" i="1"/>
  <c r="G4" i="1"/>
  <c r="F5" i="1"/>
  <c r="F6" i="1"/>
  <c r="F8" i="1"/>
  <c r="F15" i="1"/>
  <c r="J36" i="2" l="1"/>
  <c r="G18" i="2"/>
  <c r="G36" i="2" s="1"/>
  <c r="H4" i="2"/>
  <c r="H36" i="2" s="1"/>
  <c r="G40" i="2" s="1"/>
  <c r="G39" i="2" s="1"/>
  <c r="K36" i="2"/>
  <c r="M36" i="2"/>
  <c r="M40" i="2" s="1"/>
  <c r="J40" i="2" l="1"/>
  <c r="J3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sharedStrings.xml><?xml version="1.0" encoding="utf-8"?>
<sst xmlns="http://schemas.openxmlformats.org/spreadsheetml/2006/main" count="252" uniqueCount="110">
  <si>
    <t>negligible</t>
  </si>
  <si>
    <t>illiquid</t>
  </si>
  <si>
    <t xml:space="preserve">floating </t>
  </si>
  <si>
    <t>AIA plan zofia</t>
  </si>
  <si>
    <t>unknown</t>
  </si>
  <si>
    <t>:)</t>
  </si>
  <si>
    <t>CNY savings</t>
  </si>
  <si>
    <t>zofia</t>
  </si>
  <si>
    <t xml:space="preserve">SGD bank accounts </t>
  </si>
  <si>
    <t>SGD bank accounts (est</t>
  </si>
  <si>
    <t>both</t>
  </si>
  <si>
    <t>mixed</t>
  </si>
  <si>
    <t>FSM (guestimate</t>
  </si>
  <si>
    <t>tanbin</t>
  </si>
  <si>
    <t>CPF</t>
  </si>
  <si>
    <t>CPF OA</t>
  </si>
  <si>
    <t>Sg house</t>
  </si>
  <si>
    <t>book value</t>
  </si>
  <si>
    <t>Bj  house</t>
  </si>
  <si>
    <t>USD cash (almost)</t>
  </si>
  <si>
    <t>GS shares</t>
  </si>
  <si>
    <t>GS 401k</t>
  </si>
  <si>
    <t>in USD</t>
  </si>
  <si>
    <t>in SGD</t>
  </si>
  <si>
    <t>liquidity</t>
  </si>
  <si>
    <t>stability</t>
  </si>
  <si>
    <t>who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</si>
  <si>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</si>
  <si>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See other pointers at https://tanbinvest.dreamhosters.com/25802/netasset-annual-snap/</t>
  </si>
  <si>
    <t>Warning: runaway tcost… addictive like gambling</t>
  </si>
  <si>
    <t>excluded: assets in China banks ..They are gifts from grandparents and don't belong to me.</t>
  </si>
  <si>
    <t>excluded: kids' accounts except 4k AUM</t>
  </si>
  <si>
    <t>excluded: wife's other bank accounts beside #153</t>
  </si>
  <si>
    <t>See also bpost on [[net asset annual snaps]]</t>
  </si>
  <si>
    <t>total converted to SGD:</t>
  </si>
  <si>
    <t>total converted to USD:</t>
  </si>
  <si>
    <t>⮤ incr: IRS+GRR+46k{grandpa</t>
  </si>
  <si>
    <t>⮤ incr: GRR+gift{grandpa</t>
  </si>
  <si>
    <t>Feb24 USD/SGD=</t>
  </si>
  <si>
    <t>immutable  snaps:</t>
  </si>
  <si>
    <t>subtotal by ccy:</t>
  </si>
  <si>
    <t>JayHu warehouse</t>
  </si>
  <si>
    <t>P640k</t>
  </si>
  <si>
    <t>dad</t>
  </si>
  <si>
    <t>PNB #PHP856k</t>
  </si>
  <si>
    <t>保守</t>
  </si>
  <si>
    <t>~</t>
  </si>
  <si>
    <t>24k gift2kids included</t>
  </si>
  <si>
    <t>grandpa's</t>
  </si>
  <si>
    <t>mom</t>
  </si>
  <si>
    <t>BOC CNY9k折合</t>
  </si>
  <si>
    <t>.. ccard debt</t>
  </si>
  <si>
    <t>NA</t>
  </si>
  <si>
    <t>稳</t>
  </si>
  <si>
    <t>.. RBBT debt</t>
  </si>
  <si>
    <t>exact</t>
  </si>
  <si>
    <t>3 ppl</t>
  </si>
  <si>
    <t>Sg存款#excl SRS/CDP/#153</t>
  </si>
  <si>
    <t>#153</t>
  </si>
  <si>
    <t>free</t>
  </si>
  <si>
    <t>CDP: SGS +applied</t>
  </si>
  <si>
    <t>locked</t>
  </si>
  <si>
    <t>SRS #SGS,mufu,,</t>
  </si>
  <si>
    <t>book val #ex div</t>
  </si>
  <si>
    <t>Pomes dry powder</t>
  </si>
  <si>
    <t>book val</t>
  </si>
  <si>
    <t>Poems mufu</t>
  </si>
  <si>
    <t>displayed</t>
  </si>
  <si>
    <t>momFSM</t>
  </si>
  <si>
    <t>DBS mufu ex SRS</t>
  </si>
  <si>
    <t>20k write-off</t>
  </si>
  <si>
    <t>Jill</t>
  </si>
  <si>
    <t>FLI2</t>
  </si>
  <si>
    <t>AIA plan cash value</t>
  </si>
  <si>
    <t>CPF OA incl cpfIA</t>
  </si>
  <si>
    <t>est</t>
  </si>
  <si>
    <t>CPF SA/MA</t>
  </si>
  <si>
    <t>CPF OA/SA/MA</t>
  </si>
  <si>
    <t>rEstate: HDB</t>
  </si>
  <si>
    <t>rEstate: BGC</t>
  </si>
  <si>
    <t>rEstate: khm4</t>
  </si>
  <si>
    <t>不稳</t>
  </si>
  <si>
    <t xml:space="preserve">rEstate: Bj </t>
  </si>
  <si>
    <t>locked down 
!! Impulsive !! Sitting duck</t>
  </si>
  <si>
    <t>Robinhood</t>
  </si>
  <si>
    <t>Energy12</t>
  </si>
  <si>
    <t>TRBCX</t>
  </si>
  <si>
    <t>mufu]OC</t>
  </si>
  <si>
    <t>bank: BOC</t>
  </si>
  <si>
    <t>46k givens2kids</t>
  </si>
  <si>
    <t>bank: citi.SG sav</t>
  </si>
  <si>
    <t>Citi.sg+BOC</t>
  </si>
  <si>
    <t>bank: citi.SG TD</t>
  </si>
  <si>
    <t>bank: Citi.NA</t>
  </si>
  <si>
    <t>bank: b@a+minorAcct</t>
  </si>
  <si>
    <t>small</t>
  </si>
  <si>
    <t>bank: khm sav</t>
  </si>
  <si>
    <t>fuxi*3:</t>
  </si>
  <si>
    <t>bank: khm TD</t>
  </si>
  <si>
    <t>GS 6 shares #2023</t>
  </si>
  <si>
    <t>own</t>
  </si>
  <si>
    <t>liquid</t>
  </si>
  <si>
    <t>cfd@est</t>
  </si>
  <si>
    <t>stable</t>
  </si>
  <si>
    <t>Oct19{c++US</t>
  </si>
  <si>
    <t>Feb20{bonus</t>
  </si>
  <si>
    <t>Feb23{bonus</t>
  </si>
  <si>
    <t>Feb24{bonus</t>
  </si>
  <si>
    <t>exact≜to'000</t>
  </si>
  <si>
    <t>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</si>
</sst>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&quot;$&quot;#,##0"/>
    <numFmt numFmtId="165" formatCode="[$SGD]\ #,##0.00"/>
    <numFmt numFmtId="166" formatCode="[$SGD]\ #,##0"/>
    <numFmt numFmtId="167" formatCode="[$USD]\ #,##0"/>
  </numFmts>
  <fonts count="12">
    <font>
      <sz val="10"/>
      <name val="Arial"/>
      <charset val="134"/>
    </font>
    <font>
      <sz val="18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rgb="FFFF0000"/>
      <name val="Arial"/>
      <charset val="134"/>
    </font>
    <font>
      <sz val="10"/>
      <color theme="0" tint="-0.14996795556505021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34998626667073579"/>
      <name val="Arial"/>
      <charset val="134"/>
    </font>
    <font>
      <sz val="10"/>
      <color rgb="FFFF0000"/>
      <name val="Arial"/>
      <family val="2"/>
    </font>
    <font>
      <sz val="10"/>
      <color theme="0"/>
      <name val="Arial"/>
      <charset val="134"/>
    </font>
    <font>
      <sz val="8"/>
      <name val="Tahoma"/>
      <charset val="134"/>
    </font>
    <font>
      <b/>
      <sz val="8"/>
      <name val="Tahoma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7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0" fontId="0" fillId="2" borderId="1" xfId="0" applyFill="1" applyBorder="1"/>
    <xf numFmtId="3" fontId="0" fillId="2" borderId="1" xfId="0" applyNumberFormat="1" applyFill="1" applyBorder="1"/>
    <xf numFmtId="164" fontId="0" fillId="2" borderId="1" xfId="0" applyNumberFormat="1" applyFill="1" applyBorder="1"/>
    <xf numFmtId="3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6" fontId="0" fillId="0" borderId="1" xfId="0" applyNumberFormat="1" applyBorder="1"/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4" fillId="0" borderId="1" xfId="0" applyFont="1" applyBorder="1"/>
    <xf numFmtId="164" fontId="5" fillId="0" borderId="1" xfId="0" applyNumberFormat="1" applyFont="1" applyBorder="1"/>
    <xf numFmtId="0" fontId="0" fillId="0" borderId="5" xfId="0" applyBorder="1" applyAlignment="1">
      <alignment horizontal="center" vertical="center" wrapText="1"/>
    </xf>
    <xf numFmtId="6" fontId="0" fillId="2" borderId="1" xfId="0" applyNumberFormat="1" applyFill="1" applyBorder="1"/>
    <xf numFmtId="164" fontId="5" fillId="2" borderId="1" xfId="0" applyNumberFormat="1" applyFont="1" applyFill="1" applyBorder="1"/>
    <xf numFmtId="0" fontId="0" fillId="0" borderId="6" xfId="0" applyBorder="1"/>
    <xf numFmtId="0" fontId="0" fillId="0" borderId="6" xfId="0" applyBorder="1" applyAlignment="1">
      <alignment horizontal="center" vertical="center" wrapText="1"/>
    </xf>
    <xf numFmtId="164" fontId="6" fillId="0" borderId="1" xfId="0" applyNumberFormat="1" applyFont="1" applyBorder="1"/>
    <xf numFmtId="164" fontId="7" fillId="0" borderId="1" xfId="0" applyNumberFormat="1" applyFont="1" applyBorder="1"/>
    <xf numFmtId="0" fontId="8" fillId="0" borderId="5" xfId="0" applyFont="1" applyBorder="1" applyAlignment="1">
      <alignment horizontal="center" vertical="center" textRotation="255"/>
    </xf>
    <xf numFmtId="3" fontId="7" fillId="0" borderId="1" xfId="0" applyNumberFormat="1" applyFont="1" applyBorder="1"/>
    <xf numFmtId="0" fontId="8" fillId="0" borderId="7" xfId="0" applyFont="1" applyBorder="1" applyAlignment="1">
      <alignment horizontal="center" vertical="center" textRotation="255"/>
    </xf>
    <xf numFmtId="3" fontId="5" fillId="0" borderId="1" xfId="0" applyNumberFormat="1" applyFont="1" applyBorder="1"/>
    <xf numFmtId="3" fontId="6" fillId="0" borderId="1" xfId="0" applyNumberFormat="1" applyFont="1" applyBorder="1"/>
    <xf numFmtId="0" fontId="0" fillId="0" borderId="7" xfId="0" applyBorder="1" applyAlignment="1">
      <alignment horizontal="center" vertical="center" wrapText="1"/>
    </xf>
    <xf numFmtId="3" fontId="5" fillId="2" borderId="1" xfId="0" applyNumberFormat="1" applyFont="1" applyFill="1" applyBorder="1"/>
    <xf numFmtId="3" fontId="6" fillId="2" borderId="1" xfId="0" applyNumberFormat="1" applyFont="1" applyFill="1" applyBorder="1"/>
    <xf numFmtId="3" fontId="9" fillId="3" borderId="1" xfId="0" applyNumberFormat="1" applyFont="1" applyFill="1" applyBorder="1"/>
    <xf numFmtId="164" fontId="9" fillId="3" borderId="1" xfId="0" applyNumberFormat="1" applyFont="1" applyFill="1" applyBorder="1"/>
    <xf numFmtId="0" fontId="9" fillId="3" borderId="1" xfId="0" applyFont="1" applyFill="1" applyBorder="1"/>
    <xf numFmtId="0" fontId="9" fillId="3" borderId="1" xfId="0" applyFont="1" applyFill="1" applyBorder="1" applyAlignment="1">
      <alignment horizontal="center"/>
    </xf>
    <xf numFmtId="17" fontId="9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DA7BD-3433-4852-85AF-9756BBCBFC10}">
  <dimension ref="B1:H15"/>
  <sheetViews>
    <sheetView workbookViewId="0">
      <selection activeCell="F58" sqref="F58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1" customWidth="1"/>
    <col min="7" max="7" width="7" customWidth="1"/>
  </cols>
  <sheetData>
    <row r="1" spans="2:8" ht="9" customHeight="1"/>
    <row r="2" spans="2:8">
      <c r="B2" t="s">
        <v>26</v>
      </c>
      <c r="D2" t="s">
        <v>25</v>
      </c>
      <c r="E2" t="s">
        <v>24</v>
      </c>
      <c r="F2" s="1" t="s">
        <v>23</v>
      </c>
      <c r="G2" t="s">
        <v>22</v>
      </c>
      <c r="H2">
        <v>1.4</v>
      </c>
    </row>
    <row r="3" spans="2:8">
      <c r="B3" t="s">
        <v>13</v>
      </c>
      <c r="C3" t="s">
        <v>21</v>
      </c>
      <c r="D3" t="s">
        <v>2</v>
      </c>
      <c r="E3" t="s">
        <v>1</v>
      </c>
      <c r="F3" s="1">
        <f>$H$2*G3</f>
        <v>28000</v>
      </c>
      <c r="G3" s="2">
        <v>20000</v>
      </c>
    </row>
    <row r="4" spans="2:8">
      <c r="B4" t="s">
        <v>13</v>
      </c>
      <c r="C4" t="s">
        <v>20</v>
      </c>
      <c r="D4" t="s">
        <v>2</v>
      </c>
      <c r="E4" t="s">
        <v>5</v>
      </c>
      <c r="F4" s="1">
        <f>$H$2*G4</f>
        <v>1428</v>
      </c>
      <c r="G4" s="2">
        <f>170*6</f>
        <v>1020</v>
      </c>
    </row>
    <row r="5" spans="2:8">
      <c r="B5" t="s">
        <v>10</v>
      </c>
      <c r="C5" t="s">
        <v>19</v>
      </c>
      <c r="D5" t="s">
        <v>5</v>
      </c>
      <c r="E5" t="s">
        <v>5</v>
      </c>
      <c r="F5" s="1">
        <f>$H$2*G5</f>
        <v>378000</v>
      </c>
      <c r="G5">
        <v>270000</v>
      </c>
    </row>
    <row r="6" spans="2:8">
      <c r="B6" t="s">
        <v>13</v>
      </c>
      <c r="C6" t="s">
        <v>18</v>
      </c>
      <c r="D6" t="s">
        <v>17</v>
      </c>
      <c r="E6" t="s">
        <v>1</v>
      </c>
      <c r="F6" s="1">
        <f>$H$2*G6</f>
        <v>125999.99999999999</v>
      </c>
      <c r="G6">
        <v>90000</v>
      </c>
    </row>
    <row r="7" spans="2:8">
      <c r="B7" t="s">
        <v>10</v>
      </c>
      <c r="C7" t="s">
        <v>16</v>
      </c>
      <c r="D7" t="s">
        <v>2</v>
      </c>
      <c r="E7" t="s">
        <v>1</v>
      </c>
      <c r="F7" s="1">
        <v>420000</v>
      </c>
    </row>
    <row r="8" spans="2:8">
      <c r="B8" t="s">
        <v>13</v>
      </c>
      <c r="C8" t="s">
        <v>15</v>
      </c>
      <c r="D8" t="s">
        <v>5</v>
      </c>
      <c r="E8" t="s">
        <v>5</v>
      </c>
      <c r="F8">
        <f>22400-1050*4-500</f>
        <v>17700</v>
      </c>
    </row>
    <row r="9" spans="2:8">
      <c r="B9" t="s">
        <v>7</v>
      </c>
      <c r="C9" t="s">
        <v>14</v>
      </c>
      <c r="D9" t="s">
        <v>5</v>
      </c>
      <c r="E9" t="s">
        <v>1</v>
      </c>
      <c r="F9" s="1" t="s">
        <v>0</v>
      </c>
    </row>
    <row r="10" spans="2:8">
      <c r="B10" t="s">
        <v>13</v>
      </c>
      <c r="C10" t="s">
        <v>12</v>
      </c>
      <c r="D10" t="s">
        <v>2</v>
      </c>
      <c r="E10" t="s">
        <v>11</v>
      </c>
      <c r="F10" s="1">
        <v>5000</v>
      </c>
    </row>
    <row r="11" spans="2:8">
      <c r="B11" t="s">
        <v>10</v>
      </c>
      <c r="C11" t="s">
        <v>9</v>
      </c>
      <c r="D11" t="s">
        <v>5</v>
      </c>
      <c r="E11" t="s">
        <v>5</v>
      </c>
      <c r="F11" s="1">
        <v>5000</v>
      </c>
    </row>
    <row r="12" spans="2:8">
      <c r="B12" t="s">
        <v>7</v>
      </c>
      <c r="C12" t="s">
        <v>8</v>
      </c>
      <c r="D12" t="s">
        <v>5</v>
      </c>
      <c r="E12" t="s">
        <v>5</v>
      </c>
      <c r="F12" s="1" t="s">
        <v>4</v>
      </c>
    </row>
    <row r="13" spans="2:8">
      <c r="B13" t="s">
        <v>7</v>
      </c>
      <c r="C13" t="s">
        <v>6</v>
      </c>
      <c r="D13" t="s">
        <v>5</v>
      </c>
      <c r="E13" t="s">
        <v>5</v>
      </c>
      <c r="F13" s="1" t="s">
        <v>4</v>
      </c>
    </row>
    <row r="14" spans="2:8">
      <c r="C14" t="s">
        <v>3</v>
      </c>
      <c r="D14" t="s">
        <v>2</v>
      </c>
      <c r="E14" t="s">
        <v>1</v>
      </c>
      <c r="F14" s="1" t="s">
        <v>0</v>
      </c>
    </row>
    <row r="15" spans="2:8">
      <c r="F15" s="1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09F8-76AB-42EC-A25B-5C40629219B7}">
  <dimension ref="B1:S50"/>
  <sheetViews>
    <sheetView tabSelected="1" topLeftCell="A11" workbookViewId="0">
      <selection activeCell="F58" sqref="F58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1" customWidth="1"/>
    <col min="8" max="8" width="11.7109375" style="2" customWidth="1"/>
    <col min="9" max="9" width="5.28515625" style="2" customWidth="1"/>
    <col min="10" max="10" width="11.140625" style="1" customWidth="1"/>
    <col min="11" max="11" width="9.140625" style="2" customWidth="1"/>
    <col min="12" max="12" width="2" style="2" customWidth="1"/>
    <col min="13" max="13" width="16.42578125" style="1" customWidth="1"/>
    <col min="14" max="14" width="7.5703125" style="2" customWidth="1"/>
    <col min="15" max="15" width="2.85546875" style="2" customWidth="1"/>
    <col min="16" max="16" width="10.140625" style="1" customWidth="1"/>
    <col min="17" max="17" width="7.5703125" style="2" customWidth="1"/>
    <col min="18" max="18" width="11.28515625" customWidth="1"/>
    <col min="19" max="19" width="7.5703125" customWidth="1"/>
  </cols>
  <sheetData>
    <row r="1" spans="2:19" ht="6" customHeight="1"/>
    <row r="2" spans="2:19">
      <c r="B2" s="50" t="s">
        <v>109</v>
      </c>
      <c r="C2" s="50" t="s">
        <v>108</v>
      </c>
      <c r="D2" s="50"/>
      <c r="E2" s="50"/>
      <c r="F2" s="50"/>
      <c r="G2" s="52" t="s">
        <v>107</v>
      </c>
      <c r="H2" s="51"/>
      <c r="I2" s="53"/>
      <c r="J2" s="52" t="s">
        <v>106</v>
      </c>
      <c r="K2" s="51"/>
      <c r="L2" s="53"/>
      <c r="M2" s="52" t="s">
        <v>105</v>
      </c>
      <c r="N2" s="51"/>
      <c r="O2" s="53"/>
      <c r="P2" s="52" t="s">
        <v>104</v>
      </c>
      <c r="Q2" s="51"/>
      <c r="R2" s="52">
        <v>42401</v>
      </c>
      <c r="S2" s="51"/>
    </row>
    <row r="3" spans="2:19">
      <c r="B3" s="50" t="s">
        <v>103</v>
      </c>
      <c r="C3" s="50" t="s">
        <v>102</v>
      </c>
      <c r="D3" s="50" t="s">
        <v>101</v>
      </c>
      <c r="E3" s="50"/>
      <c r="F3" s="50" t="s">
        <v>100</v>
      </c>
      <c r="G3" s="49" t="s">
        <v>23</v>
      </c>
      <c r="H3" s="48" t="s">
        <v>22</v>
      </c>
      <c r="I3" s="48"/>
      <c r="J3" s="49" t="s">
        <v>23</v>
      </c>
      <c r="K3" s="48" t="s">
        <v>22</v>
      </c>
      <c r="L3" s="48"/>
      <c r="M3" s="49" t="s">
        <v>23</v>
      </c>
      <c r="N3" s="48" t="s">
        <v>22</v>
      </c>
      <c r="O3" s="48"/>
      <c r="P3" s="49" t="s">
        <v>23</v>
      </c>
      <c r="Q3" s="48" t="s">
        <v>22</v>
      </c>
      <c r="R3" s="49" t="s">
        <v>23</v>
      </c>
      <c r="S3" s="48" t="s">
        <v>22</v>
      </c>
    </row>
    <row r="4" spans="2:19">
      <c r="B4" s="23" t="s">
        <v>46</v>
      </c>
      <c r="C4" s="23" t="s">
        <v>45</v>
      </c>
      <c r="D4" s="23" t="s">
        <v>61</v>
      </c>
      <c r="E4" s="23" t="s">
        <v>21</v>
      </c>
      <c r="F4" s="23" t="s">
        <v>43</v>
      </c>
      <c r="G4" s="22"/>
      <c r="H4" s="41">
        <f>K4</f>
        <v>20000</v>
      </c>
      <c r="I4" s="21"/>
      <c r="J4" s="22"/>
      <c r="K4" s="44">
        <f>N4</f>
        <v>20000</v>
      </c>
      <c r="L4" s="21"/>
      <c r="M4" s="22"/>
      <c r="N4" s="43">
        <f>Q4</f>
        <v>20000</v>
      </c>
      <c r="O4" s="21"/>
      <c r="P4" s="22"/>
      <c r="Q4" s="21">
        <v>20000</v>
      </c>
      <c r="R4" s="23"/>
      <c r="S4" s="21">
        <v>20000</v>
      </c>
    </row>
    <row r="5" spans="2:19">
      <c r="B5" s="23" t="s">
        <v>46</v>
      </c>
      <c r="C5" s="23" t="s">
        <v>45</v>
      </c>
      <c r="D5" s="23" t="s">
        <v>61</v>
      </c>
      <c r="E5" s="23" t="s">
        <v>99</v>
      </c>
      <c r="F5" s="23" t="s">
        <v>43</v>
      </c>
      <c r="G5" s="22"/>
      <c r="H5" s="41">
        <f>K5</f>
        <v>1800</v>
      </c>
      <c r="I5" s="21"/>
      <c r="J5" s="22"/>
      <c r="K5" s="21">
        <f>300*6</f>
        <v>1800</v>
      </c>
      <c r="L5" s="21"/>
      <c r="M5" s="22"/>
      <c r="N5" s="43">
        <f>Q5</f>
        <v>1200</v>
      </c>
      <c r="O5" s="21"/>
      <c r="P5" s="22"/>
      <c r="Q5" s="21">
        <f>200*6</f>
        <v>1200</v>
      </c>
      <c r="R5" s="23"/>
      <c r="S5" s="21">
        <v>1020</v>
      </c>
    </row>
    <row r="6" spans="2:19">
      <c r="B6" s="23" t="s">
        <v>53</v>
      </c>
      <c r="C6" s="23" t="s">
        <v>75</v>
      </c>
      <c r="D6" s="31" t="s">
        <v>59</v>
      </c>
      <c r="E6" s="23" t="s">
        <v>98</v>
      </c>
      <c r="F6" s="23" t="s">
        <v>43</v>
      </c>
      <c r="G6" s="22" t="s">
        <v>97</v>
      </c>
      <c r="H6" s="21">
        <f>1000*(4+2+5+3+7+10+3+5+2+3+1)</f>
        <v>45000</v>
      </c>
      <c r="I6" s="21"/>
      <c r="J6" s="22"/>
      <c r="K6" s="21">
        <v>32000</v>
      </c>
      <c r="L6" s="21"/>
      <c r="M6" s="22"/>
      <c r="N6" s="21">
        <v>0</v>
      </c>
      <c r="O6" s="21"/>
      <c r="P6" s="22"/>
      <c r="Q6" s="21">
        <v>0</v>
      </c>
      <c r="R6" s="23"/>
      <c r="S6" s="23"/>
    </row>
    <row r="7" spans="2:19">
      <c r="B7" s="23" t="s">
        <v>53</v>
      </c>
      <c r="C7" s="23" t="s">
        <v>55</v>
      </c>
      <c r="D7" s="31" t="s">
        <v>59</v>
      </c>
      <c r="E7" s="23" t="s">
        <v>96</v>
      </c>
      <c r="F7" s="23" t="s">
        <v>43</v>
      </c>
      <c r="G7" s="22"/>
      <c r="H7" s="21">
        <v>238</v>
      </c>
      <c r="I7" s="21"/>
      <c r="J7" s="22"/>
      <c r="K7" s="21" t="s">
        <v>95</v>
      </c>
      <c r="L7" s="21"/>
      <c r="M7" s="22"/>
      <c r="N7" s="21">
        <v>564</v>
      </c>
      <c r="O7" s="21"/>
      <c r="P7" s="22"/>
      <c r="Q7" s="21">
        <v>6100</v>
      </c>
      <c r="R7" s="23"/>
      <c r="S7" s="23"/>
    </row>
    <row r="8" spans="2:19">
      <c r="B8" s="23" t="s">
        <v>53</v>
      </c>
      <c r="C8" s="23" t="s">
        <v>45</v>
      </c>
      <c r="D8" s="31" t="s">
        <v>59</v>
      </c>
      <c r="E8" s="23" t="s">
        <v>94</v>
      </c>
      <c r="F8" s="23" t="s">
        <v>43</v>
      </c>
      <c r="G8" s="22"/>
      <c r="H8" s="21">
        <v>1500</v>
      </c>
      <c r="I8" s="21"/>
      <c r="J8" s="22"/>
      <c r="K8" s="21">
        <v>1500</v>
      </c>
      <c r="L8" s="21"/>
      <c r="M8" s="22"/>
      <c r="N8" s="21">
        <v>1642</v>
      </c>
      <c r="O8" s="21"/>
      <c r="P8" s="22"/>
      <c r="Q8" s="21">
        <v>1300</v>
      </c>
      <c r="R8" s="23"/>
      <c r="S8" s="23"/>
    </row>
    <row r="9" spans="2:19">
      <c r="B9" s="23" t="s">
        <v>53</v>
      </c>
      <c r="C9" s="23" t="s">
        <v>45</v>
      </c>
      <c r="D9" s="31" t="s">
        <v>59</v>
      </c>
      <c r="E9" s="23" t="s">
        <v>93</v>
      </c>
      <c r="F9" s="23" t="s">
        <v>43</v>
      </c>
      <c r="G9" s="22"/>
      <c r="H9" s="21">
        <v>1500</v>
      </c>
      <c r="I9" s="21"/>
      <c r="J9" s="22"/>
      <c r="K9" s="21">
        <v>1500</v>
      </c>
      <c r="L9" s="21"/>
      <c r="M9" s="22"/>
      <c r="N9" s="21">
        <v>2031</v>
      </c>
      <c r="O9" s="21"/>
      <c r="P9" s="22"/>
      <c r="Q9" s="21">
        <v>107000</v>
      </c>
      <c r="R9" s="23"/>
      <c r="S9" s="21">
        <v>120000</v>
      </c>
    </row>
    <row r="10" spans="2:19">
      <c r="B10" s="23" t="s">
        <v>53</v>
      </c>
      <c r="C10" s="23" t="s">
        <v>45</v>
      </c>
      <c r="D10" s="31" t="s">
        <v>59</v>
      </c>
      <c r="E10" s="23" t="s">
        <v>92</v>
      </c>
      <c r="F10" s="23" t="s">
        <v>43</v>
      </c>
      <c r="G10" s="22"/>
      <c r="H10" s="21">
        <f>6800+3700*7</f>
        <v>32700</v>
      </c>
      <c r="I10" s="18" t="s">
        <v>91</v>
      </c>
      <c r="J10" s="20"/>
      <c r="K10" s="19">
        <f>14300+2000</f>
        <v>16300</v>
      </c>
      <c r="L10" s="19"/>
      <c r="M10" s="20"/>
      <c r="N10" s="19">
        <v>57781</v>
      </c>
      <c r="O10" s="19"/>
      <c r="P10" s="20"/>
      <c r="Q10" s="19">
        <v>0</v>
      </c>
      <c r="R10" s="18"/>
      <c r="S10" s="18"/>
    </row>
    <row r="11" spans="2:19" ht="11.25" customHeight="1">
      <c r="B11" s="23" t="s">
        <v>53</v>
      </c>
      <c r="C11" s="23" t="s">
        <v>55</v>
      </c>
      <c r="D11" s="31" t="s">
        <v>59</v>
      </c>
      <c r="E11" s="23" t="s">
        <v>90</v>
      </c>
      <c r="F11" s="23" t="s">
        <v>43</v>
      </c>
      <c r="G11" s="22"/>
      <c r="H11" s="21">
        <v>45</v>
      </c>
      <c r="I11" s="18" t="s">
        <v>48</v>
      </c>
      <c r="J11" s="20"/>
      <c r="K11" s="19" t="s">
        <v>89</v>
      </c>
      <c r="L11" s="19"/>
      <c r="M11" s="20"/>
      <c r="N11" s="19">
        <v>-46000</v>
      </c>
      <c r="O11" s="19"/>
      <c r="P11" s="20"/>
      <c r="Q11" s="19">
        <v>-36000</v>
      </c>
      <c r="R11" s="18"/>
      <c r="S11" s="18"/>
    </row>
    <row r="12" spans="2:19" ht="14.25" customHeight="1">
      <c r="B12" s="23" t="s">
        <v>53</v>
      </c>
      <c r="C12" s="23" t="s">
        <v>55</v>
      </c>
      <c r="D12" s="31" t="s">
        <v>59</v>
      </c>
      <c r="E12" s="23" t="s">
        <v>88</v>
      </c>
      <c r="F12" s="23" t="s">
        <v>43</v>
      </c>
      <c r="G12" s="22"/>
      <c r="H12" s="21">
        <v>34004</v>
      </c>
      <c r="I12" s="18" t="s">
        <v>87</v>
      </c>
      <c r="J12" s="20"/>
      <c r="K12" s="47">
        <v>5000</v>
      </c>
      <c r="L12" s="19"/>
      <c r="M12" s="20"/>
      <c r="N12" s="46">
        <f>Q12</f>
        <v>5000</v>
      </c>
      <c r="O12" s="19"/>
      <c r="P12" s="20"/>
      <c r="Q12" s="19">
        <v>5000</v>
      </c>
      <c r="R12" s="18"/>
      <c r="S12" s="18"/>
    </row>
    <row r="13" spans="2:19">
      <c r="B13" s="23" t="s">
        <v>46</v>
      </c>
      <c r="C13" s="23" t="s">
        <v>65</v>
      </c>
      <c r="D13" s="23" t="s">
        <v>1</v>
      </c>
      <c r="E13" s="23" t="s">
        <v>86</v>
      </c>
      <c r="F13" s="23" t="s">
        <v>43</v>
      </c>
      <c r="G13" s="22"/>
      <c r="H13" s="41">
        <f>K13</f>
        <v>2500</v>
      </c>
      <c r="I13" s="21"/>
      <c r="J13" s="22"/>
      <c r="K13" s="44">
        <f>N13</f>
        <v>2500</v>
      </c>
      <c r="L13" s="21"/>
      <c r="M13" s="22"/>
      <c r="N13" s="43">
        <f>Q13</f>
        <v>2500</v>
      </c>
      <c r="O13" s="21"/>
      <c r="P13" s="22"/>
      <c r="Q13" s="21">
        <v>2500</v>
      </c>
      <c r="R13" s="23"/>
      <c r="S13" s="23"/>
    </row>
    <row r="14" spans="2:19">
      <c r="B14" s="23" t="s">
        <v>46</v>
      </c>
      <c r="C14" s="23" t="s">
        <v>65</v>
      </c>
      <c r="D14" s="23" t="s">
        <v>61</v>
      </c>
      <c r="E14" s="23" t="s">
        <v>85</v>
      </c>
      <c r="F14" s="23" t="s">
        <v>43</v>
      </c>
      <c r="G14" s="22"/>
      <c r="H14" s="41">
        <f>K14</f>
        <v>5000</v>
      </c>
      <c r="I14" s="21"/>
      <c r="J14" s="22"/>
      <c r="K14" s="44">
        <f>N14</f>
        <v>5000</v>
      </c>
      <c r="L14" s="21"/>
      <c r="M14" s="22"/>
      <c r="N14" s="43">
        <f>Q14</f>
        <v>5000</v>
      </c>
      <c r="O14" s="21"/>
      <c r="P14" s="22"/>
      <c r="Q14" s="21">
        <v>5000</v>
      </c>
      <c r="R14" s="23"/>
      <c r="S14" s="23"/>
    </row>
    <row r="15" spans="2:19">
      <c r="B15" s="23" t="s">
        <v>46</v>
      </c>
      <c r="C15" s="23" t="s">
        <v>63</v>
      </c>
      <c r="D15" s="23" t="s">
        <v>59</v>
      </c>
      <c r="E15" s="23" t="s">
        <v>84</v>
      </c>
      <c r="F15" s="23" t="s">
        <v>43</v>
      </c>
      <c r="G15" s="22"/>
      <c r="H15" s="21">
        <v>9800</v>
      </c>
      <c r="I15" s="21"/>
      <c r="J15" s="22"/>
      <c r="K15" s="21">
        <v>13400</v>
      </c>
      <c r="L15" s="21"/>
      <c r="M15" s="22"/>
      <c r="N15" s="21">
        <v>1300</v>
      </c>
      <c r="O15" s="21"/>
      <c r="P15" s="22"/>
      <c r="Q15" s="21">
        <v>900</v>
      </c>
      <c r="R15" s="23"/>
      <c r="S15" s="23"/>
    </row>
    <row r="16" spans="2:19" ht="13.15" customHeight="1">
      <c r="B16" s="23" t="s">
        <v>53</v>
      </c>
      <c r="C16" s="23" t="s">
        <v>65</v>
      </c>
      <c r="D16" s="45" t="s">
        <v>83</v>
      </c>
      <c r="E16" s="23" t="s">
        <v>82</v>
      </c>
      <c r="F16" s="23" t="s">
        <v>43</v>
      </c>
      <c r="G16" s="22"/>
      <c r="H16" s="41">
        <f>K16</f>
        <v>90000</v>
      </c>
      <c r="I16" s="21"/>
      <c r="J16" s="22"/>
      <c r="K16" s="44">
        <f>Q16</f>
        <v>90000</v>
      </c>
      <c r="L16" s="21"/>
      <c r="M16" s="22"/>
      <c r="N16" s="43">
        <f>Q16</f>
        <v>90000</v>
      </c>
      <c r="O16" s="21"/>
      <c r="P16" s="22"/>
      <c r="Q16" s="21">
        <v>90000</v>
      </c>
      <c r="R16" s="23"/>
      <c r="S16" s="21">
        <v>90000</v>
      </c>
    </row>
    <row r="17" spans="2:19">
      <c r="B17" s="42" t="s">
        <v>81</v>
      </c>
      <c r="C17" s="23" t="s">
        <v>65</v>
      </c>
      <c r="D17" s="37"/>
      <c r="E17" s="23" t="s">
        <v>80</v>
      </c>
      <c r="F17" s="23" t="s">
        <v>43</v>
      </c>
      <c r="G17" s="22"/>
      <c r="H17" s="41">
        <f>K17</f>
        <v>439000</v>
      </c>
      <c r="I17" s="21"/>
      <c r="J17" s="22"/>
      <c r="K17" s="21">
        <f>Q17+169000</f>
        <v>439000</v>
      </c>
      <c r="L17" s="21"/>
      <c r="M17" s="22"/>
      <c r="N17" s="21">
        <f>Q17+169000*40%</f>
        <v>337600</v>
      </c>
      <c r="O17" s="21"/>
      <c r="P17" s="22"/>
      <c r="Q17" s="21">
        <v>270000</v>
      </c>
      <c r="R17" s="23"/>
      <c r="S17" s="23"/>
    </row>
    <row r="18" spans="2:19">
      <c r="B18" s="40"/>
      <c r="C18" s="23" t="s">
        <v>65</v>
      </c>
      <c r="D18" s="37"/>
      <c r="E18" s="23" t="s">
        <v>79</v>
      </c>
      <c r="F18" s="23" t="s">
        <v>43</v>
      </c>
      <c r="G18" s="39">
        <f>J18</f>
        <v>200000</v>
      </c>
      <c r="H18" s="32"/>
      <c r="I18" s="21"/>
      <c r="J18" s="32">
        <f>M18</f>
        <v>200000</v>
      </c>
      <c r="K18" s="21"/>
      <c r="L18" s="21"/>
      <c r="M18" s="32">
        <f>P18</f>
        <v>200000</v>
      </c>
      <c r="N18" s="21"/>
      <c r="O18" s="21"/>
      <c r="P18" s="22">
        <v>200000</v>
      </c>
      <c r="Q18" s="21"/>
      <c r="R18" s="21">
        <v>105000</v>
      </c>
      <c r="S18" s="23"/>
    </row>
    <row r="19" spans="2:19">
      <c r="B19" s="23" t="s">
        <v>53</v>
      </c>
      <c r="C19" s="23" t="s">
        <v>65</v>
      </c>
      <c r="D19" s="37"/>
      <c r="E19" s="23" t="s">
        <v>78</v>
      </c>
      <c r="F19" s="23" t="s">
        <v>10</v>
      </c>
      <c r="G19" s="22">
        <v>750000</v>
      </c>
      <c r="H19" s="21"/>
      <c r="I19" s="21"/>
      <c r="J19" s="22">
        <f>750000-415000</f>
        <v>335000</v>
      </c>
      <c r="K19" s="21"/>
      <c r="L19" s="21"/>
      <c r="M19" s="32">
        <f>P19</f>
        <v>600000</v>
      </c>
      <c r="N19" s="21"/>
      <c r="O19" s="21"/>
      <c r="P19" s="22">
        <v>600000</v>
      </c>
      <c r="Q19" s="21"/>
      <c r="R19" s="22">
        <f>600000-154000</f>
        <v>446000</v>
      </c>
      <c r="S19" s="23"/>
    </row>
    <row r="20" spans="2:19">
      <c r="B20" s="23" t="s">
        <v>53</v>
      </c>
      <c r="C20" s="23" t="s">
        <v>75</v>
      </c>
      <c r="D20" s="37"/>
      <c r="E20" s="23" t="s">
        <v>77</v>
      </c>
      <c r="F20" s="23" t="s">
        <v>49</v>
      </c>
      <c r="G20" s="22">
        <f>0+27000+15000</f>
        <v>42000</v>
      </c>
      <c r="H20" s="21"/>
      <c r="I20" s="21"/>
      <c r="J20" s="22">
        <f>1000+18000+15000</f>
        <v>34000</v>
      </c>
      <c r="K20" s="21"/>
      <c r="L20" s="21"/>
      <c r="M20" s="22">
        <f>37303+14272+15932</f>
        <v>67507</v>
      </c>
      <c r="N20" s="21"/>
      <c r="O20" s="21"/>
      <c r="P20" s="22">
        <f>(35+13+14)*1000</f>
        <v>62000</v>
      </c>
      <c r="Q20" s="21"/>
      <c r="R20" s="27">
        <v>5000</v>
      </c>
      <c r="S20" s="23"/>
    </row>
    <row r="21" spans="2:19">
      <c r="B21" s="23" t="s">
        <v>53</v>
      </c>
      <c r="C21" s="23" t="s">
        <v>45</v>
      </c>
      <c r="D21" s="37"/>
      <c r="E21" s="23" t="s">
        <v>76</v>
      </c>
      <c r="F21" s="23" t="s">
        <v>43</v>
      </c>
      <c r="G21" s="22">
        <f>221400+71000</f>
        <v>292400</v>
      </c>
      <c r="H21" s="21"/>
      <c r="I21" s="21"/>
      <c r="J21" s="22">
        <f>205000+68000</f>
        <v>273000</v>
      </c>
      <c r="K21" s="21"/>
      <c r="L21" s="21"/>
      <c r="M21" s="22">
        <f>57247+54415</f>
        <v>111662</v>
      </c>
      <c r="N21" s="21"/>
      <c r="O21" s="21"/>
      <c r="P21" s="22">
        <f>51797+50452</f>
        <v>102249</v>
      </c>
      <c r="Q21" s="21"/>
      <c r="R21" s="22">
        <v>78000</v>
      </c>
      <c r="S21" s="23"/>
    </row>
    <row r="22" spans="2:19">
      <c r="B22" s="23" t="s">
        <v>53</v>
      </c>
      <c r="C22" s="23" t="s">
        <v>75</v>
      </c>
      <c r="D22" s="37"/>
      <c r="E22" s="23" t="s">
        <v>74</v>
      </c>
      <c r="F22" s="23" t="s">
        <v>43</v>
      </c>
      <c r="G22" s="22">
        <v>24600</v>
      </c>
      <c r="H22" s="21"/>
      <c r="I22" s="21"/>
      <c r="J22" s="22">
        <f>(113000+20000)+8000</f>
        <v>141000</v>
      </c>
      <c r="K22" s="21"/>
      <c r="L22" s="21"/>
      <c r="M22" s="22">
        <v>24201</v>
      </c>
      <c r="N22" s="21"/>
      <c r="O22" s="21"/>
      <c r="P22" s="22">
        <v>17000</v>
      </c>
      <c r="Q22" s="21"/>
      <c r="R22" s="27">
        <v>142000</v>
      </c>
      <c r="S22" s="23"/>
    </row>
    <row r="23" spans="2:19">
      <c r="B23" s="23" t="s">
        <v>46</v>
      </c>
      <c r="C23" s="23" t="s">
        <v>45</v>
      </c>
      <c r="D23" s="37"/>
      <c r="E23" s="23" t="s">
        <v>73</v>
      </c>
      <c r="F23" s="23" t="s">
        <v>49</v>
      </c>
      <c r="G23" s="38">
        <f>J23</f>
        <v>5000</v>
      </c>
      <c r="H23" s="21"/>
      <c r="I23" s="21"/>
      <c r="J23" s="38">
        <v>5000</v>
      </c>
      <c r="K23" s="21"/>
      <c r="L23" s="21"/>
      <c r="M23" s="32">
        <v>5000</v>
      </c>
      <c r="N23" s="21"/>
      <c r="O23" s="21"/>
      <c r="P23" s="22">
        <v>5000</v>
      </c>
      <c r="Q23" s="21"/>
      <c r="R23" s="23"/>
      <c r="S23" s="23"/>
    </row>
    <row r="24" spans="2:19">
      <c r="B24" s="23" t="s">
        <v>53</v>
      </c>
      <c r="C24" s="23" t="s">
        <v>65</v>
      </c>
      <c r="D24" s="37"/>
      <c r="E24" s="36" t="s">
        <v>72</v>
      </c>
      <c r="F24" s="23" t="s">
        <v>43</v>
      </c>
      <c r="G24" s="22">
        <v>50065</v>
      </c>
      <c r="H24" s="21"/>
      <c r="I24" s="18" t="s">
        <v>71</v>
      </c>
      <c r="J24" s="20" t="s">
        <v>70</v>
      </c>
      <c r="K24" s="19"/>
      <c r="L24" s="19"/>
      <c r="M24" s="35">
        <f>P24</f>
        <v>20000</v>
      </c>
      <c r="N24" s="19"/>
      <c r="O24" s="19"/>
      <c r="P24" s="20">
        <v>20000</v>
      </c>
      <c r="Q24" s="19"/>
      <c r="R24" s="20">
        <v>30000</v>
      </c>
      <c r="S24" s="18"/>
    </row>
    <row r="25" spans="2:19">
      <c r="B25" s="23" t="s">
        <v>46</v>
      </c>
      <c r="C25" s="23" t="s">
        <v>67</v>
      </c>
      <c r="D25" s="23" t="s">
        <v>1</v>
      </c>
      <c r="E25" s="23" t="s">
        <v>69</v>
      </c>
      <c r="F25" s="23" t="s">
        <v>43</v>
      </c>
      <c r="G25" s="22">
        <v>1234</v>
      </c>
      <c r="H25" s="21"/>
      <c r="I25" s="18" t="s">
        <v>68</v>
      </c>
      <c r="J25" s="20">
        <v>1000</v>
      </c>
      <c r="K25" s="19"/>
      <c r="L25" s="19"/>
      <c r="M25" s="20">
        <v>92574</v>
      </c>
      <c r="N25" s="19"/>
      <c r="O25" s="19"/>
      <c r="P25" s="20">
        <v>102000</v>
      </c>
      <c r="Q25" s="19"/>
      <c r="R25" s="34">
        <v>55000</v>
      </c>
      <c r="S25" s="18"/>
    </row>
    <row r="26" spans="2:19">
      <c r="B26" s="23" t="s">
        <v>46</v>
      </c>
      <c r="C26" s="23" t="s">
        <v>67</v>
      </c>
      <c r="D26" s="23" t="s">
        <v>1</v>
      </c>
      <c r="E26" s="23" t="s">
        <v>66</v>
      </c>
      <c r="F26" s="23" t="s">
        <v>43</v>
      </c>
      <c r="G26" s="22">
        <v>36140</v>
      </c>
      <c r="H26" s="21"/>
      <c r="I26" s="21"/>
      <c r="J26" s="22">
        <v>40000</v>
      </c>
      <c r="K26" s="21"/>
      <c r="L26" s="21"/>
      <c r="M26" s="22">
        <v>27907</v>
      </c>
      <c r="N26" s="21"/>
      <c r="O26" s="21"/>
      <c r="P26" s="22">
        <v>6000</v>
      </c>
      <c r="Q26" s="21"/>
      <c r="R26" s="27">
        <v>155000</v>
      </c>
      <c r="S26" s="23"/>
    </row>
    <row r="27" spans="2:19">
      <c r="B27" s="23" t="s">
        <v>53</v>
      </c>
      <c r="C27" s="23" t="s">
        <v>65</v>
      </c>
      <c r="D27" s="23" t="s">
        <v>59</v>
      </c>
      <c r="E27" s="23" t="s">
        <v>64</v>
      </c>
      <c r="F27" s="23" t="s">
        <v>43</v>
      </c>
      <c r="G27" s="22">
        <v>1000</v>
      </c>
      <c r="H27" s="21"/>
      <c r="I27" s="21"/>
      <c r="J27" s="22">
        <v>2000</v>
      </c>
      <c r="K27" s="21"/>
      <c r="L27" s="21"/>
      <c r="M27" s="22">
        <v>28176</v>
      </c>
      <c r="N27" s="21"/>
      <c r="O27" s="21"/>
      <c r="P27" s="22">
        <v>20000</v>
      </c>
      <c r="Q27" s="21"/>
      <c r="R27" s="23"/>
      <c r="S27" s="23"/>
    </row>
    <row r="28" spans="2:19">
      <c r="B28" s="23" t="s">
        <v>46</v>
      </c>
      <c r="C28" s="23" t="s">
        <v>63</v>
      </c>
      <c r="D28" s="33"/>
      <c r="E28" s="23" t="s">
        <v>62</v>
      </c>
      <c r="F28" s="23" t="s">
        <v>10</v>
      </c>
      <c r="G28" s="22">
        <f>15000*4</f>
        <v>60000</v>
      </c>
      <c r="H28" s="21"/>
      <c r="I28" s="21"/>
      <c r="J28" s="22">
        <f>15000*3</f>
        <v>45000</v>
      </c>
      <c r="K28" s="21"/>
      <c r="L28" s="21"/>
      <c r="M28" s="32">
        <v>0</v>
      </c>
      <c r="N28" s="21"/>
      <c r="O28" s="21"/>
      <c r="P28" s="22">
        <v>0</v>
      </c>
      <c r="Q28" s="21"/>
      <c r="R28" s="23"/>
      <c r="S28" s="23"/>
    </row>
    <row r="29" spans="2:19">
      <c r="B29" s="23" t="s">
        <v>53</v>
      </c>
      <c r="C29" s="23" t="s">
        <v>55</v>
      </c>
      <c r="D29" s="23" t="s">
        <v>61</v>
      </c>
      <c r="E29" s="23" t="s">
        <v>60</v>
      </c>
      <c r="F29" s="23" t="s">
        <v>43</v>
      </c>
      <c r="G29" s="22">
        <v>285000</v>
      </c>
      <c r="H29" s="21"/>
      <c r="I29" s="21"/>
      <c r="J29" s="22">
        <f>176000</f>
        <v>176000</v>
      </c>
      <c r="K29" s="21"/>
      <c r="L29" s="21"/>
      <c r="M29" s="32"/>
      <c r="N29" s="21"/>
      <c r="O29" s="21"/>
      <c r="P29" s="22"/>
      <c r="Q29" s="21"/>
      <c r="R29" s="23"/>
      <c r="S29" s="23"/>
    </row>
    <row r="30" spans="2:19">
      <c r="B30" s="23" t="s">
        <v>53</v>
      </c>
      <c r="C30" s="23" t="s">
        <v>55</v>
      </c>
      <c r="D30" s="31" t="s">
        <v>59</v>
      </c>
      <c r="E30" s="24" t="s">
        <v>58</v>
      </c>
      <c r="F30" s="23" t="s">
        <v>49</v>
      </c>
      <c r="G30" s="22">
        <v>10017</v>
      </c>
      <c r="H30" s="21"/>
      <c r="I30" s="21"/>
      <c r="J30" s="22">
        <v>9000</v>
      </c>
      <c r="K30" s="21"/>
      <c r="L30" s="21"/>
      <c r="M30" s="22">
        <v>20000</v>
      </c>
      <c r="N30" s="21"/>
      <c r="O30" s="21"/>
      <c r="P30" s="22">
        <v>0</v>
      </c>
      <c r="Q30" s="21"/>
      <c r="R30" s="23" t="s">
        <v>4</v>
      </c>
      <c r="S30" s="23"/>
    </row>
    <row r="31" spans="2:19">
      <c r="B31" s="23" t="s">
        <v>53</v>
      </c>
      <c r="C31" s="30" t="s">
        <v>57</v>
      </c>
      <c r="D31" s="29"/>
      <c r="E31" s="28"/>
      <c r="F31" s="25" t="s">
        <v>56</v>
      </c>
      <c r="G31" s="22">
        <v>385000</v>
      </c>
      <c r="H31" s="21"/>
      <c r="I31" s="21"/>
      <c r="J31" s="22">
        <v>598000</v>
      </c>
      <c r="K31" s="21"/>
      <c r="L31" s="21"/>
      <c r="M31" s="22">
        <f>27564</f>
        <v>27564</v>
      </c>
      <c r="N31" s="21"/>
      <c r="O31" s="21"/>
      <c r="P31" s="22">
        <v>20000</v>
      </c>
      <c r="Q31" s="21"/>
      <c r="R31" s="27">
        <v>20000</v>
      </c>
      <c r="S31" s="23"/>
    </row>
    <row r="32" spans="2:19">
      <c r="B32" s="23" t="s">
        <v>53</v>
      </c>
      <c r="C32" s="26" t="s">
        <v>55</v>
      </c>
      <c r="D32" s="23" t="s">
        <v>52</v>
      </c>
      <c r="E32" s="24" t="s">
        <v>54</v>
      </c>
      <c r="F32" s="25" t="s">
        <v>43</v>
      </c>
      <c r="G32" s="22">
        <v>-200970</v>
      </c>
      <c r="H32" s="21"/>
      <c r="I32" s="21"/>
      <c r="J32" s="22">
        <f>-140000</f>
        <v>-140000</v>
      </c>
      <c r="K32" s="21"/>
      <c r="L32" s="21"/>
      <c r="M32" s="22"/>
      <c r="N32" s="21"/>
      <c r="O32" s="21"/>
      <c r="P32" s="22"/>
      <c r="Q32" s="21"/>
      <c r="R32" s="23"/>
      <c r="S32" s="23"/>
    </row>
    <row r="33" spans="2:19">
      <c r="B33" s="23" t="s">
        <v>53</v>
      </c>
      <c r="C33" s="23" t="s">
        <v>45</v>
      </c>
      <c r="D33" s="23" t="s">
        <v>52</v>
      </c>
      <c r="E33" s="24" t="s">
        <v>51</v>
      </c>
      <c r="F33" s="25" t="s">
        <v>43</v>
      </c>
      <c r="G33" s="22">
        <v>-600</v>
      </c>
      <c r="H33" s="21"/>
      <c r="I33" s="21"/>
      <c r="J33" s="22">
        <v>0</v>
      </c>
      <c r="K33" s="21"/>
      <c r="L33" s="21"/>
      <c r="M33" s="22">
        <v>0</v>
      </c>
      <c r="N33" s="21"/>
      <c r="O33" s="21"/>
      <c r="P33" s="22">
        <v>0</v>
      </c>
      <c r="Q33" s="21"/>
      <c r="R33" s="23"/>
      <c r="S33" s="23"/>
    </row>
    <row r="34" spans="2:19">
      <c r="B34" s="23" t="s">
        <v>46</v>
      </c>
      <c r="C34" s="23" t="s">
        <v>45</v>
      </c>
      <c r="D34" s="23" t="s">
        <v>1</v>
      </c>
      <c r="E34" s="23" t="s">
        <v>50</v>
      </c>
      <c r="F34" s="23" t="s">
        <v>49</v>
      </c>
      <c r="G34" s="22">
        <v>1600</v>
      </c>
      <c r="H34" s="21"/>
      <c r="I34" s="18" t="s">
        <v>48</v>
      </c>
      <c r="J34" s="20" t="s">
        <v>47</v>
      </c>
      <c r="K34" s="19"/>
      <c r="L34" s="19"/>
      <c r="M34" s="20">
        <v>-30000</v>
      </c>
      <c r="N34" s="19"/>
      <c r="O34" s="19"/>
      <c r="P34" s="20">
        <v>-40000</v>
      </c>
      <c r="Q34" s="19"/>
      <c r="R34" s="20">
        <v>-30000</v>
      </c>
      <c r="S34" s="18"/>
    </row>
    <row r="35" spans="2:19">
      <c r="B35" s="23" t="s">
        <v>46</v>
      </c>
      <c r="C35" s="23" t="s">
        <v>45</v>
      </c>
      <c r="D35" s="23" t="s">
        <v>1</v>
      </c>
      <c r="E35" s="24" t="s">
        <v>44</v>
      </c>
      <c r="F35" s="23" t="s">
        <v>43</v>
      </c>
      <c r="G35" s="22">
        <v>20000</v>
      </c>
      <c r="H35" s="21"/>
      <c r="I35" s="21"/>
      <c r="J35" s="22">
        <v>16000</v>
      </c>
      <c r="K35" s="21" t="s">
        <v>42</v>
      </c>
      <c r="L35" s="18" t="s">
        <v>41</v>
      </c>
      <c r="M35" s="20"/>
      <c r="N35" s="19">
        <f>Q35</f>
        <v>20000</v>
      </c>
      <c r="O35" s="18"/>
      <c r="P35" s="20"/>
      <c r="Q35" s="19">
        <v>20000</v>
      </c>
      <c r="R35" s="18"/>
      <c r="S35" s="18"/>
    </row>
    <row r="36" spans="2:19">
      <c r="D36" s="7"/>
      <c r="E36" s="7" t="s">
        <v>40</v>
      </c>
      <c r="G36" s="1">
        <f>SUM(G4:G35)</f>
        <v>1962486</v>
      </c>
      <c r="H36" s="15">
        <f>SUM(H4:H35)</f>
        <v>683087</v>
      </c>
      <c r="J36" s="1">
        <f>SUM(J4:J35)</f>
        <v>1735000</v>
      </c>
      <c r="K36" s="2">
        <f>SUM(K4:K35)</f>
        <v>628000</v>
      </c>
      <c r="M36" s="1">
        <f>SUM(M4:M35)</f>
        <v>1194591</v>
      </c>
      <c r="N36" s="2">
        <f>SUM(N4:N35)</f>
        <v>498618</v>
      </c>
      <c r="P36" s="1">
        <f>SUM(P4:P35)</f>
        <v>1114249</v>
      </c>
      <c r="Q36" s="2">
        <f>SUM(Q4:Q35)</f>
        <v>493000</v>
      </c>
      <c r="R36" s="1">
        <f>SUM(R4:R35)</f>
        <v>1006000</v>
      </c>
      <c r="S36" s="2">
        <f>SUM(S4:S35)</f>
        <v>231020</v>
      </c>
    </row>
    <row r="37" spans="2:19">
      <c r="D37" s="7"/>
      <c r="E37" s="7" t="s">
        <v>39</v>
      </c>
      <c r="G37" s="1">
        <v>1962486</v>
      </c>
      <c r="H37" s="15">
        <v>683087</v>
      </c>
      <c r="J37" s="1">
        <v>1735000</v>
      </c>
      <c r="K37" s="2">
        <v>628000</v>
      </c>
      <c r="M37" s="1">
        <v>1194591</v>
      </c>
      <c r="N37" s="2">
        <v>498618</v>
      </c>
      <c r="P37" s="1">
        <v>1114249</v>
      </c>
      <c r="Q37" s="2">
        <v>493000</v>
      </c>
      <c r="R37" s="1">
        <v>1006000</v>
      </c>
      <c r="S37" s="2">
        <v>231202</v>
      </c>
    </row>
    <row r="38" spans="2:19">
      <c r="E38" s="17" t="s">
        <v>38</v>
      </c>
      <c r="F38" s="16">
        <v>1.34</v>
      </c>
      <c r="H38" s="1" t="s">
        <v>37</v>
      </c>
      <c r="K38" s="1" t="s">
        <v>36</v>
      </c>
      <c r="N38" s="15"/>
      <c r="P38"/>
      <c r="Q38"/>
    </row>
    <row r="39" spans="2:19" s="9" customFormat="1" ht="8.25">
      <c r="D39" s="14"/>
      <c r="E39" s="13" t="s">
        <v>35</v>
      </c>
      <c r="G39" s="12">
        <f>G40/$F$38</f>
        <v>2147628.7910447759</v>
      </c>
      <c r="H39" s="12"/>
      <c r="I39" s="10"/>
      <c r="J39" s="12">
        <f>J40/$F$38</f>
        <v>1922776.1194029849</v>
      </c>
      <c r="K39" s="12"/>
      <c r="L39" s="10"/>
      <c r="M39" s="11"/>
      <c r="N39" s="10"/>
      <c r="O39" s="10"/>
      <c r="P39" s="11"/>
      <c r="Q39" s="10"/>
    </row>
    <row r="40" spans="2:19">
      <c r="D40" s="7"/>
      <c r="E40" s="7" t="s">
        <v>34</v>
      </c>
      <c r="G40" s="8">
        <f>H36*$F$38+G36</f>
        <v>2877822.58</v>
      </c>
      <c r="H40" s="8"/>
      <c r="J40" s="8">
        <f>K36*$F$38+J36</f>
        <v>2576520</v>
      </c>
      <c r="K40" s="8"/>
      <c r="M40" s="8">
        <f>N36*1.37+M36</f>
        <v>1877697.6600000001</v>
      </c>
      <c r="N40" s="8"/>
      <c r="P40" s="8">
        <f>Q36*1.37+P36</f>
        <v>1789659</v>
      </c>
      <c r="Q40" s="8"/>
      <c r="R40" s="8">
        <f>S36*1.36+R36</f>
        <v>1320187.2</v>
      </c>
      <c r="S40" s="8"/>
    </row>
    <row r="41" spans="2:19">
      <c r="B41" t="s">
        <v>33</v>
      </c>
      <c r="D41" s="7"/>
      <c r="E41" s="7"/>
      <c r="G41" s="6"/>
      <c r="H41" s="6"/>
      <c r="J41" s="6"/>
      <c r="K41" s="6"/>
      <c r="M41" s="6"/>
      <c r="N41" s="6"/>
      <c r="P41" s="6"/>
      <c r="Q41" s="6"/>
      <c r="R41" s="6"/>
      <c r="S41" s="6"/>
    </row>
    <row r="42" spans="2:19">
      <c r="D42" s="7"/>
      <c r="E42" s="7"/>
      <c r="G42" s="6"/>
      <c r="H42" s="6"/>
      <c r="J42" s="6"/>
      <c r="K42" s="6"/>
      <c r="M42" s="6"/>
      <c r="N42" s="6"/>
      <c r="P42" s="6"/>
      <c r="Q42" s="6"/>
      <c r="R42" s="6"/>
      <c r="S42" s="6"/>
    </row>
    <row r="43" spans="2:19">
      <c r="B43" t="s">
        <v>32</v>
      </c>
      <c r="D43" s="7"/>
      <c r="E43" s="7"/>
      <c r="G43" s="6"/>
      <c r="H43" s="6"/>
      <c r="J43" s="6"/>
      <c r="K43" s="6"/>
      <c r="M43" s="6"/>
      <c r="N43" s="6"/>
      <c r="P43" s="6"/>
      <c r="Q43" s="6"/>
      <c r="R43" s="6"/>
      <c r="S43" s="6"/>
    </row>
    <row r="44" spans="2:19">
      <c r="B44" t="s">
        <v>31</v>
      </c>
      <c r="I44" s="1"/>
      <c r="L44" s="1"/>
      <c r="O44" s="1"/>
      <c r="Q44" s="1"/>
    </row>
    <row r="45" spans="2:19">
      <c r="B45" t="s">
        <v>30</v>
      </c>
      <c r="I45" s="1"/>
      <c r="L45" s="1"/>
      <c r="O45" s="1"/>
      <c r="Q45" s="1"/>
    </row>
    <row r="46" spans="2:19">
      <c r="H46" s="1"/>
      <c r="I46" s="1"/>
      <c r="K46" s="1"/>
      <c r="L46" s="1"/>
      <c r="N46" s="1"/>
      <c r="O46" s="1"/>
      <c r="Q46" s="1"/>
    </row>
    <row r="47" spans="2:19">
      <c r="B47" t="s">
        <v>29</v>
      </c>
      <c r="G47"/>
      <c r="H47"/>
      <c r="I47"/>
      <c r="J47"/>
      <c r="K47"/>
      <c r="L47"/>
      <c r="M47"/>
      <c r="N47"/>
      <c r="O47"/>
      <c r="P47"/>
      <c r="Q47"/>
    </row>
    <row r="48" spans="2:19" ht="12.75" customHeight="1">
      <c r="B48" s="4" t="s">
        <v>28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5"/>
      <c r="N48" s="4"/>
      <c r="O48" s="4"/>
      <c r="P48" s="4"/>
      <c r="Q48" s="4"/>
    </row>
    <row r="49" spans="2:17" ht="23.25">
      <c r="B49" s="4" t="s">
        <v>27</v>
      </c>
      <c r="C49" s="4"/>
      <c r="D49" s="4"/>
      <c r="E49" s="4"/>
      <c r="F49" s="4"/>
      <c r="G49" s="4"/>
      <c r="H49" s="4"/>
      <c r="I49" s="4"/>
      <c r="J49" s="4"/>
      <c r="K49" s="3"/>
      <c r="L49" s="4"/>
      <c r="M49" s="4"/>
      <c r="N49" s="4"/>
      <c r="O49" s="4"/>
      <c r="P49" s="4"/>
      <c r="Q49" s="4"/>
    </row>
    <row r="50" spans="2:17">
      <c r="B50" s="3"/>
      <c r="C50" s="3"/>
      <c r="D50" s="3"/>
      <c r="E50" s="3"/>
      <c r="F50" s="3"/>
      <c r="G50" s="3"/>
      <c r="H50" s="3"/>
      <c r="I50" s="3"/>
      <c r="J50" s="3"/>
      <c r="L50" s="3"/>
      <c r="M50" s="3"/>
      <c r="N50" s="3"/>
      <c r="O50" s="3"/>
      <c r="P50" s="3"/>
      <c r="Q50" s="3"/>
    </row>
  </sheetData>
  <mergeCells count="15"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  <mergeCell ref="M40:N40"/>
    <mergeCell ref="P40:Q40"/>
    <mergeCell ref="R40:S40"/>
  </mergeCells>
  <pageMargins left="0.25" right="0.25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 Aug12</vt:lpstr>
      <vt:lpstr>NAV23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2024-06-01T15:58:13Z</dcterms:created>
  <dcterms:modified xsi:type="dcterms:W3CDTF">2024-06-01T15:58:52Z</dcterms:modified>
</cp:coreProperties>
</file>