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2555320-ACD1-44A6-80A7-9AB22D0288C5}" xr6:coauthVersionLast="41" xr6:coauthVersionMax="47" xr10:uidLastSave="{00000000-0000-0000-0000-000000000000}"/>
  <bookViews>
    <workbookView xWindow="810" yWindow="-120" windowWidth="28110" windowHeight="164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20" i="32" l="1"/>
  <c r="MO33" i="32"/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<sst xmlns="http://schemas.openxmlformats.org/spreadsheetml/2006/main" count="8257" uniqueCount="3405">
  <si>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</si>
  <si>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</si>
  <si>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</si>
  <si>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</si>
  <si>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</si>
  <si>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</si>
  <si>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</si>
  <si>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</si>
  <si>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</si>
  <si>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</si>
  <si>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</si>
  <si>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</si>
  <si>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</si>
  <si>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</si>
  <si>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</si>
  <si>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</si>
  <si>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</si>
  <si>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</si>
  <si>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</si>
  <si>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</si>
  <si>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</si>
  <si>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</si>
  <si>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</si>
  <si>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</si>
  <si>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</si>
  <si>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</si>
  <si>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</si>
  <si>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</si>
  <si>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</si>
  <si>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</si>
  <si>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</si>
  <si>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</si>
  <si>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</si>
  <si>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</si>
  <si>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</si>
  <si>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</si>
  <si>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</si>
  <si>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</si>
  <si>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</si>
  <si>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</si>
  <si>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</si>
  <si>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</si>
  <si>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</si>
  <si>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</si>
  <si>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</si>
  <si>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</si>
  <si>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</si>
  <si>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</si>
  <si>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</si>
  <si>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</si>
  <si>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</si>
  <si>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</si>
  <si>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</si>
  <si>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</si>
  <si>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</si>
  <si>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</si>
  <si>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</si>
  <si>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</si>
  <si>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</si>
  <si>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</si>
  <si>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</si>
  <si>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</si>
  <si>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</si>
  <si>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</si>
  <si>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</si>
  <si>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</si>
  <si>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</si>
  <si>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</si>
  <si>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</si>
  <si>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</si>
  <si>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</si>
  <si>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</si>
  <si>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</si>
  <si>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</si>
  <si>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</si>
  <si>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</si>
  <si>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</si>
  <si>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</si>
  <si>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</si>
  <si>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</si>
  <si>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</si>
  <si>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</si>
  <si>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</si>
  <si>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</si>
  <si>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</si>
  <si>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</si>
  <si>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</si>
  <si>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</si>
  <si>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</si>
  <si>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</si>
  <si>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</si>
  <si>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</si>
  <si>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</si>
  <si>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</si>
  <si>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</si>
  <si>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</si>
  <si>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</si>
  <si>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</si>
  <si>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</si>
  <si>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</si>
  <si>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</si>
  <si>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</si>
  <si>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</si>
  <si>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</si>
  <si>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</si>
  <si>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</si>
  <si>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</si>
  <si>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</si>
  <si>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</si>
  <si>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</si>
  <si>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</si>
  <si>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</si>
  <si>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</si>
  <si>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</si>
  <si>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</si>
  <si>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</si>
  <si>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</si>
  <si>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</si>
  <si>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</si>
  <si>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</si>
  <si>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</si>
  <si>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</si>
  <si>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</si>
  <si>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</si>
  <si>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</si>
  <si>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</si>
  <si>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</si>
  <si>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</si>
  <si>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</si>
  <si>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</si>
  <si>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</si>
  <si>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</si>
  <si>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</si>
  <si>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</si>
  <si>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</si>
  <si>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</si>
  <si>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</si>
  <si>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</si>
  <si>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</si>
  <si>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</si>
  <si>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</si>
  <si>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</si>
  <si>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</si>
  <si>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</si>
  <si>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</si>
  <si>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</si>
  <si>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</si>
  <si>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</si>
  <si>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</si>
  <si>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</si>
  <si>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</si>
  <si>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</si>
  <si>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</si>
  <si>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</si>
  <si>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</si>
  <si>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</si>
  <si>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</si>
  <si>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</si>
  <si>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</si>
  <si>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</si>
  <si>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</si>
  <si>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</si>
  <si>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</si>
  <si>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</si>
  <si>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</si>
  <si>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</si>
  <si>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</si>
  <si>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</si>
  <si>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</si>
  <si>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</si>
  <si>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</si>
  <si>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</si>
  <si>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</si>
  <si>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</si>
  <si>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</si>
  <si>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</si>
  <si>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</si>
  <si>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</si>
  <si>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</si>
  <si>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</si>
  <si>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</si>
  <si>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</si>
  <si>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</si>
  <si>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</si>
  <si>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</si>
  <si>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</si>
  <si>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</si>
  <si>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</si>
  <si>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</si>
  <si>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</si>
  <si>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</si>
  <si>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</si>
  <si>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</si>
  <si>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</si>
  <si>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</si>
  <si>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</si>
  <si>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</si>
  <si>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</si>
  <si>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</si>
  <si>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</si>
  <si>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</si>
  <si>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</si>
  <si>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</si>
  <si>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</si>
  <si>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</si>
  <si>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</si>
  <si>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</si>
  <si>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</si>
  <si>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</si>
  <si>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</si>
  <si>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</si>
  <si>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</si>
  <si>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</si>
  <si>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</si>
  <si>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</si>
  <si>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</si>
  <si>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</si>
  <si>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</si>
  <si>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</si>
  <si>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</si>
  <si>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</si>
  <si>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</si>
  <si>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</si>
  <si>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</si>
  <si>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</si>
  <si>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</si>
  <si>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</si>
  <si>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</si>
  <si>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</si>
  <si>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</si>
  <si>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</si>
  <si>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</si>
  <si>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</si>
  <si>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</si>
  <si>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</si>
  <si>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</si>
  <si>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</si>
  <si>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</si>
  <si>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</si>
  <si>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</si>
  <si>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</si>
  <si>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</si>
  <si>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</si>
  <si>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</si>
  <si>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</si>
  <si>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</si>
  <si>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</si>
  <si>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</si>
  <si>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</si>
  <si>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</si>
  <si>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</si>
  <si>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</si>
  <si>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</si>
  <si>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</si>
  <si>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</si>
  <si>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</si>
  <si>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</si>
  <si>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</si>
  <si>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</si>
  <si>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</si>
  <si>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</si>
  <si>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</si>
  <si>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</si>
  <si>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</si>
  <si>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</si>
  <si>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</si>
  <si>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</si>
  <si>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</si>
  <si>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</si>
  <si>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</si>
  <si>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</si>
  <si>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</si>
  <si>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</si>
  <si>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</si>
  <si>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</si>
  <si>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</si>
  <si>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</si>
  <si>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</si>
  <si>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</si>
  <si>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</si>
  <si>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</si>
  <si>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</si>
  <si>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</si>
  <si>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</si>
  <si>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</si>
  <si>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</si>
  <si>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</si>
  <si>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</si>
  <si>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</si>
  <si>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</si>
  <si>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</si>
  <si>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</si>
  <si>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</si>
  <si>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</si>
  <si>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</si>
  <si>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</si>
  <si>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</si>
  <si>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</si>
  <si>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</si>
  <si>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</si>
  <si>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</si>
  <si>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</si>
  <si>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</si>
  <si>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</si>
  <si>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</si>
  <si>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</si>
  <si>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</si>
  <si>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</si>
  <si>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</si>
  <si>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</si>
  <si>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</si>
  <si>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</si>
  <si>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</si>
  <si>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</si>
  <si>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</si>
  <si>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</si>
  <si>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</si>
  <si>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</si>
  <si>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</si>
  <si>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</si>
  <si>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</si>
  <si>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</si>
  <si>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</si>
  <si>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</si>
  <si>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</si>
  <si>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</si>
  <si>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</si>
  <si>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</si>
  <si>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</si>
  <si>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</si>
  <si>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</si>
  <si>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</si>
  <si>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</si>
  <si>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</si>
  <si>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</si>
  <si>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</si>
  <si>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</si>
  <si>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</si>
  <si>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</si>
  <si>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</si>
  <si>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</si>
  <si>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</si>
  <si>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</si>
  <si>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</si>
  <si>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</si>
  <si>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</si>
  <si>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</si>
  <si>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</si>
  <si>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</si>
  <si>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</si>
  <si>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</si>
  <si>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</si>
  <si>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</si>
  <si>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</si>
  <si>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</si>
  <si>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</si>
  <si>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</si>
  <si>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</si>
  <si>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</si>
  <si>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</si>
  <si>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</si>
  <si>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</si>
  <si>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</si>
  <si>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</si>
  <si>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</si>
  <si>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</si>
  <si>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</si>
  <si>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</si>
  <si>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</si>
  <si>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</si>
  <si>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</si>
  <si>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</si>
  <si>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</si>
  <si>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</si>
  <si>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</si>
  <si>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</si>
  <si>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</si>
  <si>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</si>
  <si>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</si>
  <si>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</si>
  <si>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</si>
  <si>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</si>
  <si>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</si>
  <si>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</si>
  <si>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</si>
  <si>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</si>
  <si>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</si>
  <si>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</si>
  <si>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</si>
  <si>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</si>
  <si>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</si>
  <si>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</si>
  <si>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</si>
  <si>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</si>
  <si>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</si>
  <si>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</si>
  <si>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</si>
  <si>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</si>
  <si>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</si>
  <si>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</si>
  <si>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</si>
  <si>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</si>
  <si>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</si>
  <si>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</si>
  <si>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</si>
  <si>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</si>
  <si>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</si>
  <si>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</si>
  <si>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</si>
  <si>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</si>
  <si>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</si>
  <si>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</si>
  <si>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</si>
  <si>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</si>
  <si>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</si>
  <si>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</si>
  <si>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</si>
  <si>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</si>
  <si>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</si>
  <si>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</si>
  <si>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</si>
  <si>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</si>
  <si>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</si>
  <si>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</si>
  <si>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</si>
  <si>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</si>
  <si>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</si>
  <si>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</si>
  <si>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</si>
  <si>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</si>
  <si>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</si>
  <si>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</si>
  <si>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</si>
  <si>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</si>
  <si>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</si>
  <si>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</si>
  <si>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</si>
  <si>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</si>
  <si>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</si>
  <si>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</si>
  <si>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</si>
  <si>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</si>
  <si>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</si>
  <si>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</si>
  <si>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</si>
  <si>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</si>
  <si>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</si>
  <si>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</si>
  <si>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</si>
  <si>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</si>
  <si>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</si>
  <si>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</si>
  <si>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</si>
  <si>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</si>
  <si>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</si>
  <si>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</si>
  <si>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</si>
  <si>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</si>
  <si>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</si>
  <si>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</si>
  <si>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</si>
  <si>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</si>
  <si>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</si>
  <si>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</si>
  <si>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</si>
  <si>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</si>
  <si>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</si>
  <si>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</si>
  <si>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</si>
  <si>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</si>
  <si>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</si>
  <si>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</si>
  <si>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</si>
  <si>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</si>
  <si>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</si>
  <si>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</si>
  <si>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</si>
  <si>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</si>
  <si>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</si>
  <si>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</si>
  <si>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</si>
  <si>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</si>
  <si>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</si>
  <si>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</si>
  <si>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</si>
  <si>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</si>
  <si>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</si>
  <si>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</si>
  <si>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</si>
  <si>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</si>
  <si>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</si>
  <si>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</si>
  <si>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</si>
  <si>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</si>
  <si>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</si>
  <si>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</si>
  <si>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</si>
  <si>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</si>
  <si>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</si>
  <si>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</si>
  <si>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</si>
  <si>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</si>
  <si>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</si>
  <si>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</si>
  <si>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</si>
  <si>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</si>
  <si>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</si>
  <si>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</si>
  <si>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</si>
  <si>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</si>
  <si>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</si>
  <si>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</si>
  <si>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</si>
  <si>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</si>
  <si>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</si>
  <si>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</si>
  <si>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</si>
  <si>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</si>
  <si>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</si>
  <si>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</si>
  <si>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</si>
  <si>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</si>
  <si>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</si>
  <si>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</si>
  <si>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</si>
  <si>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</si>
  <si>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</si>
  <si>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</si>
  <si>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</si>
  <si>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</si>
  <si>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</si>
  <si>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</si>
  <si>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</si>
  <si>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</si>
  <si>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</si>
  <si>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</si>
  <si>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</si>
  <si>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</si>
  <si>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</si>
  <si>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</si>
  <si>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</si>
  <si>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</si>
  <si>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</si>
  <si>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</si>
  <si>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</si>
  <si>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</si>
  <si>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</si>
  <si>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</si>
  <si>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</si>
  <si>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</si>
  <si>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</si>
  <si>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</si>
  <si>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</si>
  <si>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</si>
  <si>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</si>
  <si>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</si>
  <si>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</si>
  <si>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</si>
  <si>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</si>
  <si>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</si>
  <si>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</si>
  <si>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</si>
  <si>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</si>
  <si>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</si>
  <si>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</si>
  <si>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</si>
  <si>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</si>
  <si>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</si>
  <si>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</si>
  <si>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</si>
  <si>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</si>
  <si>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</si>
  <si>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</si>
  <si>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</si>
  <si>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</si>
  <si>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</si>
  <si>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</si>
  <si>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</si>
  <si>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</si>
  <si>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</si>
  <si>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</si>
  <si>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</si>
  <si>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</si>
  <si>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</si>
  <si>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</si>
  <si>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</si>
  <si>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</si>
  <si>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</si>
  <si>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</si>
  <si>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</si>
  <si>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</si>
  <si>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</si>
  <si>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</si>
  <si>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</si>
  <si>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</si>
  <si>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</si>
  <si>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</si>
  <si>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</si>
  <si>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</si>
  <si>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</si>
  <si>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</si>
  <si>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</si>
  <si>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</si>
  <si>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</si>
  <si>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</si>
  <si>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</si>
  <si>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</si>
  <si>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</si>
  <si>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</si>
  <si>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</si>
  <si>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</si>
  <si>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</si>
  <si>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</si>
  <si>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</si>
  <si>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</si>
  <si>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</si>
  <si>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</si>
  <si>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</si>
  <si>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</si>
  <si>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</si>
  <si>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</si>
  <si>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</si>
  <si>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</si>
  <si>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</si>
  <si>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</si>
  <si>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</si>
  <si>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</si>
  <si>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</si>
  <si>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</si>
  <si>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</si>
  <si>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</si>
  <si>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</si>
  <si>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</si>
  <si>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</si>
  <si>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</si>
  <si>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</si>
  <si>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</si>
  <si>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</si>
  <si>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</si>
  <si>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</si>
  <si>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</si>
  <si>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</si>
  <si>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</si>
  <si>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</si>
  <si>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</si>
  <si>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</si>
  <si>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</si>
  <si>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</si>
  <si>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</si>
  <si>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</si>
  <si>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</si>
  <si>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</si>
  <si>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</si>
  <si>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</si>
  <si>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</si>
  <si>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</si>
  <si>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</si>
  <si>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</si>
  <si>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</si>
  <si>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</si>
  <si>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</si>
  <si>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</si>
  <si>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</si>
  <si>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</si>
  <si>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</si>
  <si>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</si>
  <si>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</si>
  <si>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</si>
  <si>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</si>
  <si>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</si>
  <si>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</si>
  <si>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</si>
  <si>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</si>
  <si>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</si>
  <si>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</si>
  <si>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</si>
  <si>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</si>
  <si>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</si>
  <si>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</si>
  <si>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</si>
  <si>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</si>
  <si>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</si>
  <si>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</si>
  <si>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</si>
  <si>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</si>
  <si>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</si>
  <si>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</si>
  <si>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</si>
  <si>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</si>
  <si>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</si>
  <si>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</si>
  <si>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</si>
  <si>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</si>
  <si>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</si>
  <si>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</si>
  <si>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</si>
  <si>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</si>
  <si>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</si>
  <si>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</si>
  <si>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</si>
  <si>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</si>
  <si>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</si>
  <si>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</si>
  <si>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</si>
  <si>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</si>
  <si>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</si>
  <si>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</si>
  <si>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</si>
  <si>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</si>
  <si>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</si>
  <si>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</si>
  <si>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</si>
  <si>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</si>
  <si>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</si>
  <si>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</si>
  <si>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</si>
  <si>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</si>
  <si>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</si>
  <si>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</si>
  <si>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</si>
  <si>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</si>
  <si>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</si>
  <si>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</si>
  <si>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</si>
  <si>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</si>
  <si>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</si>
  <si>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</si>
  <si>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</si>
  <si>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</si>
  <si>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</si>
  <si>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</si>
  <si>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</si>
  <si>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</si>
  <si>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</si>
  <si>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</si>
  <si>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</si>
  <si>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</si>
  <si>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</si>
  <si>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</si>
  <si>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</si>
  <si>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</si>
  <si>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</si>
  <si>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</si>
  <si>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</si>
  <si>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</si>
  <si>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</si>
  <si>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</si>
  <si>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</si>
  <si>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</si>
  <si>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</si>
  <si>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</si>
  <si>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</si>
  <si>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</si>
  <si>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</si>
  <si>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</si>
  <si>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</si>
  <si>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</si>
  <si>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</si>
  <si>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</si>
  <si>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</si>
  <si>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</si>
  <si>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</si>
  <si>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</si>
  <si>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</si>
  <si>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</si>
  <si>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</si>
  <si>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</si>
  <si>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</si>
  <si>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</si>
  <si>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</si>
  <si>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</si>
  <si>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</si>
  <si>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</si>
  <si>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</si>
  <si>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</si>
  <si>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</si>
  <si>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</si>
  <si>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</si>
  <si>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</si>
  <si>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</si>
  <si>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</si>
  <si>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</si>
  <si>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</si>
  <si>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</si>
  <si>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</si>
  <si>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</si>
  <si>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</si>
  <si>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</si>
  <si>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</si>
  <si>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</si>
  <si>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</si>
  <si>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</si>
  <si>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</si>
  <si>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</si>
  <si>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</si>
  <si>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</si>
  <si>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</si>
  <si>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</si>
  <si>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</si>
  <si>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</si>
  <si>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</si>
  <si>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</si>
  <si>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</si>
  <si>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</si>
  <si>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</si>
  <si>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</si>
  <si>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</si>
  <si>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</si>
  <si>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</si>
  <si>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</si>
  <si>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</si>
  <si>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</si>
  <si>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</si>
  <si>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</si>
  <si>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</si>
  <si>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</si>
  <si>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</si>
  <si>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</si>
  <si>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</si>
  <si>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</si>
  <si>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</si>
  <si>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</si>
  <si>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</si>
  <si>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</si>
  <si>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</si>
  <si>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</si>
  <si>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</si>
  <si>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</si>
  <si>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</si>
  <si>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</si>
  <si>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</si>
  <si>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</si>
  <si>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</si>
  <si>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</si>
  <si>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</si>
  <si>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</si>
  <si>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</si>
  <si>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</si>
  <si>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</si>
  <si>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</si>
  <si>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</si>
  <si>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</si>
  <si>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</si>
  <si>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</si>
  <si>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</si>
  <si>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</si>
  <si>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</si>
  <si>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</si>
  <si>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</si>
  <si>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</si>
  <si>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</si>
  <si>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</si>
  <si>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</si>
  <si>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</si>
  <si>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</si>
  <si>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</si>
  <si>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</si>
  <si>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</si>
  <si>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</si>
  <si>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</si>
  <si>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</si>
  <si>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</si>
  <si>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</si>
  <si>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</si>
  <si>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</si>
  <si>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</si>
  <si>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</si>
  <si>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</si>
  <si>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</si>
  <si>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</si>
  <si>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</si>
  <si>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</si>
  <si>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</si>
  <si>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</si>
  <si>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</si>
  <si>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</si>
  <si>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</si>
  <si>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</si>
  <si>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</si>
  <si>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</si>
  <si>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</si>
  <si>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</si>
  <si>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</si>
  <si>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</si>
  <si>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</si>
  <si>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</si>
  <si>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</si>
  <si>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</si>
  <si>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</si>
  <si>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</si>
  <si>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</si>
  <si>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</si>
  <si>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</si>
  <si>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</si>
  <si>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</si>
  <si>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</si>
  <si>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</si>
  <si>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</si>
  <si>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</si>
  <si>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</si>
  <si>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</si>
  <si>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</si>
  <si>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</si>
  <si>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</si>
  <si>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</si>
  <si>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</si>
  <si>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</si>
  <si>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</si>
  <si>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</si>
  <si>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</si>
  <si>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</si>
  <si>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</si>
  <si>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</si>
  <si>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</si>
  <si>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</si>
  <si>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</si>
  <si>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</si>
  <si>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</si>
  <si>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</si>
  <si>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</si>
  <si>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</si>
  <si>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</si>
  <si>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</si>
  <si>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</si>
  <si>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</si>
  <si>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</si>
  <si>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</si>
  <si>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</si>
  <si>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</si>
  <si>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</si>
  <si>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</si>
  <si>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</si>
  <si>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</si>
  <si>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</si>
  <si>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</si>
  <si>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</si>
  <si>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</si>
  <si>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</si>
  <si>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</si>
  <si>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</si>
  <si>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</si>
  <si>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</si>
  <si>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</si>
  <si>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</si>
  <si>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</si>
  <si>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</si>
  <si>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</si>
  <si>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</si>
  <si>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</si>
  <si>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</si>
  <si>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</si>
  <si>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</si>
  <si>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</si>
  <si>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</si>
  <si>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</si>
  <si>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</si>
  <si>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</si>
  <si>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</si>
  <si>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</si>
  <si>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</si>
  <si>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</si>
  <si>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</si>
  <si>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</si>
  <si>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</si>
  <si>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</si>
  <si>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</si>
  <si>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</si>
  <si>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</si>
  <si>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</si>
  <si>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</si>
  <si>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</si>
  <si>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</si>
  <si>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</si>
  <si>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</si>
  <si>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</si>
  <si>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</si>
  <si>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</si>
  <si>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</si>
  <si>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</si>
  <si>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</si>
  <si>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</si>
  <si>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</si>
  <si>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</si>
  <si>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</si>
  <si>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</si>
  <si>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</si>
  <si>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</si>
  <si>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</si>
  <si>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</si>
  <si>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</si>
  <si>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</si>
  <si>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</si>
  <si>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</si>
  <si>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</si>
  <si>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</si>
  <si>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</si>
  <si>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</si>
  <si>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</si>
  <si>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</si>
  <si>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</si>
  <si>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</si>
  <si>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</si>
  <si>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</si>
  <si>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</si>
  <si>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</si>
  <si>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</si>
  <si>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</si>
  <si>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</si>
  <si>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</si>
  <si>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</si>
  <si>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</si>
  <si>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</si>
  <si>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</si>
  <si>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</si>
  <si>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</si>
  <si>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</si>
  <si>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</si>
  <si>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</si>
  <si>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</si>
  <si>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</si>
  <si>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</si>
  <si>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</si>
  <si>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</si>
  <si>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</si>
  <si>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</si>
  <si>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</si>
  <si>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</si>
  <si>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</si>
  <si>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</si>
  <si>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</si>
  <si>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</si>
  <si>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</si>
  <si>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</si>
  <si>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</si>
  <si>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</si>
  <si>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</si>
  <si>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</si>
  <si>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</si>
  <si>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</si>
  <si>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</si>
  <si>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</si>
  <si>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</si>
  <si>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</si>
  <si>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</si>
  <si>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</si>
  <si>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</si>
  <si>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</si>
  <si>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</si>
  <si>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</si>
  <si>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</si>
  <si>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</si>
  <si>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</si>
  <si>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</si>
  <si>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</si>
  <si>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</si>
  <si>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</si>
  <si>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</si>
  <si>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</si>
  <si>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</si>
  <si>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</si>
  <si>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</si>
  <si>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</si>
  <si>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</si>
  <si>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</si>
  <si>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</si>
  <si>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</si>
  <si>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</si>
  <si>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</si>
  <si>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</si>
  <si>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</si>
  <si>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</si>
  <si>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</si>
  <si>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</si>
  <si>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</si>
  <si>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</si>
  <si>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</si>
  <si>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</si>
  <si>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</si>
  <si>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</si>
  <si>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</si>
  <si>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</si>
  <si>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</si>
  <si>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</si>
  <si>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</si>
  <si>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</si>
  <si>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</si>
  <si>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</si>
  <si>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</si>
  <si>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</si>
  <si>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</si>
  <si>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</si>
  <si>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</si>
  <si>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</si>
  <si>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</si>
  <si>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</si>
  <si>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</si>
  <si>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</si>
  <si>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</si>
  <si>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</si>
  <si>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</si>
  <si>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</si>
  <si>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</si>
  <si>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</si>
  <si>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</si>
  <si>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</si>
  <si>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</si>
  <si>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</si>
  <si>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</si>
  <si>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</si>
  <si>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</si>
  <si>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</si>
  <si>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</si>
  <si>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</si>
  <si>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</si>
  <si>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</si>
  <si>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</si>
  <si>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</si>
  <si>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</si>
  <si>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</si>
  <si>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</si>
  <si>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</si>
  <si>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</si>
  <si>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</si>
  <si>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</si>
  <si>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</si>
  <si>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</si>
  <si>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</si>
  <si>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</si>
  <si>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</si>
  <si>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</si>
  <si>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</si>
  <si>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</si>
  <si>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</si>
  <si>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</si>
  <si>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</si>
  <si>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</si>
  <si>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</si>
  <si>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</si>
  <si>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</si>
  <si>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</si>
  <si>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</si>
  <si>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</si>
  <si>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</si>
  <si>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</si>
  <si>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</si>
  <si>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</si>
  <si>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</si>
  <si>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</si>
  <si>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</si>
  <si>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</si>
  <si>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</si>
  <si>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</si>
  <si>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</si>
  <si>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</si>
  <si>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</si>
  <si>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</si>
  <si>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</si>
  <si>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</si>
  <si>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</si>
  <si>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</si>
  <si>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</si>
  <si>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</si>
  <si>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</si>
  <si>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</si>
  <si>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</si>
  <si>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</si>
  <si>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</si>
  <si>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</si>
  <si>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</si>
  <si>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</si>
  <si>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</si>
  <si>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</si>
  <si>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</si>
  <si>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</si>
  <si>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</si>
  <si>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</si>
  <si>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</si>
  <si>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</si>
  <si>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</si>
  <si>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</si>
  <si>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</si>
  <si>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</si>
  <si>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</si>
  <si>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</si>
  <si>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</si>
  <si>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</si>
  <si>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</si>
  <si>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</si>
  <si>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</si>
  <si>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</si>
  <si>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</si>
  <si>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</si>
  <si>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</si>
  <si>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</si>
  <si>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</si>
  <si>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</si>
  <si>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</si>
  <si>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</si>
  <si>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</si>
  <si>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</si>
  <si>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</si>
  <si>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</si>
  <si>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</si>
  <si>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</si>
  <si>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</si>
  <si>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</si>
  <si>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</si>
  <si>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</si>
  <si>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</si>
  <si>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</si>
  <si>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</si>
  <si>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</si>
  <si>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</si>
  <si>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</si>
  <si>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</si>
  <si>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</si>
  <si>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</si>
  <si>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</si>
  <si>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</si>
  <si>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</si>
  <si>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</si>
  <si>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</si>
  <si>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</si>
  <si>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</si>
  <si>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</si>
  <si>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</si>
  <si>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</si>
  <si>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</si>
  <si>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</si>
  <si>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</si>
  <si>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</si>
  <si>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</si>
  <si>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</si>
  <si>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</si>
  <si>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</si>
  <si>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</si>
  <si>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</si>
  <si>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</si>
  <si>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</si>
  <si>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</si>
  <si>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</si>
  <si>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</si>
  <si>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</si>
  <si>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</si>
  <si>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</si>
  <si>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</si>
  <si>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</si>
  <si>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</si>
  <si>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</si>
  <si>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</si>
  <si>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</si>
  <si>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</si>
  <si>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</si>
  <si>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</si>
  <si>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</si>
  <si>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</si>
  <si>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</si>
  <si>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</si>
  <si>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</si>
  <si>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</si>
  <si>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</si>
  <si>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</si>
  <si>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</si>
  <si>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</si>
  <si>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</si>
  <si>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</si>
  <si>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</si>
  <si>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</si>
  <si>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</si>
  <si>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</si>
  <si>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</si>
  <si>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</si>
  <si>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</si>
  <si>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</si>
  <si>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</si>
  <si>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</si>
  <si>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</si>
  <si>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</si>
  <si>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</si>
  <si>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</si>
  <si>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</si>
  <si>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</si>
  <si>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</si>
  <si>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</si>
  <si>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</si>
  <si>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</si>
  <si>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</si>
  <si>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</si>
  <si>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</si>
  <si>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</si>
  <si>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</si>
  <si>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</si>
  <si>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</si>
  <si>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</si>
  <si>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</si>
  <si>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</si>
  <si>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</si>
  <si>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</si>
  <si>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</si>
  <si>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</si>
  <si>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</si>
  <si>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</si>
  <si>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</si>
  <si>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</si>
  <si>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</si>
  <si>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</si>
  <si>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</si>
  <si>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</si>
  <si>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</si>
  <si>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</si>
  <si>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</si>
  <si>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</si>
  <si>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</si>
  <si>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</si>
  <si>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</si>
  <si>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</si>
  <si>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</si>
  <si>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</si>
  <si>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</si>
  <si>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</si>
  <si>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</si>
  <si>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</si>
  <si>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</si>
  <si>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</si>
  <si>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</si>
  <si>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</si>
  <si>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</si>
  <si>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</si>
  <si>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</si>
  <si>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</si>
  <si>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</si>
  <si>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</si>
  <si>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</si>
  <si>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</si>
  <si>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</si>
  <si>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</si>
  <si>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</si>
  <si>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</si>
  <si>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</si>
  <si>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</si>
  <si>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</si>
  <si>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</si>
  <si>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</si>
  <si>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</si>
  <si>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</si>
  <si>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</si>
  <si>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</si>
  <si>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</si>
  <si>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</si>
  <si>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</si>
  <si>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</si>
  <si>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</si>
  <si>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</si>
  <si>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</si>
  <si>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</si>
  <si>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</si>
  <si>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</si>
  <si>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</si>
  <si>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</si>
  <si>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</si>
  <si>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</si>
  <si>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</si>
  <si>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</si>
  <si>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</si>
  <si>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</si>
  <si>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</si>
  <si>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</si>
  <si>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</si>
  <si>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</si>
  <si>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</si>
  <si>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</si>
  <si>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</si>
  <si>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</si>
  <si>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</si>
  <si>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</si>
  <si>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</si>
  <si>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</si>
  <si>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</si>
  <si>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</si>
  <si>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</si>
  <si>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</si>
  <si>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</si>
  <si>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</si>
  <si>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</si>
  <si>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</si>
  <si>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</si>
  <si>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</si>
  <si>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</si>
  <si>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</si>
  <si>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</si>
  <si>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</si>
  <si>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</si>
  <si>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</si>
  <si>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</si>
  <si>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</si>
  <si>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</si>
  <si>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</si>
  <si>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</si>
  <si>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</si>
  <si>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</si>
  <si>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</si>
  <si>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</si>
  <si>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</si>
  <si>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</si>
  <si>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</si>
  <si>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</si>
  <si>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</si>
  <si>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</si>
  <si>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</si>
  <si>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</si>
  <si>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</si>
  <si>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</si>
  <si>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</si>
  <si>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</si>
  <si>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</si>
  <si>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</si>
  <si>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</si>
  <si>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</si>
  <si>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</si>
  <si>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</si>
  <si>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</si>
  <si>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</si>
  <si>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</si>
  <si>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</si>
  <si>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</si>
  <si>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</si>
  <si>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</si>
  <si>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</si>
  <si>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</si>
  <si>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</si>
  <si>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</si>
  <si>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</si>
  <si>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</si>
  <si>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</si>
  <si>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</si>
  <si>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</si>
  <si>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</si>
  <si>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</si>
  <si>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</si>
  <si>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</si>
  <si>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</si>
  <si>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</si>
  <si>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</si>
  <si>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</si>
  <si>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</si>
  <si>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</si>
  <si>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</si>
  <si>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</si>
  <si>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</si>
  <si>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</si>
  <si>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</si>
  <si>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</si>
  <si>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</si>
  <si>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</si>
  <si>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</si>
  <si>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</si>
  <si>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</si>
  <si>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</si>
  <si>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</si>
  <si>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</si>
  <si>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</si>
  <si>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</si>
  <si>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</si>
  <si>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</si>
  <si>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</si>
  <si>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</si>
  <si>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</si>
  <si>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</si>
  <si>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</si>
  <si>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</si>
  <si>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</si>
  <si>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</si>
  <si>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</si>
  <si>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</si>
  <si>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</si>
  <si>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</si>
  <si>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</si>
  <si>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</si>
  <si>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</si>
  <si>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</si>
  <si>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</si>
  <si>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</si>
  <si>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</si>
  <si>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</si>
  <si>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</si>
  <si>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</si>
  <si>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</si>
  <si>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</si>
  <si>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</si>
  <si>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</si>
  <si>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</si>
  <si>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</si>
  <si>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</si>
  <si>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</si>
  <si>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</si>
  <si>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</si>
  <si>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</si>
  <si>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</si>
  <si>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</si>
  <si>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</si>
  <si>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</si>
  <si>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</si>
  <si>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</si>
  <si>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</si>
  <si>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</si>
  <si>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</si>
  <si>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</si>
  <si>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</si>
  <si>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</si>
  <si>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</si>
  <si>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</si>
  <si>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</si>
  <si>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</si>
  <si>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</si>
  <si>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</si>
  <si>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</si>
  <si>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</si>
  <si>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</si>
  <si>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</si>
  <si>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</si>
  <si>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</si>
  <si>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</si>
  <si>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</si>
  <si>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</si>
  <si>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</si>
  <si>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</si>
  <si>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</si>
  <si>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</si>
  <si>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</si>
  <si>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</si>
  <si>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</si>
  <si>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</si>
  <si>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</si>
  <si>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</si>
  <si>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</si>
  <si>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</si>
  <si>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</si>
  <si>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</si>
  <si>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</si>
  <si>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</si>
  <si>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</si>
  <si>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</si>
  <si>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</si>
  <si>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</si>
  <si>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</si>
  <si>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</si>
  <si>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</si>
  <si>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</si>
  <si>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</si>
  <si>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</si>
  <si>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</si>
  <si>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</si>
  <si>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</si>
  <si>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</si>
  <si>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</si>
  <si>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</si>
  <si>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</si>
  <si>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</si>
  <si>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</si>
  <si>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</si>
  <si>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</si>
  <si>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</si>
  <si>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</si>
  <si>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</si>
  <si>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</si>
  <si>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</si>
  <si>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</si>
  <si>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</si>
  <si>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</si>
  <si>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</si>
  <si>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</si>
  <si>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</si>
  <si>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</si>
  <si>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</si>
  <si>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</si>
  <si>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</si>
  <si>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</si>
  <si>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</si>
  <si>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</si>
  <si>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</si>
  <si>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</si>
  <si>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</si>
  <si>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</si>
  <si>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</si>
  <si>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</si>
  <si>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</si>
  <si>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</si>
  <si>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</si>
  <si>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</si>
  <si>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</si>
  <si>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</si>
  <si>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</si>
  <si>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</si>
  <si>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</si>
  <si>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</si>
  <si>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</si>
  <si>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</si>
  <si>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</si>
  <si>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</si>
  <si>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</si>
  <si>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</si>
  <si>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</si>
  <si>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</si>
  <si>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</si>
  <si>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</si>
  <si>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</si>
  <si>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</si>
  <si>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</si>
  <si>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</si>
  <si>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</si>
  <si>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</si>
  <si>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</si>
  <si>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</si>
  <si>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</si>
  <si>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</si>
  <si>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</si>
  <si>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</si>
  <si>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</si>
  <si>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</si>
  <si>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</si>
  <si>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</si>
  <si>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</si>
  <si>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</si>
  <si>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</si>
  <si>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</si>
  <si>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</si>
  <si>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</si>
  <si>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</si>
  <si>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</si>
  <si>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</si>
  <si>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</si>
  <si>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</si>
  <si>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</si>
  <si>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</si>
  <si>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</si>
  <si>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</si>
  <si>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</si>
  <si>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</si>
  <si>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</si>
  <si>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</si>
  <si>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</si>
  <si>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</si>
  <si>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</si>
  <si>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</si>
  <si>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</si>
  <si>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</si>
  <si>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</si>
  <si>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</si>
  <si>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</si>
  <si>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</si>
  <si>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</si>
  <si>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</si>
  <si>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</si>
  <si>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</si>
  <si>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</si>
  <si>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</si>
  <si>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</si>
  <si>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</si>
  <si>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</si>
  <si>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</si>
  <si>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</si>
  <si>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</si>
  <si>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</si>
  <si>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</si>
  <si>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</si>
  <si>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</si>
  <si>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</si>
  <si>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</si>
  <si>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</si>
  <si>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</si>
  <si>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</si>
  <si>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</si>
  <si>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</si>
  <si>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</si>
  <si>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</si>
  <si>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</si>
  <si>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</si>
  <si>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</si>
  <si>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</si>
  <si>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</si>
  <si>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</si>
  <si>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</si>
  <si>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</si>
  <si>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</si>
  <si>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</si>
  <si>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</si>
  <si>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</si>
  <si>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</si>
  <si>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</si>
  <si>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</si>
  <si>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</si>
  <si>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</si>
  <si>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</si>
  <si>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</si>
  <si>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</si>
  <si>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</si>
  <si>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</si>
  <si>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</si>
  <si>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</si>
  <si>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</si>
  <si>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</si>
  <si>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</si>
  <si>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</si>
  <si>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</si>
  <si>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</si>
  <si>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</si>
  <si>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</si>
  <si>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</si>
  <si>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</si>
  <si>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</si>
  <si>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</si>
  <si>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</si>
  <si>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</si>
  <si>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</si>
  <si>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</si>
  <si>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</si>
  <si>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</si>
  <si>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</si>
  <si>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</si>
  <si>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</si>
  <si>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</si>
  <si>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</si>
  <si>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</si>
  <si>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</si>
  <si>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</si>
  <si>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</si>
  <si>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</si>
  <si>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</si>
  <si>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</si>
  <si>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</si>
  <si>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</si>
  <si>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</si>
  <si>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</si>
  <si>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</si>
  <si>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</si>
  <si>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</si>
  <si>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</si>
  <si>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</si>
  <si>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</si>
  <si>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</si>
  <si>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</si>
  <si>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</si>
  <si>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</si>
  <si>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</si>
  <si>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</si>
  <si>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</si>
  <si>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</si>
  <si>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</si>
  <si>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</si>
  <si>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</si>
  <si>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</si>
  <si>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</si>
  <si>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</si>
  <si>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</si>
  <si>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</si>
  <si>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</si>
  <si>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</si>
  <si>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</si>
  <si>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</si>
  <si>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</si>
  <si>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</si>
  <si>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</si>
  <si>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</si>
  <si>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</si>
  <si>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</si>
  <si>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</si>
  <si>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</si>
  <si>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</si>
  <si>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</si>
  <si>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</si>
  <si>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</si>
  <si>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</si>
  <si>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</si>
  <si>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</si>
  <si>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</si>
  <si>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</si>
  <si>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</si>
  <si>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</si>
  <si>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</si>
  <si>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</si>
  <si>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</si>
  <si>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</si>
  <si>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</si>
  <si>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</si>
  <si>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</si>
  <si>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</si>
  <si>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</si>
  <si>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</si>
  <si>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</si>
  <si>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</si>
  <si>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</si>
  <si>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</si>
  <si>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</si>
  <si>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</si>
  <si>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</si>
  <si>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</si>
  <si>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</si>
  <si>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</si>
  <si>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</si>
  <si>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</si>
  <si>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</si>
  <si>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</si>
  <si>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</si>
  <si>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</si>
  <si>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</si>
  <si>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</si>
  <si>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</si>
  <si>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</si>
  <si>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</si>
  <si>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</si>
  <si>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</si>
  <si>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</si>
  <si>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</si>
  <si>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</si>
  <si>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</si>
  <si>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</si>
  <si>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</si>
  <si>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</si>
  <si>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</si>
  <si>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</si>
  <si>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</si>
  <si>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</si>
  <si>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</si>
  <si>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</si>
  <si>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</si>
  <si>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</si>
  <si>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</si>
  <si>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</si>
  <si>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</si>
  <si>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</si>
  <si>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</si>
  <si>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</si>
  <si>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</si>
  <si>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</si>
  <si>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</si>
  <si>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</si>
  <si>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</si>
  <si>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</si>
  <si>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</si>
  <si>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</si>
  <si>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</si>
  <si>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</si>
  <si>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</si>
  <si>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</si>
  <si>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</si>
  <si>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</si>
  <si>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</si>
  <si>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</si>
  <si>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</si>
  <si>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</si>
  <si>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</si>
  <si>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</si>
  <si>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</si>
  <si>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</si>
  <si>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</si>
  <si>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</si>
  <si>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</si>
  <si>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</si>
  <si>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</si>
  <si>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</si>
  <si>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</si>
  <si>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</si>
  <si>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</si>
  <si>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</si>
  <si>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</si>
  <si>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</si>
  <si>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</si>
  <si>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</si>
  <si>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</si>
  <si>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</si>
  <si>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</si>
  <si>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</si>
  <si>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</si>
  <si>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</si>
  <si>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</si>
  <si>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</si>
  <si>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</si>
  <si>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</si>
  <si>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</si>
  <si>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</si>
  <si>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</si>
  <si>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</si>
  <si>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</si>
  <si>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</si>
  <si>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</si>
  <si>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</si>
  <si>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</si>
  <si>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</si>
  <si>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</si>
  <si>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</si>
  <si>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</si>
  <si>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</si>
  <si>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</si>
  <si>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</si>
  <si>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</si>
  <si>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</si>
  <si>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</si>
  <si>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</si>
  <si>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</si>
  <si>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</si>
  <si>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</si>
  <si>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</si>
  <si>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</si>
  <si>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</si>
  <si>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</si>
  <si>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</si>
  <si>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</si>
  <si>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</si>
  <si>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</si>
  <si>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</si>
  <si>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</si>
  <si>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</si>
  <si>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</si>
  <si>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</si>
  <si>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</si>
  <si>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</si>
  <si>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</si>
  <si>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</si>
  <si>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</si>
  <si>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</si>
  <si>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</si>
  <si>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</si>
  <si>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</si>
  <si>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</si>
  <si>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</si>
  <si>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</si>
  <si>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</si>
  <si>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</si>
  <si>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</si>
  <si>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</si>
  <si>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</si>
  <si>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</si>
  <si>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</si>
  <si>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</si>
  <si>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</si>
  <si>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</si>
  <si>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</si>
  <si>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</si>
  <si>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</si>
  <si>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</si>
  <si>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</si>
  <si>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</si>
  <si>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</si>
  <si>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</si>
  <si>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</si>
  <si>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</si>
  <si>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</si>
  <si>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</si>
  <si>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</si>
  <si>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</si>
  <si>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</si>
  <si>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</si>
  <si>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</si>
  <si>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</si>
  <si>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</si>
  <si>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</si>
  <si>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</si>
  <si>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</si>
  <si>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</si>
  <si>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</si>
  <si>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</si>
  <si>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</si>
  <si>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</si>
  <si>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</si>
  <si>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</si>
  <si>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</si>
  <si>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</si>
  <si>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</si>
  <si>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</si>
  <si>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</si>
  <si>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</si>
  <si>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</si>
  <si>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</si>
  <si>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</si>
  <si>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</si>
  <si>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</si>
  <si>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</si>
  <si>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</si>
  <si>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</si>
  <si>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</si>
  <si>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</si>
  <si>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</si>
  <si>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</si>
  <si>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</si>
  <si>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</si>
  <si>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</si>
  <si>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</si>
  <si>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</si>
  <si>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</si>
  <si>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</si>
  <si>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</si>
  <si>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</si>
  <si>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</si>
  <si>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</si>
  <si>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</si>
  <si>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</si>
  <si>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</si>
  <si>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</si>
  <si>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</si>
  <si>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</si>
  <si>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</si>
  <si>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</si>
  <si>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</si>
  <si>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</si>
  <si>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</si>
  <si>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</si>
  <si>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</si>
  <si>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</si>
  <si>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</si>
  <si>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</si>
  <si>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</si>
  <si>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</si>
  <si>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</si>
  <si>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</si>
  <si>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</si>
  <si>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</si>
  <si>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</si>
  <si>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</si>
  <si>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</si>
  <si>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</si>
  <si>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</si>
  <si>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</si>
  <si>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</si>
  <si>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</si>
  <si>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</si>
  <si>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</si>
  <si>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</si>
  <si>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</si>
  <si>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</si>
  <si>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</si>
  <si>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</si>
  <si>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</si>
  <si>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</si>
  <si>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</si>
  <si>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</si>
  <si>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</si>
  <si>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</si>
  <si>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</si>
  <si>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</si>
  <si>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</si>
  <si>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</si>
  <si>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</si>
  <si>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</si>
  <si>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</si>
  <si>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</si>
  <si>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</si>
  <si>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</si>
  <si>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</si>
  <si>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</si>
  <si>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</si>
  <si>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</si>
  <si>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</si>
  <si>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</si>
  <si>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</si>
  <si>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</si>
  <si>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</si>
  <si>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</si>
  <si>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</si>
  <si>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</si>
  <si>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</si>
  <si>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</si>
  <si>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</si>
  <si>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</si>
  <si>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</si>
  <si>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</si>
  <si>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</si>
  <si>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</si>
  <si>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</si>
  <si>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</si>
  <si>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</si>
  <si>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</si>
  <si>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</si>
  <si>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</si>
  <si>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</si>
  <si>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</si>
  <si>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</si>
  <si>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</si>
  <si>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</si>
  <si>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</si>
  <si>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</si>
  <si>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</si>
  <si>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</si>
  <si>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</si>
  <si>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</si>
  <si>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</si>
  <si>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</si>
  <si>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</si>
  <si>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</si>
  <si>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</si>
  <si>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</si>
  <si>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</si>
  <si>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</si>
  <si>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</si>
  <si>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</si>
  <si>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</si>
  <si>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</si>
  <si>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</si>
  <si>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</si>
  <si>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</si>
  <si>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</si>
  <si>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</si>
  <si>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</si>
  <si>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</si>
  <si>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</si>
  <si>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</si>
  <si>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</si>
  <si>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</si>
  <si>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</si>
  <si>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</si>
  <si>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</si>
  <si>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</si>
  <si>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</si>
  <si>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</si>
  <si>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</si>
  <si>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</si>
  <si>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</si>
  <si>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</si>
  <si>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</si>
  <si>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</si>
  <si>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</si>
  <si>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</si>
  <si>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</si>
  <si>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</si>
  <si>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</si>
  <si>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</si>
  <si>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</si>
  <si>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</si>
  <si>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</si>
  <si>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</si>
  <si>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</si>
  <si>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</si>
  <si>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</si>
  <si>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</si>
  <si>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</si>
  <si>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</si>
  <si>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</si>
  <si>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</si>
  <si>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</si>
  <si>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</si>
  <si>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</si>
  <si>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</si>
  <si>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</si>
  <si>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</si>
  <si>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</si>
  <si>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</si>
  <si>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</si>
  <si>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</si>
  <si>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</si>
  <si>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</si>
  <si>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</si>
  <si>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</si>
  <si>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</si>
  <si>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</si>
  <si>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</si>
  <si>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</si>
  <si>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</si>
  <si>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</si>
  <si>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</si>
  <si>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</si>
  <si>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</si>
  <si>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</si>
  <si>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</si>
  <si>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</si>
  <si>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</si>
  <si>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</si>
  <si>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</si>
  <si>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</si>
  <si>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</si>
  <si>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</si>
  <si>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</si>
  <si>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</si>
  <si>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</si>
  <si>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</si>
  <si>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</si>
  <si>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</si>
  <si>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</si>
  <si>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</si>
  <si>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</si>
  <si>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</si>
  <si>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</si>
  <si>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</si>
  <si>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</si>
  <si>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</si>
  <si>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</si>
  <si>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</si>
  <si>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</si>
  <si>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</si>
  <si>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</si>
  <si>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</si>
  <si>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</si>
  <si>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</si>
  <si>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</si>
  <si>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</si>
  <si>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</si>
  <si>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</si>
  <si>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</si>
  <si>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</si>
  <si>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</si>
  <si>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</si>
  <si>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</si>
  <si>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</si>
  <si>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</si>
  <si>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</si>
  <si>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</si>
  <si>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</si>
  <si>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</si>
  <si>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</si>
  <si>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</si>
  <si>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</si>
  <si>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</si>
  <si>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</si>
  <si>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</si>
  <si>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</si>
  <si>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</si>
  <si>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</si>
  <si>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</si>
  <si>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</si>
  <si>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</si>
  <si>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</si>
  <si>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</si>
  <si>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</si>
  <si>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</si>
  <si>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</si>
  <si>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</si>
  <si>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</si>
  <si>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</si>
  <si>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</si>
  <si>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</si>
  <si>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</si>
  <si>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</si>
  <si>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</si>
  <si>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</si>
  <si>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</si>
  <si>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</si>
  <si>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</si>
  <si>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</si>
  <si>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</si>
  <si>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</si>
  <si>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</si>
  <si>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</si>
  <si>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</si>
  <si>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</si>
  <si>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</si>
  <si>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</si>
  <si>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</si>
  <si>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</si>
  <si>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</si>
  <si>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</si>
  <si>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</si>
  <si>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</si>
  <si>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</si>
  <si>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</si>
  <si>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</si>
  <si>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</si>
  <si>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</si>
  <si>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</si>
  <si>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</si>
  <si>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</si>
  <si>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</si>
  <si>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</si>
  <si>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</si>
  <si>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</si>
  <si>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</si>
  <si>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</si>
  <si>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</si>
  <si>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</si>
  <si>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</si>
  <si>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</si>
  <si>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</si>
  <si>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</si>
  <si>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</si>
  <si>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</si>
  <si>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</si>
  <si>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</si>
  <si>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</si>
  <si>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</si>
  <si>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</si>
  <si>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</si>
  <si>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</si>
  <si>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</si>
  <si>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</si>
  <si>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</si>
  <si>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</si>
  <si>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</si>
  <si>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</si>
  <si>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</si>
  <si>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</si>
  <si>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</si>
  <si>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</si>
  <si>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</si>
  <si>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</si>
  <si>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</si>
  <si>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</si>
  <si>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</si>
  <si>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</si>
  <si>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</si>
  <si>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</si>
  <si>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</si>
  <si>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</si>
  <si>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</si>
  <si>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</si>
  <si>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</si>
  <si>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</si>
  <si>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</si>
  <si>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</si>
  <si>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</si>
  <si>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</si>
  <si>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</si>
  <si>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</si>
  <si>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</si>
  <si>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</si>
  <si>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</si>
  <si>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</si>
  <si>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</si>
  <si>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</si>
  <si>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</si>
  <si>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</si>
  <si>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</si>
  <si>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</si>
  <si>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</si>
  <si>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</si>
  <si>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</si>
  <si>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</si>
  <si>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</si>
  <si>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</si>
  <si>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</si>
  <si>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</si>
  <si>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</si>
  <si>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</si>
  <si>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</si>
  <si>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</si>
  <si>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</si>
  <si>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</si>
  <si>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</si>
  <si>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</si>
  <si>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</si>
  <si>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</si>
  <si>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</si>
  <si>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</si>
  <si>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</si>
  <si>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</si>
  <si>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</si>
  <si>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</si>
  <si>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</si>
  <si>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</si>
  <si>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</si>
  <si>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</si>
  <si>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</si>
  <si>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</si>
  <si>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</si>
  <si>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</si>
  <si>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</si>
  <si>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</si>
  <si>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</si>
  <si>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</si>
  <si>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</si>
  <si>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</si>
  <si>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</si>
  <si>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</si>
  <si>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</si>
  <si>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</si>
  <si>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</si>
  <si>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</si>
  <si>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</si>
  <si>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</si>
  <si>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</si>
  <si>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</si>
  <si>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</si>
  <si>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</si>
  <si>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</si>
  <si>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</si>
  <si>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</si>
  <si>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</si>
  <si>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</si>
  <si>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</si>
  <si>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</si>
  <si>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</si>
  <si>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</si>
  <si>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</si>
  <si>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</si>
  <si>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</si>
  <si>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</si>
  <si>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</si>
  <si>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</si>
  <si>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</si>
  <si>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</si>
  <si>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</si>
  <si>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</si>
  <si>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</si>
  <si>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</si>
  <si>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</si>
  <si>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</si>
  <si>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</si>
  <si>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</si>
  <si>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</si>
  <si>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</si>
  <si>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</si>
  <si>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</si>
  <si>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</si>
  <si>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</si>
  <si>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</si>
  <si>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</si>
  <si>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</si>
  <si>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</si>
  <si>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</si>
  <si>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</si>
  <si>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</si>
  <si>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</si>
  <si>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</si>
  <si>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</si>
  <si>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</si>
  <si>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</si>
  <si>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</si>
  <si>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</si>
  <si>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</si>
  <si>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</si>
  <si>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</si>
  <si>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</si>
  <si>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</si>
  <si>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</si>
  <si>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</si>
  <si>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</si>
  <si>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</si>
  <si>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</si>
  <si>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</si>
  <si>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</si>
  <si>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</si>
  <si>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</si>
  <si>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</si>
  <si>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</si>
  <si>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</si>
  <si>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</si>
  <si>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</si>
  <si>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</si>
  <si>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</si>
  <si>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</si>
  <si>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</si>
  <si>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</si>
  <si>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</si>
  <si>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</si>
  <si>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</si>
  <si>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</si>
  <si>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</si>
  <si>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</si>
  <si>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</si>
  <si>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</si>
  <si>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</si>
  <si>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</si>
  <si>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</si>
  <si>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</si>
  <si>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</si>
  <si>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</si>
  <si>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</si>
  <si>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</si>
  <si>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</si>
  <si>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</si>
  <si>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</si>
  <si>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</si>
  <si>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</si>
  <si>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</si>
  <si>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</si>
  <si>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</si>
  <si>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</si>
  <si>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</si>
  <si>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</si>
  <si>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</si>
  <si>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</si>
  <si>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</si>
  <si>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</si>
  <si>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</si>
  <si>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</si>
  <si>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</si>
  <si>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</si>
  <si>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</si>
  <si>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</si>
  <si>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</si>
  <si>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</si>
  <si>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</si>
  <si>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</si>
  <si>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</si>
  <si>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</si>
  <si>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</si>
  <si>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</si>
  <si>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</si>
  <si>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</si>
  <si>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</si>
  <si>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</si>
  <si>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</si>
  <si>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</si>
  <si>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</si>
  <si>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</si>
  <si>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</si>
  <si>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</si>
  <si>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</si>
  <si>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</si>
  <si>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</si>
  <si>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</si>
  <si>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</si>
  <si>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</si>
  <si>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</si>
  <si>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</si>
  <si>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</si>
  <si>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</si>
  <si>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</si>
  <si>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</si>
  <si>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</si>
  <si>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</si>
  <si>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</si>
  <si>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</si>
  <si>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</si>
  <si>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</si>
  <si>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</si>
  <si>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</si>
  <si>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</si>
  <si>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</si>
  <si>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</si>
  <si>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</si>
  <si>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</si>
  <si>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</si>
  <si>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</si>
  <si>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</si>
  <si>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</si>
  <si>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</si>
  <si>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</si>
  <si>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</si>
  <si>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</si>
  <si>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</si>
  <si>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</si>
  <si>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</si>
  <si>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</si>
  <si>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</si>
  <si>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</si>
  <si>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</si>
  <si>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</si>
  <si>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</si>
  <si>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</si>
  <si>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</si>
  <si>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</si>
  <si>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</si>
  <si>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</si>
  <si>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</si>
  <si>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</si>
  <si>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</si>
  <si>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</si>
  <si>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</si>
  <si>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</si>
  <si>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</si>
  <si>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</si>
  <si>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</si>
  <si>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</si>
  <si>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</si>
  <si>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</si>
  <si>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</si>
  <si>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</si>
  <si>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</si>
  <si>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</si>
  <si>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</si>
  <si>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</si>
  <si>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</si>
  <si>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</si>
  <si>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</si>
  <si>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</si>
  <si>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</si>
  <si>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</si>
  <si>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</si>
  <si>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</si>
  <si>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</si>
  <si>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</si>
  <si>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</si>
  <si>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</si>
  <si>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</si>
  <si>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</si>
  <si>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</si>
  <si>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</si>
  <si>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</si>
  <si>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</si>
  <si>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</si>
  <si>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</si>
  <si>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</si>
  <si>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</si>
  <si>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</si>
  <si>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</si>
  <si>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</si>
  <si>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</si>
  <si>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</si>
  <si>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</si>
  <si>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</si>
  <si>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</si>
  <si>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</si>
  <si>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</si>
  <si>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</si>
  <si>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</si>
  <si>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</si>
  <si>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</si>
  <si>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</si>
  <si>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</si>
  <si>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</si>
  <si>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</si>
  <si>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</si>
  <si>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</si>
  <si>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</si>
  <si>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</si>
  <si>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</si>
  <si>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</si>
  <si>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</si>
  <si>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</si>
  <si>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</si>
  <si>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</si>
  <si>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</si>
  <si>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</si>
  <si>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</si>
  <si>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</si>
  <si>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</si>
  <si>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</si>
  <si>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</si>
  <si>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</si>
  <si>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</si>
  <si>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</si>
  <si>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</si>
  <si>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</si>
  <si>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</si>
  <si>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</si>
  <si>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</si>
  <si>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</si>
  <si>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</si>
  <si>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</si>
  <si>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</si>
  <si>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</si>
  <si>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</si>
  <si>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</si>
  <si>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</si>
  <si>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</si>
  <si>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</si>
  <si>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</si>
  <si>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</si>
  <si>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</si>
  <si>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</si>
  <si>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</si>
  <si>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</si>
  <si>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</si>
  <si>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</si>
  <si>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</si>
  <si>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</si>
  <si>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</si>
  <si>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</si>
  <si>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</si>
  <si>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</si>
  <si>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</si>
  <si>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</si>
  <si>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</si>
  <si>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</si>
  <si>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</si>
  <si>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</si>
  <si>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</si>
  <si>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</si>
  <si>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</si>
  <si>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</si>
  <si>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</si>
  <si>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</si>
  <si>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</si>
  <si>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</si>
  <si>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</si>
  <si>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</si>
  <si>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</si>
  <si>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</si>
  <si>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</si>
  <si>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</si>
  <si>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</si>
  <si>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</si>
  <si>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</si>
  <si>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</si>
  <si>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</si>
  <si>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</si>
  <si>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</si>
  <si>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</si>
  <si>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</si>
  <si>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</si>
  <si>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</si>
  <si>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</si>
  <si>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</si>
  <si>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</si>
  <si>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</si>
  <si>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</si>
  <si>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</si>
  <si>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</si>
  <si>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</si>
  <si>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</si>
  <si>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</si>
  <si>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</si>
  <si>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</si>
  <si>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</si>
  <si>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</si>
  <si>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</si>
  <si>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</si>
  <si>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</si>
  <si>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</si>
  <si>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</si>
  <si>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</si>
  <si>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</si>
  <si>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</si>
  <si>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</si>
  <si>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</si>
  <si>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</si>
  <si>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</si>
  <si>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</si>
  <si>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</si>
  <si>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</si>
  <si>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</si>
  <si>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</si>
  <si>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</si>
  <si>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</si>
  <si>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</si>
  <si>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</si>
  <si>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</si>
  <si>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</si>
  <si>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</si>
  <si>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</si>
  <si>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</si>
  <si>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</si>
  <si>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</si>
  <si>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</si>
  <si>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</si>
  <si>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</si>
  <si>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</si>
  <si>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</si>
  <si>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</si>
  <si>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</si>
  <si>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</si>
  <si>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</si>
  <si>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</si>
  <si>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</si>
  <si>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</si>
  <si>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</si>
  <si>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</si>
  <si>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</si>
  <si>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</si>
  <si>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</si>
  <si>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</si>
  <si>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</si>
  <si>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</si>
  <si>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</si>
  <si>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</si>
  <si>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</si>
  <si>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</si>
  <si>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</si>
  <si>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</si>
  <si>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</si>
  <si>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</si>
  <si>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</si>
  <si>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</si>
  <si>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</si>
  <si>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</si>
  <si>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</si>
  <si>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</si>
  <si>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</si>
  <si>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</si>
  <si>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</si>
  <si>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</si>
  <si>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</si>
  <si>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</si>
  <si>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</si>
  <si>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</si>
  <si>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</si>
  <si>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</si>
  <si>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</si>
  <si>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</si>
  <si>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</si>
  <si>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</si>
  <si>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</si>
  <si>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</si>
  <si>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</si>
  <si>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</si>
  <si>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</si>
  <si>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</si>
  <si>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</si>
  <si>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</si>
  <si>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</si>
  <si>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</si>
  <si>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</si>
  <si>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</si>
  <si>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</si>
  <si>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</si>
  <si>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</si>
  <si>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</si>
  <si>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</si>
  <si>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</si>
  <si>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</si>
  <si>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</si>
  <si>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</si>
  <si>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</si>
  <si>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</si>
  <si>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</si>
  <si>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</si>
  <si>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</si>
  <si>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</si>
  <si>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</si>
  <si>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</si>
  <si>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</si>
  <si>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</si>
  <si>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</si>
  <si>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</si>
  <si>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</si>
  <si>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</si>
  <si>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</si>
  <si>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</si>
  <si>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</si>
  <si>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</si>
  <si>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</si>
  <si>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</si>
  <si>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</si>
  <si>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</si>
  <si>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</si>
  <si>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</si>
  <si>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</si>
  <si>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</si>
  <si>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</si>
  <si>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</si>
  <si>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</si>
  <si>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</si>
  <si>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</si>
  <si>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</si>
  <si>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</si>
  <si>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</si>
  <si>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</si>
  <si>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</si>
  <si>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</si>
  <si>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</si>
  <si>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</si>
  <si>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</si>
  <si>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</si>
  <si>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</si>
  <si>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</si>
  <si>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</si>
  <si>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</si>
  <si>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</si>
  <si>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</si>
  <si>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</si>
  <si>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</si>
  <si>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</si>
  <si>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</si>
  <si>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</si>
  <si>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</si>
  <si>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</si>
  <si>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</si>
  <si>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</si>
  <si>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</si>
  <si>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</si>
  <si>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</si>
  <si>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</si>
  <si>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</si>
  <si>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</si>
  <si>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</si>
  <si>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</si>
  <si>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</si>
  <si>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</si>
  <si>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</si>
  <si>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</si>
  <si>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</si>
  <si>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</si>
  <si>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</si>
  <si>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</si>
  <si>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</si>
  <si>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</si>
  <si>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</si>
  <si>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</si>
  <si>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</si>
  <si>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</si>
  <si>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</si>
  <si>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</si>
  <si>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</si>
  <si>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</si>
  <si>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</si>
  <si>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</si>
  <si>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</si>
  <si>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</si>
  <si>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</si>
  <si>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</si>
  <si>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</si>
  <si>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</si>
  <si>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</si>
  <si>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</si>
  <si>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</si>
  <si>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</si>
  <si>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</si>
  <si>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</si>
  <si>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</si>
  <si>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</si>
  <si>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</si>
  <si>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</si>
  <si>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</si>
  <si>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</si>
  <si>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</si>
  <si>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</si>
  <si>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</si>
  <si>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</si>
  <si>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</si>
  <si>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</si>
  <si>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</si>
  <si>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</si>
  <si>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</si>
  <si>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</si>
  <si>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</si>
  <si>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</si>
  <si>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</si>
  <si>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</si>
  <si>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</si>
  <si>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</si>
  <si>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</si>
  <si>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</si>
  <si>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</si>
  <si>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</si>
  <si>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</si>
  <si>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</si>
  <si>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</si>
  <si>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</si>
  <si>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</si>
  <si>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</si>
  <si>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</si>
  <si>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</si>
  <si>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</si>
  <si>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</si>
  <si>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</si>
  <si>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</si>
  <si>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</si>
  <si>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</si>
  <si>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</si>
  <si>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</si>
  <si>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</si>
  <si>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</si>
  <si>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</si>
  <si>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</si>
  <si>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</si>
  <si>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</si>
  <si>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</si>
  <si>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</si>
  <si>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</si>
  <si>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</si>
  <si>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</si>
  <si>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</si>
  <si>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</si>
  <si>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</si>
  <si>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</si>
  <si>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</si>
  <si>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</si>
  <si>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</si>
  <si>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</si>
  <si>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</si>
  <si>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</si>
  <si>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</si>
  <si>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</si>
  <si>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</si>
  <si>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</si>
  <si>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</si>
  <si>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</si>
  <si>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</si>
  <si>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</si>
  <si>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</si>
  <si>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</si>
  <si>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</si>
  <si>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</si>
  <si>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</si>
  <si>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</si>
  <si>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</si>
  <si>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</si>
  <si>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</si>
  <si>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</si>
  <si>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</si>
  <si>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</si>
  <si>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</si>
  <si>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</si>
  <si>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</si>
  <si>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</si>
  <si>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</si>
  <si>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</si>
  <si>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</si>
  <si>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</si>
  <si>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</si>
  <si>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</si>
  <si>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</si>
  <si>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</si>
  <si>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</si>
  <si>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</si>
  <si>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</si>
  <si>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</si>
  <si>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</si>
  <si>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</si>
  <si>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</si>
  <si>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</si>
  <si>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</si>
  <si>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</si>
  <si>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</si>
  <si>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</si>
  <si>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</si>
  <si>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</si>
  <si>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</si>
  <si>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</si>
  <si>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</si>
  <si>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</si>
  <si>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</si>
  <si>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</si>
  <si>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</si>
  <si>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</si>
  <si>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</si>
  <si>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</si>
  <si>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</si>
  <si>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</si>
  <si>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</si>
  <si>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</si>
  <si>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</si>
  <si>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</si>
  <si>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</si>
  <si>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</si>
  <si>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</si>
  <si>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</si>
  <si>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</si>
  <si>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</si>
  <si>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</si>
  <si>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</si>
  <si>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</si>
  <si>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</si>
  <si>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</si>
  <si>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</si>
  <si>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</si>
  <si>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</si>
  <si>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</si>
  <si>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</si>
  <si>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</si>
  <si>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</si>
  <si>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</si>
  <si>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</si>
  <si>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</si>
  <si>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</si>
  <si>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</si>
  <si>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</si>
  <si>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</si>
  <si>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</si>
  <si>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</si>
  <si>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</si>
  <si>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</si>
  <si>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</si>
  <si>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</si>
  <si>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</si>
  <si>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</si>
  <si>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</si>
  <si>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</si>
  <si>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</si>
  <si>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</si>
  <si>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</si>
  <si>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</si>
  <si>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</si>
  <si>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</si>
  <si>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</si>
  <si>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</si>
  <si>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</si>
  <si>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</si>
  <si>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</si>
  <si>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</si>
  <si>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</si>
  <si>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</si>
  <si>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</si>
  <si>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</si>
  <si>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</si>
  <si>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</si>
  <si>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</si>
  <si>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</si>
  <si>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</si>
  <si>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</si>
  <si>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</si>
  <si>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</si>
  <si>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</si>
  <si>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</si>
  <si>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</si>
  <si>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</si>
  <si>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</si>
  <si>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</si>
  <si>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</si>
  <si>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</si>
  <si>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</si>
  <si>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</si>
  <si>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</si>
  <si>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</si>
  <si>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</si>
  <si>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</si>
  <si>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</si>
  <si>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</si>
  <si>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</si>
  <si>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</si>
  <si>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</si>
  <si>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</si>
  <si>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</si>
  <si>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</si>
  <si>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</si>
  <si>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</si>
  <si>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</si>
  <si>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</si>
  <si>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</si>
  <si>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</si>
  <si>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</si>
  <si>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</si>
  <si>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</si>
  <si>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</si>
  <si>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</si>
  <si>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</si>
  <si>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</si>
  <si>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</si>
  <si>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</si>
  <si>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</si>
  <si>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</si>
  <si>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</si>
  <si>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</si>
  <si>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</si>
  <si>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</si>
  <si>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</si>
  <si>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</si>
  <si>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</si>
  <si>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</si>
  <si>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</si>
  <si>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</si>
  <si>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</si>
  <si>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</si>
  <si>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</si>
  <si>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</si>
  <si>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</si>
  <si>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</si>
  <si>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</si>
  <si>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</si>
  <si>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</si>
  <si>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</si>
  <si>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</si>
  <si>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</si>
  <si>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</si>
  <si>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</si>
  <si>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</si>
  <si>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</si>
  <si>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</si>
  <si>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</si>
  <si>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</si>
  <si>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</si>
  <si>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</si>
  <si>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</si>
  <si>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</si>
  <si>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</si>
  <si>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</si>
  <si>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</si>
  <si>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</si>
  <si>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</si>
  <si>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</si>
  <si>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</si>
  <si>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</si>
  <si>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</si>
  <si>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</si>
  <si>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</si>
  <si>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</si>
  <si>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</si>
  <si>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</si>
  <si>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</si>
  <si>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</si>
  <si>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</si>
  <si>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</si>
  <si>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</si>
  <si>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</si>
  <si>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</si>
  <si>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</si>
  <si>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</si>
  <si>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</si>
  <si>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</si>
  <si>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</si>
  <si>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</si>
  <si>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</si>
  <si>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</si>
  <si>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</si>
  <si>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</si>
  <si>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</si>
  <si>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</si>
  <si>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</si>
  <si>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</si>
  <si>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</si>
  <si>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</si>
  <si>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</si>
  <si>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</si>
  <si>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</si>
  <si>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</si>
  <si>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</si>
  <si>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</si>
  <si>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</si>
  <si>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</si>
  <si>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</si>
  <si>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</si>
  <si>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</si>
  <si>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</si>
  <si>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</si>
  <si>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</si>
  <si>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</si>
  <si>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</si>
  <si>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</si>
  <si>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</si>
  <si>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</si>
  <si>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</si>
  <si>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</si>
  <si>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</si>
  <si>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</si>
  <si>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</si>
  <si>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</si>
  <si>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</si>
  <si>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</si>
  <si>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</si>
  <si>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</si>
  <si>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</si>
  <si>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</si>
  <si>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</si>
  <si>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</si>
  <si>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</si>
  <si>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</si>
  <si>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</si>
  <si>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</si>
  <si>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</si>
  <si>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</si>
  <si>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</si>
  <si>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</si>
  <si>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</si>
  <si>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</si>
  <si>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</si>
  <si>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</si>
  <si>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</si>
  <si>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</si>
  <si>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</si>
  <si>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</si>
  <si>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</si>
  <si>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</si>
  <si>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</si>
  <si>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</si>
  <si>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</si>
  <si>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</si>
  <si>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</si>
  <si>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</si>
  <si>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</si>
  <si>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</si>
  <si>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</si>
  <si>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</si>
  <si>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</si>
  <si>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</si>
  <si>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</si>
  <si>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</si>
  <si>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</si>
  <si>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</si>
  <si>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</si>
  <si>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</si>
  <si>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</si>
  <si>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</si>
  <si>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</si>
  <si>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</si>
  <si>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</si>
  <si>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</si>
  <si>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</si>
  <si>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</si>
  <si>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</si>
  <si>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</si>
  <si>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</si>
  <si>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</si>
  <si>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</si>
  <si>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</si>
  <si>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</si>
  <si>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</si>
  <si>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</si>
  <si>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</si>
  <si>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</si>
  <si>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</si>
  <si>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</si>
  <si>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</si>
  <si>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</si>
  <si>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</si>
  <si>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</si>
  <si>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</si>
  <si>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</si>
  <si>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</si>
  <si>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</si>
  <si>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</si>
  <si>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</si>
  <si>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</si>
  <si>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</si>
  <si>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</si>
  <si>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</si>
  <si>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</si>
  <si>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</si>
  <si>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</si>
  <si>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</si>
  <si>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</si>
  <si>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</si>
  <si>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</si>
  <si>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</si>
  <si>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</si>
  <si>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</si>
  <si>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</si>
  <si>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</si>
  <si>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</si>
  <si>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</si>
  <si>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</si>
  <si>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</si>
  <si>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</si>
  <si>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</si>
  <si>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</si>
  <si>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</si>
  <si>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</si>
  <si>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</si>
  <si>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</si>
  <si>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</si>
  <si>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</si>
  <si>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</si>
  <si>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</si>
  <si>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</si>
  <si>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</si>
  <si>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</si>
  <si>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</si>
  <si>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</si>
  <si>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</si>
  <si>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</si>
  <si>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</si>
  <si>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</si>
  <si>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</si>
  <si>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</si>
  <si>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</si>
  <si>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</si>
  <si>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</si>
  <si>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</si>
  <si>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</si>
  <si>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</si>
  <si>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</si>
  <si>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</si>
  <si>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</si>
  <si>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</si>
  <si>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</si>
  <si>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</si>
  <si>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</si>
  <si>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</si>
  <si>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</si>
  <si>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</si>
  <si>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</si>
  <si>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</si>
  <si>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</si>
  <si>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</si>
  <si>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</si>
  <si>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</si>
  <si>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</si>
  <si>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</si>
  <si>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</si>
  <si>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</si>
  <si>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</si>
  <si>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</si>
  <si>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</si>
  <si>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</si>
  <si>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</si>
  <si>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</si>
  <si>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</si>
  <si>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</si>
  <si>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</si>
  <si>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</si>
  <si>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</si>
  <si>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</si>
  <si>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</si>
  <si>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</si>
  <si>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</si>
  <si>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</si>
  <si>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</si>
  <si>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</si>
  <si>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</si>
  <si>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</si>
  <si>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</si>
  <si>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</si>
  <si>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</si>
  <si>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</si>
  <si>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</si>
  <si>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</si>
  <si>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</si>
  <si>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</si>
  <si>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</si>
  <si>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</si>
  <si>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</si>
  <si>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</si>
  <si>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</si>
  <si>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</si>
  <si>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</si>
  <si>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</si>
  <si>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</si>
  <si>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</si>
  <si>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</si>
  <si>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</si>
  <si>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</si>
  <si>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</si>
  <si>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</si>
  <si>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</si>
  <si>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</si>
  <si>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</si>
  <si>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</si>
  <si>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</si>
  <si>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</si>
  <si>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</si>
  <si>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</si>
  <si>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</si>
  <si>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</si>
  <si>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</si>
  <si>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</si>
  <si>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纸币 #A-B unaffected#24/5</t>
  </si>
  <si>
    <t>tBill</t>
  </si>
  <si>
    <t>too low</t>
  </si>
  <si>
    <t xml:space="preserve">scsc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</si>
</sst>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3" formatCode="_(&quot;$&quot;* #,##0.000_);_(&quot;$&quot;* \(#,##0.000\);_(&quot;$&quot;* &quot;-&quot;???_);_(@_)"/>
    <numFmt numFmtId="184" formatCode="[$SGD]\ #,##0.00_);[Red]\([$SGD]\ #,##0.00\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1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66" fillId="0" borderId="0" xfId="0" applyFont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6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10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62">
        <f>K4+K10</f>
        <v>162133</v>
      </c>
      <c r="M1" s="324" t="s">
        <v>5</v>
      </c>
      <c r="N1" s="462">
        <f>N4+N10</f>
        <v>162098</v>
      </c>
      <c r="P1" s="324" t="s">
        <v>6</v>
      </c>
      <c r="Q1" s="462">
        <f>Q4+Q10</f>
        <v>163077</v>
      </c>
      <c r="S1" s="324" t="s">
        <v>7</v>
      </c>
      <c r="T1" s="462">
        <f>T4+T10</f>
        <v>163735</v>
      </c>
      <c r="V1" s="324" t="s">
        <v>8</v>
      </c>
      <c r="W1" s="462">
        <f>W4+W10</f>
        <v>150712.25</v>
      </c>
      <c r="Y1" s="324" t="s">
        <v>9</v>
      </c>
      <c r="Z1" s="503">
        <f>Z4+Z10</f>
        <v>168724</v>
      </c>
      <c r="AB1" s="324" t="s">
        <v>10</v>
      </c>
      <c r="AC1" s="462">
        <f>AC4+AC10</f>
        <v>172572</v>
      </c>
      <c r="AE1" s="324" t="s">
        <v>11</v>
      </c>
      <c r="AF1" s="462">
        <f>AF4+AF10</f>
        <v>179304</v>
      </c>
      <c r="AH1" s="324" t="s">
        <v>12</v>
      </c>
      <c r="AI1" s="462">
        <f>AI4+AI10</f>
        <v>183632.36</v>
      </c>
      <c r="AK1" s="324" t="s">
        <v>13</v>
      </c>
      <c r="AL1" s="462">
        <f>AL4+AL10</f>
        <v>184144.27</v>
      </c>
      <c r="AN1" s="324" t="s">
        <v>14</v>
      </c>
      <c r="AO1" s="462">
        <f>AO4+AO9+AO10</f>
        <v>63910.009999999995</v>
      </c>
      <c r="AQ1" s="324" t="s">
        <v>15</v>
      </c>
      <c r="AR1" s="462">
        <f>AR4+AR9+AR10</f>
        <v>64590.26</v>
      </c>
      <c r="AT1" s="324" t="s">
        <v>16</v>
      </c>
      <c r="AU1" s="462">
        <f>AU4+AU9+AU10</f>
        <v>65928.56</v>
      </c>
      <c r="AW1" s="324" t="s">
        <v>17</v>
      </c>
      <c r="AX1" s="462">
        <f>AX4+AX9+AX10+AX11</f>
        <v>62919.979999999996</v>
      </c>
      <c r="AZ1" s="324" t="s">
        <v>18</v>
      </c>
      <c r="BA1" s="462">
        <f>BA4+BA9+BA12+BA13+BA10+BA11</f>
        <v>63989.439999999995</v>
      </c>
      <c r="BC1" s="324" t="s">
        <v>19</v>
      </c>
      <c r="BD1" s="462">
        <f>BD4+BD9+BD11+BD10+BD12</f>
        <v>61117</v>
      </c>
      <c r="BF1" s="324" t="s">
        <v>20</v>
      </c>
      <c r="BG1" s="462">
        <f>BG4+BG9+BG11+BG10+BG12</f>
        <v>63433.31</v>
      </c>
      <c r="BI1" s="324" t="s">
        <v>21</v>
      </c>
      <c r="BJ1" s="462">
        <f>BJ4+BJ9+BJ11+BJ10</f>
        <v>69487</v>
      </c>
      <c r="BL1" s="324" t="s">
        <v>22</v>
      </c>
      <c r="BM1" s="462">
        <f>BM4+BM9+BM10</f>
        <v>63990</v>
      </c>
      <c r="BO1" s="324" t="s">
        <v>22</v>
      </c>
      <c r="BP1" s="462">
        <f>BP4+BP9+BP10</f>
        <v>64935</v>
      </c>
      <c r="BR1" s="324" t="s">
        <v>23</v>
      </c>
      <c r="BS1" s="462">
        <f>BS4+BS9+BS10</f>
        <v>64481</v>
      </c>
    </row>
    <row r="2" spans="1:72" s="461" customFormat="1">
      <c r="A2" s="463" t="s">
        <v>24</v>
      </c>
      <c r="B2" s="464">
        <f>B3+B6</f>
        <v>37000</v>
      </c>
      <c r="D2" s="465" t="s">
        <v>25</v>
      </c>
      <c r="E2" s="464">
        <f>E3+E6</f>
        <v>38000</v>
      </c>
      <c r="G2" s="465" t="s">
        <v>26</v>
      </c>
      <c r="H2" s="464">
        <f>H3+H6</f>
        <v>36471</v>
      </c>
      <c r="J2" s="465" t="s">
        <v>27</v>
      </c>
      <c r="K2" s="487">
        <f>K3+K8</f>
        <v>39331</v>
      </c>
      <c r="M2" s="465" t="s">
        <v>28</v>
      </c>
      <c r="N2" s="487">
        <f>N3+N8</f>
        <v>43191</v>
      </c>
      <c r="P2" s="465" t="s">
        <v>29</v>
      </c>
      <c r="Q2" s="487">
        <f>Q3+Q8</f>
        <v>43191</v>
      </c>
      <c r="S2" s="465" t="s">
        <v>30</v>
      </c>
      <c r="T2" s="487">
        <f>T3+T8</f>
        <v>61161</v>
      </c>
      <c r="V2" s="465" t="s">
        <v>31</v>
      </c>
      <c r="W2" s="487">
        <f>W3+W8</f>
        <v>66421.73</v>
      </c>
      <c r="Y2" s="465" t="s">
        <v>32</v>
      </c>
      <c r="Z2" s="487">
        <f>Z3+Z8</f>
        <v>69428</v>
      </c>
      <c r="AB2" s="465" t="s">
        <v>33</v>
      </c>
      <c r="AC2" s="487">
        <f>AC3+AC8</f>
        <v>71128</v>
      </c>
      <c r="AE2" s="465" t="s">
        <v>34</v>
      </c>
      <c r="AF2" s="487">
        <f>AF3+AF8</f>
        <v>73029</v>
      </c>
      <c r="AH2" s="465" t="s">
        <v>35</v>
      </c>
      <c r="AI2" s="487">
        <f>AI3+AI8</f>
        <v>77752.710000000006</v>
      </c>
      <c r="AK2" s="465" t="s">
        <v>36</v>
      </c>
      <c r="AL2" s="487">
        <f>AL3+AL8</f>
        <v>78762.91</v>
      </c>
      <c r="AN2" s="465" t="s">
        <v>37</v>
      </c>
      <c r="AO2" s="487">
        <f>AO3+AO8</f>
        <v>81757.88</v>
      </c>
      <c r="AQ2" s="465" t="s">
        <v>38</v>
      </c>
      <c r="AR2" s="487">
        <f>AR3+AR8</f>
        <v>80757.88</v>
      </c>
      <c r="AT2" s="465" t="s">
        <v>39</v>
      </c>
      <c r="AU2" s="487">
        <f>AU3+AU8</f>
        <v>83787.88</v>
      </c>
      <c r="AW2" s="465" t="s">
        <v>40</v>
      </c>
      <c r="AX2" s="487">
        <f>AX3+AX8</f>
        <v>86494.69</v>
      </c>
      <c r="AZ2" s="465" t="s">
        <v>41</v>
      </c>
      <c r="BA2" s="487">
        <f>BA3+BA8</f>
        <v>92470.65</v>
      </c>
      <c r="BC2" s="465" t="s">
        <v>42</v>
      </c>
      <c r="BD2" s="487">
        <f>BD3+BD8</f>
        <v>100390</v>
      </c>
      <c r="BF2" s="465" t="s">
        <v>43</v>
      </c>
      <c r="BG2" s="487">
        <f>BG3+BG8</f>
        <v>100388</v>
      </c>
      <c r="BI2" s="465" t="s">
        <v>44</v>
      </c>
      <c r="BJ2" s="487">
        <f>BJ3+BJ8</f>
        <v>100388</v>
      </c>
      <c r="BL2" s="465" t="s">
        <v>45</v>
      </c>
      <c r="BM2" s="487">
        <f>BM3+BM8</f>
        <v>30621</v>
      </c>
      <c r="BO2" s="465" t="s">
        <v>45</v>
      </c>
      <c r="BP2" s="487">
        <f>BP3+BP8</f>
        <v>32801</v>
      </c>
      <c r="BR2" s="465" t="s">
        <v>46</v>
      </c>
      <c r="BS2" s="487">
        <f>BS3+BS8</f>
        <v>32801</v>
      </c>
    </row>
    <row r="3" spans="1:72" s="461" customFormat="1">
      <c r="A3" s="466" t="s">
        <v>47</v>
      </c>
      <c r="B3" s="467">
        <v>35000</v>
      </c>
      <c r="D3" s="467" t="s">
        <v>47</v>
      </c>
      <c r="E3" s="467">
        <v>35000</v>
      </c>
      <c r="G3" s="467" t="s">
        <v>47</v>
      </c>
      <c r="H3" s="467">
        <v>35000</v>
      </c>
      <c r="J3" s="467" t="s">
        <v>48</v>
      </c>
      <c r="K3" s="488">
        <v>35000</v>
      </c>
      <c r="M3" s="467" t="s">
        <v>48</v>
      </c>
      <c r="N3" s="488">
        <v>35000</v>
      </c>
      <c r="P3" s="467" t="s">
        <v>48</v>
      </c>
      <c r="Q3" s="488">
        <v>35000</v>
      </c>
      <c r="S3" s="467" t="s">
        <v>48</v>
      </c>
      <c r="T3" s="488">
        <v>45000</v>
      </c>
      <c r="V3" s="467" t="s">
        <v>48</v>
      </c>
      <c r="W3" s="488">
        <v>60000</v>
      </c>
      <c r="Y3" s="467" t="s">
        <v>48</v>
      </c>
      <c r="Z3" s="488">
        <v>60000</v>
      </c>
      <c r="AB3" s="467" t="s">
        <v>48</v>
      </c>
      <c r="AC3" s="488">
        <v>60000</v>
      </c>
      <c r="AE3" s="467" t="s">
        <v>48</v>
      </c>
      <c r="AF3" s="488">
        <v>70000</v>
      </c>
      <c r="AH3" s="467" t="s">
        <v>48</v>
      </c>
      <c r="AI3" s="488">
        <v>70000</v>
      </c>
      <c r="AK3" s="467" t="s">
        <v>48</v>
      </c>
      <c r="AL3" s="488">
        <v>70000</v>
      </c>
      <c r="AN3" s="467" t="s">
        <v>48</v>
      </c>
      <c r="AO3" s="488">
        <v>80000</v>
      </c>
      <c r="AQ3" s="467" t="s">
        <v>48</v>
      </c>
      <c r="AR3" s="488">
        <v>80000</v>
      </c>
      <c r="AT3" s="467" t="s">
        <v>48</v>
      </c>
      <c r="AU3" s="488">
        <v>80000</v>
      </c>
      <c r="AW3" s="467" t="s">
        <v>48</v>
      </c>
      <c r="AX3" s="488">
        <v>80000</v>
      </c>
      <c r="AZ3" s="467" t="s">
        <v>48</v>
      </c>
      <c r="BA3" s="488">
        <v>80000</v>
      </c>
      <c r="BC3" s="467" t="s">
        <v>48</v>
      </c>
      <c r="BD3" s="488">
        <v>90000</v>
      </c>
      <c r="BF3" s="467" t="s">
        <v>48</v>
      </c>
      <c r="BG3" s="488">
        <v>90000</v>
      </c>
      <c r="BI3" s="467" t="s">
        <v>48</v>
      </c>
      <c r="BJ3" s="488">
        <v>90000</v>
      </c>
      <c r="BL3" s="467" t="s">
        <v>48</v>
      </c>
      <c r="BM3" s="488">
        <v>30000</v>
      </c>
      <c r="BO3" s="467" t="s">
        <v>48</v>
      </c>
      <c r="BP3" s="488">
        <v>30000</v>
      </c>
      <c r="BR3" s="467" t="s">
        <v>48</v>
      </c>
      <c r="BS3" s="488">
        <v>30000</v>
      </c>
    </row>
    <row r="4" spans="1:72">
      <c r="A4" s="468" t="s">
        <v>49</v>
      </c>
      <c r="B4" s="469">
        <v>132500</v>
      </c>
      <c r="D4" s="470" t="s">
        <v>49</v>
      </c>
      <c r="E4" s="469">
        <f>159000-E3</f>
        <v>124000</v>
      </c>
      <c r="G4" s="470" t="s">
        <v>49</v>
      </c>
      <c r="H4" s="469">
        <f>124000-H3</f>
        <v>89000</v>
      </c>
      <c r="J4" s="470" t="s">
        <v>50</v>
      </c>
      <c r="K4" s="491">
        <f>24000+100000-K3</f>
        <v>89000</v>
      </c>
      <c r="M4" s="470" t="s">
        <v>50</v>
      </c>
      <c r="N4" s="491">
        <f>15000+100000-N3</f>
        <v>80000</v>
      </c>
      <c r="P4" s="470" t="s">
        <v>50</v>
      </c>
      <c r="Q4" s="491">
        <f>82000-Q3</f>
        <v>47000</v>
      </c>
      <c r="S4" s="470" t="s">
        <v>50</v>
      </c>
      <c r="T4" s="491">
        <f>80600-T3</f>
        <v>35600</v>
      </c>
      <c r="V4" s="470" t="s">
        <v>50</v>
      </c>
      <c r="W4" s="491">
        <f>80900-W3</f>
        <v>20900</v>
      </c>
      <c r="Y4" s="470" t="s">
        <v>50</v>
      </c>
      <c r="Z4" s="491">
        <f>158900-Z3</f>
        <v>98900</v>
      </c>
      <c r="AB4" s="470" t="s">
        <v>50</v>
      </c>
      <c r="AC4" s="491">
        <f>168101-AC3</f>
        <v>108101</v>
      </c>
      <c r="AE4" s="470" t="s">
        <v>50</v>
      </c>
      <c r="AF4" s="491">
        <f>186109-AF3</f>
        <v>116109</v>
      </c>
      <c r="AH4" s="470" t="s">
        <v>50</v>
      </c>
      <c r="AI4" s="491">
        <f>245000-AI3</f>
        <v>175000</v>
      </c>
      <c r="AK4" s="470" t="s">
        <v>50</v>
      </c>
      <c r="AL4" s="491">
        <f>245000-AL3</f>
        <v>175000</v>
      </c>
      <c r="AN4" s="470" t="s">
        <v>50</v>
      </c>
      <c r="AO4" s="491">
        <f>131252-AO3</f>
        <v>51252</v>
      </c>
      <c r="AQ4" s="470" t="s">
        <v>50</v>
      </c>
      <c r="AR4" s="491">
        <f>130488-AR3</f>
        <v>50488</v>
      </c>
      <c r="AT4" s="470" t="s">
        <v>50</v>
      </c>
      <c r="AU4" s="491">
        <f>130501-AU3</f>
        <v>50501</v>
      </c>
      <c r="AW4" s="470" t="s">
        <v>50</v>
      </c>
      <c r="AX4" s="491">
        <f>100020-AX3</f>
        <v>20020</v>
      </c>
      <c r="AZ4" s="470" t="s">
        <v>50</v>
      </c>
      <c r="BA4" s="491">
        <f>102081.01-BA3</f>
        <v>22081.009999999995</v>
      </c>
      <c r="BC4" s="470" t="s">
        <v>50</v>
      </c>
      <c r="BD4" s="491">
        <f>130211-BD3</f>
        <v>40211</v>
      </c>
      <c r="BF4" s="470" t="s">
        <v>50</v>
      </c>
      <c r="BG4" s="491">
        <f>140211-BG3</f>
        <v>50211</v>
      </c>
      <c r="BI4" s="470" t="s">
        <v>50</v>
      </c>
      <c r="BJ4" s="491">
        <f>142105-BJ3</f>
        <v>52105</v>
      </c>
      <c r="BL4" s="470" t="s">
        <v>50</v>
      </c>
      <c r="BM4" s="491">
        <f>80237-BM3</f>
        <v>50237</v>
      </c>
      <c r="BO4" s="470" t="s">
        <v>50</v>
      </c>
      <c r="BP4" s="491">
        <f>81118-BP3</f>
        <v>51118</v>
      </c>
      <c r="BR4" s="470" t="s">
        <v>50</v>
      </c>
      <c r="BS4" s="491">
        <f>81186-BS3</f>
        <v>51186</v>
      </c>
    </row>
    <row r="5" spans="1:72">
      <c r="A5" s="471" t="s">
        <v>51</v>
      </c>
      <c r="B5" s="472">
        <f>16500+15200</f>
        <v>31700</v>
      </c>
      <c r="D5" s="473" t="s">
        <v>51</v>
      </c>
      <c r="E5" s="472">
        <v>42580</v>
      </c>
      <c r="G5" s="473" t="s">
        <v>51</v>
      </c>
      <c r="H5" s="472">
        <f>55272+19251</f>
        <v>74523</v>
      </c>
      <c r="J5" s="505" t="s">
        <v>52</v>
      </c>
      <c r="K5" s="493">
        <v>22081</v>
      </c>
      <c r="M5" s="505" t="s">
        <v>52</v>
      </c>
      <c r="N5" s="493">
        <v>14103</v>
      </c>
      <c r="P5" s="505" t="s">
        <v>52</v>
      </c>
      <c r="Q5" s="493">
        <v>31786</v>
      </c>
      <c r="S5" s="505" t="s">
        <v>52</v>
      </c>
      <c r="T5" s="493">
        <v>24818</v>
      </c>
      <c r="V5" s="505" t="s">
        <v>52</v>
      </c>
      <c r="W5" s="493">
        <v>14599.45</v>
      </c>
      <c r="Y5" s="505" t="s">
        <v>52</v>
      </c>
      <c r="Z5" s="493">
        <v>22965</v>
      </c>
      <c r="AB5" s="505" t="s">
        <v>52</v>
      </c>
      <c r="AC5" s="493">
        <v>20865</v>
      </c>
      <c r="AE5" s="505" t="s">
        <v>52</v>
      </c>
      <c r="AF5" s="493">
        <v>10791</v>
      </c>
      <c r="AH5" s="505" t="s">
        <v>52</v>
      </c>
      <c r="AI5" s="493">
        <v>15084.57</v>
      </c>
      <c r="AK5" s="505" t="s">
        <v>52</v>
      </c>
      <c r="AL5" s="493">
        <v>16593.87</v>
      </c>
      <c r="AN5" s="505" t="s">
        <v>52</v>
      </c>
      <c r="AO5" s="493">
        <v>11157.55</v>
      </c>
      <c r="AQ5" s="505" t="s">
        <v>52</v>
      </c>
      <c r="AR5" s="493">
        <v>11489.96</v>
      </c>
      <c r="AT5" s="505" t="s">
        <v>52</v>
      </c>
      <c r="AU5" s="493">
        <v>16876.490000000002</v>
      </c>
      <c r="AW5" s="505" t="s">
        <v>52</v>
      </c>
      <c r="AX5" s="493">
        <v>12074.72</v>
      </c>
      <c r="AZ5" s="505" t="s">
        <v>52</v>
      </c>
      <c r="BA5" s="493">
        <v>20857.82</v>
      </c>
      <c r="BC5" s="505" t="s">
        <v>52</v>
      </c>
      <c r="BD5" s="493">
        <v>28686</v>
      </c>
      <c r="BF5" s="505" t="s">
        <v>52</v>
      </c>
      <c r="BG5" s="493">
        <v>20995.31</v>
      </c>
      <c r="BI5" s="505" t="s">
        <v>52</v>
      </c>
      <c r="BJ5" s="493">
        <v>21155</v>
      </c>
      <c r="BL5" s="505" t="s">
        <v>52</v>
      </c>
      <c r="BM5" s="493">
        <v>8231</v>
      </c>
      <c r="BO5" s="505" t="s">
        <v>52</v>
      </c>
      <c r="BP5" s="493">
        <v>10475</v>
      </c>
      <c r="BR5" s="505" t="s">
        <v>52</v>
      </c>
      <c r="BS5" s="493">
        <v>9915</v>
      </c>
    </row>
    <row r="6" spans="1:72" s="461" customFormat="1">
      <c r="A6" s="474" t="s">
        <v>53</v>
      </c>
      <c r="B6" s="475">
        <v>2000</v>
      </c>
      <c r="D6" s="476" t="s">
        <v>53</v>
      </c>
      <c r="E6" s="475">
        <v>3000</v>
      </c>
      <c r="G6" s="476" t="s">
        <v>53</v>
      </c>
      <c r="H6" s="475">
        <v>1471</v>
      </c>
      <c r="J6" s="506" t="s">
        <v>54</v>
      </c>
      <c r="K6" s="494">
        <v>55896</v>
      </c>
      <c r="M6" s="506" t="s">
        <v>54</v>
      </c>
      <c r="N6" s="494">
        <v>76694</v>
      </c>
      <c r="P6" s="506" t="s">
        <v>54</v>
      </c>
      <c r="Q6" s="494">
        <v>93032</v>
      </c>
      <c r="S6" s="506" t="s">
        <v>54</v>
      </c>
      <c r="T6" s="494">
        <v>120290</v>
      </c>
      <c r="V6" s="506" t="s">
        <v>54</v>
      </c>
      <c r="W6" s="494">
        <v>122484.8</v>
      </c>
      <c r="Y6" s="506" t="s">
        <v>54</v>
      </c>
      <c r="Z6" s="494">
        <v>57212</v>
      </c>
      <c r="AB6" s="506" t="s">
        <v>54</v>
      </c>
      <c r="AC6" s="494">
        <v>55611</v>
      </c>
      <c r="AE6" s="506" t="s">
        <v>54</v>
      </c>
      <c r="AF6" s="494">
        <v>56254</v>
      </c>
      <c r="AH6" s="506" t="s">
        <v>54</v>
      </c>
      <c r="AI6" s="494">
        <v>2232.0500000000002</v>
      </c>
      <c r="AK6" s="506" t="s">
        <v>54</v>
      </c>
      <c r="AL6" s="494">
        <v>2291.92</v>
      </c>
      <c r="AN6" s="506" t="s">
        <v>54</v>
      </c>
      <c r="AO6" s="494">
        <v>2258.34</v>
      </c>
      <c r="AQ6" s="506" t="s">
        <v>54</v>
      </c>
      <c r="AR6" s="494">
        <v>2370.1799999999998</v>
      </c>
      <c r="AT6" s="506" t="s">
        <v>54</v>
      </c>
      <c r="AU6" s="494">
        <v>1338.95</v>
      </c>
      <c r="AW6" s="506" t="s">
        <v>54</v>
      </c>
      <c r="AX6" s="494">
        <v>1319.95</v>
      </c>
      <c r="AZ6" s="506" t="s">
        <v>54</v>
      </c>
      <c r="BA6" s="494">
        <v>17.260000000000002</v>
      </c>
      <c r="BC6" s="506" t="s">
        <v>54</v>
      </c>
      <c r="BD6" s="494">
        <v>17</v>
      </c>
      <c r="BF6" s="506" t="s">
        <v>54</v>
      </c>
      <c r="BG6" s="494">
        <v>17</v>
      </c>
      <c r="BI6" s="506" t="s">
        <v>54</v>
      </c>
      <c r="BJ6" s="494">
        <v>17</v>
      </c>
      <c r="BL6" s="506" t="s">
        <v>54</v>
      </c>
      <c r="BM6" s="494">
        <v>17</v>
      </c>
      <c r="BO6" s="506" t="s">
        <v>54</v>
      </c>
      <c r="BP6" s="494">
        <v>17</v>
      </c>
      <c r="BR6" s="506" t="s">
        <v>54</v>
      </c>
      <c r="BS6" s="494">
        <v>17</v>
      </c>
    </row>
    <row r="7" spans="1:72">
      <c r="A7" s="477" t="s">
        <v>55</v>
      </c>
      <c r="B7" s="478">
        <v>540</v>
      </c>
      <c r="D7" s="478" t="s">
        <v>55</v>
      </c>
      <c r="E7" s="478">
        <v>518</v>
      </c>
      <c r="G7" s="478" t="s">
        <v>55</v>
      </c>
      <c r="H7" s="478">
        <v>486</v>
      </c>
      <c r="J7" s="506" t="s">
        <v>56</v>
      </c>
      <c r="K7" s="493">
        <f>K5+K6</f>
        <v>77977</v>
      </c>
      <c r="M7" s="506" t="s">
        <v>56</v>
      </c>
      <c r="N7" s="493">
        <f>N5+N6</f>
        <v>90797</v>
      </c>
      <c r="P7" s="506" t="s">
        <v>56</v>
      </c>
      <c r="Q7" s="493">
        <f>Q5+Q6</f>
        <v>124818</v>
      </c>
      <c r="S7" s="506" t="s">
        <v>56</v>
      </c>
      <c r="T7" s="493">
        <f>T5+T6</f>
        <v>145108</v>
      </c>
      <c r="V7" s="506" t="s">
        <v>56</v>
      </c>
      <c r="W7" s="493">
        <f>W5+W6</f>
        <v>137084.25</v>
      </c>
      <c r="Y7" s="506" t="s">
        <v>56</v>
      </c>
      <c r="Z7" s="493">
        <f>Z5+Z6</f>
        <v>80177</v>
      </c>
      <c r="AB7" s="506" t="s">
        <v>56</v>
      </c>
      <c r="AC7" s="493">
        <f>AC5+AC6</f>
        <v>76476</v>
      </c>
      <c r="AE7" s="506" t="s">
        <v>56</v>
      </c>
      <c r="AF7" s="493">
        <f>AF5+AF6</f>
        <v>67045</v>
      </c>
      <c r="AH7" s="506" t="s">
        <v>56</v>
      </c>
      <c r="AI7" s="493">
        <f>AI5+AI6</f>
        <v>17316.62</v>
      </c>
      <c r="AK7" s="506" t="s">
        <v>56</v>
      </c>
      <c r="AL7" s="493">
        <f>AL5+AL6</f>
        <v>18885.79</v>
      </c>
      <c r="AN7" s="506" t="s">
        <v>56</v>
      </c>
      <c r="AO7" s="493">
        <f>AO5+AO6</f>
        <v>13415.89</v>
      </c>
      <c r="AQ7" s="506" t="s">
        <v>57</v>
      </c>
      <c r="AR7" s="493">
        <f>AR5+AR6</f>
        <v>13860.14</v>
      </c>
      <c r="AT7" s="506" t="s">
        <v>57</v>
      </c>
      <c r="AU7" s="493">
        <f>AU5+AU6</f>
        <v>18215.440000000002</v>
      </c>
      <c r="AW7" s="506" t="s">
        <v>57</v>
      </c>
      <c r="AX7" s="493">
        <f>AX5+AX6</f>
        <v>13394.67</v>
      </c>
      <c r="AZ7" s="506" t="s">
        <v>57</v>
      </c>
      <c r="BA7" s="493">
        <f>BA5+BA6</f>
        <v>20875.079999999998</v>
      </c>
      <c r="BC7" s="506" t="s">
        <v>57</v>
      </c>
      <c r="BD7" s="493">
        <f>BD5+BD6</f>
        <v>28703</v>
      </c>
      <c r="BF7" s="506" t="s">
        <v>57</v>
      </c>
      <c r="BG7" s="493">
        <f>BG5+BG6</f>
        <v>21012.31</v>
      </c>
      <c r="BI7" s="506" t="s">
        <v>57</v>
      </c>
      <c r="BJ7" s="493">
        <f>BJ5+BJ6</f>
        <v>21172</v>
      </c>
      <c r="BL7" s="506" t="s">
        <v>57</v>
      </c>
      <c r="BM7" s="493">
        <f>BM5+BM6</f>
        <v>8248</v>
      </c>
      <c r="BO7" s="506" t="s">
        <v>57</v>
      </c>
      <c r="BP7" s="493">
        <f>BP5+BP6</f>
        <v>10492</v>
      </c>
      <c r="BR7" s="506" t="s">
        <v>57</v>
      </c>
      <c r="BS7" s="493">
        <f>BS5+BS6</f>
        <v>9932</v>
      </c>
    </row>
    <row r="8" spans="1:72">
      <c r="A8" s="471" t="s">
        <v>58</v>
      </c>
      <c r="B8" s="472">
        <f>B5-B6-B7</f>
        <v>29160</v>
      </c>
      <c r="D8" s="473" t="s">
        <v>58</v>
      </c>
      <c r="E8" s="472">
        <f>E5-E6-E7</f>
        <v>39062</v>
      </c>
      <c r="G8" s="473" t="s">
        <v>58</v>
      </c>
      <c r="H8" s="472">
        <f>H5-H6-H7</f>
        <v>72566</v>
      </c>
      <c r="J8" s="476" t="s">
        <v>53</v>
      </c>
      <c r="K8" s="495">
        <v>4331</v>
      </c>
      <c r="M8" s="476" t="s">
        <v>53</v>
      </c>
      <c r="N8" s="495">
        <v>8191</v>
      </c>
      <c r="P8" s="476" t="s">
        <v>53</v>
      </c>
      <c r="Q8" s="495">
        <v>8191</v>
      </c>
      <c r="S8" s="476" t="s">
        <v>53</v>
      </c>
      <c r="T8" s="495">
        <v>16161</v>
      </c>
      <c r="V8" s="476" t="s">
        <v>53</v>
      </c>
      <c r="W8" s="495">
        <v>6421.73</v>
      </c>
      <c r="Y8" s="476" t="s">
        <v>53</v>
      </c>
      <c r="Z8" s="495">
        <v>9428</v>
      </c>
      <c r="AB8" s="476" t="s">
        <v>53</v>
      </c>
      <c r="AC8" s="495">
        <v>11128</v>
      </c>
      <c r="AE8" s="476" t="s">
        <v>53</v>
      </c>
      <c r="AF8" s="495">
        <v>3029</v>
      </c>
      <c r="AH8" s="476" t="s">
        <v>53</v>
      </c>
      <c r="AI8" s="495">
        <v>7752.71</v>
      </c>
      <c r="AK8" s="476" t="s">
        <v>53</v>
      </c>
      <c r="AL8" s="495">
        <v>8762.91</v>
      </c>
      <c r="AN8" s="476" t="s">
        <v>53</v>
      </c>
      <c r="AO8" s="495">
        <v>1757.88</v>
      </c>
      <c r="AQ8" s="476" t="s">
        <v>53</v>
      </c>
      <c r="AR8" s="495">
        <v>757.88</v>
      </c>
      <c r="AT8" s="476" t="s">
        <v>53</v>
      </c>
      <c r="AU8" s="495">
        <v>3787.88</v>
      </c>
      <c r="AW8" s="476" t="s">
        <v>53</v>
      </c>
      <c r="AX8" s="495">
        <v>6494.69</v>
      </c>
      <c r="AZ8" s="476" t="s">
        <v>53</v>
      </c>
      <c r="BA8" s="495">
        <v>12470.65</v>
      </c>
      <c r="BC8" s="476" t="s">
        <v>53</v>
      </c>
      <c r="BD8" s="495">
        <v>10390</v>
      </c>
      <c r="BF8" s="476" t="s">
        <v>53</v>
      </c>
      <c r="BG8" s="495">
        <v>10388</v>
      </c>
      <c r="BI8" s="476" t="s">
        <v>53</v>
      </c>
      <c r="BJ8" s="495">
        <v>10388</v>
      </c>
      <c r="BL8" s="476" t="s">
        <v>53</v>
      </c>
      <c r="BM8" s="495">
        <v>621</v>
      </c>
      <c r="BO8" s="476" t="s">
        <v>53</v>
      </c>
      <c r="BP8" s="495">
        <v>2801</v>
      </c>
      <c r="BR8" s="476" t="s">
        <v>53</v>
      </c>
      <c r="BS8" s="495">
        <v>2801</v>
      </c>
    </row>
    <row r="9" spans="1:72">
      <c r="A9" s="479" t="s">
        <v>59</v>
      </c>
      <c r="B9" s="480" t="s">
        <v>60</v>
      </c>
      <c r="D9" s="36" t="s">
        <v>59</v>
      </c>
      <c r="E9" s="480" t="s">
        <v>60</v>
      </c>
      <c r="G9" s="36" t="s">
        <v>59</v>
      </c>
      <c r="H9" s="480" t="s">
        <v>60</v>
      </c>
      <c r="J9" s="478" t="s">
        <v>55</v>
      </c>
      <c r="K9" s="494">
        <v>513</v>
      </c>
      <c r="M9" s="478" t="s">
        <v>55</v>
      </c>
      <c r="N9" s="494">
        <v>508</v>
      </c>
      <c r="P9" s="478" t="s">
        <v>55</v>
      </c>
      <c r="Q9" s="494">
        <v>550</v>
      </c>
      <c r="S9" s="478" t="s">
        <v>55</v>
      </c>
      <c r="T9" s="494">
        <v>812</v>
      </c>
      <c r="V9" s="478" t="s">
        <v>55</v>
      </c>
      <c r="W9" s="494">
        <v>850.27</v>
      </c>
      <c r="Y9" s="478" t="s">
        <v>55</v>
      </c>
      <c r="Z9" s="494">
        <v>925</v>
      </c>
      <c r="AB9" s="478" t="s">
        <v>55</v>
      </c>
      <c r="AC9" s="494">
        <v>877</v>
      </c>
      <c r="AE9" s="478" t="s">
        <v>55</v>
      </c>
      <c r="AF9" s="494">
        <v>821</v>
      </c>
      <c r="AH9" s="478" t="s">
        <v>55</v>
      </c>
      <c r="AI9" s="494">
        <v>931.55</v>
      </c>
      <c r="AK9" s="478" t="s">
        <v>55</v>
      </c>
      <c r="AL9" s="494">
        <v>978.61</v>
      </c>
      <c r="AN9" s="473" t="s">
        <v>61</v>
      </c>
      <c r="AO9" s="493">
        <f>AO7-AO8</f>
        <v>11658.009999999998</v>
      </c>
      <c r="AQ9" s="473" t="s">
        <v>61</v>
      </c>
      <c r="AR9" s="493">
        <f>AR7-AR8</f>
        <v>13102.26</v>
      </c>
      <c r="AT9" s="473" t="s">
        <v>61</v>
      </c>
      <c r="AU9" s="493">
        <f>AU7-AU8</f>
        <v>14427.560000000001</v>
      </c>
      <c r="AW9" s="473" t="s">
        <v>61</v>
      </c>
      <c r="AX9" s="493">
        <f>AX7-AX8</f>
        <v>6899.9800000000005</v>
      </c>
      <c r="AZ9" s="473" t="s">
        <v>61</v>
      </c>
      <c r="BA9" s="493">
        <f>BA7-BA8</f>
        <v>8404.4299999999985</v>
      </c>
      <c r="BC9" s="473" t="s">
        <v>61</v>
      </c>
      <c r="BD9" s="493">
        <f>BD7-BD8</f>
        <v>18313</v>
      </c>
      <c r="BF9" s="473" t="s">
        <v>61</v>
      </c>
      <c r="BG9" s="493">
        <f>BG7-BG8</f>
        <v>10624.310000000001</v>
      </c>
      <c r="BI9" s="473" t="s">
        <v>61</v>
      </c>
      <c r="BJ9" s="493">
        <f>BJ7-BJ8</f>
        <v>10784</v>
      </c>
      <c r="BL9" s="473" t="s">
        <v>61</v>
      </c>
      <c r="BM9" s="493">
        <f>BM7-BM8</f>
        <v>7627</v>
      </c>
      <c r="BO9" s="473" t="s">
        <v>61</v>
      </c>
      <c r="BP9" s="493">
        <f>BP7-BP8</f>
        <v>7691</v>
      </c>
      <c r="BR9" s="473" t="s">
        <v>61</v>
      </c>
      <c r="BS9" s="493">
        <f>BS7-BS8</f>
        <v>7131</v>
      </c>
    </row>
    <row r="10" spans="1:72">
      <c r="A10" s="481"/>
      <c r="B10" s="482" t="s">
        <v>62</v>
      </c>
      <c r="D10" s="483"/>
      <c r="E10" s="482" t="s">
        <v>62</v>
      </c>
      <c r="G10" s="483"/>
      <c r="H10" s="482" t="s">
        <v>62</v>
      </c>
      <c r="J10" s="473" t="s">
        <v>61</v>
      </c>
      <c r="K10" s="493">
        <f>K7-K8-K9</f>
        <v>73133</v>
      </c>
      <c r="M10" s="473" t="s">
        <v>61</v>
      </c>
      <c r="N10" s="493">
        <f>N7-N8-N9</f>
        <v>82098</v>
      </c>
      <c r="P10" s="473" t="s">
        <v>61</v>
      </c>
      <c r="Q10" s="493">
        <f>Q7-Q8-Q9</f>
        <v>116077</v>
      </c>
      <c r="S10" s="473" t="s">
        <v>61</v>
      </c>
      <c r="T10" s="493">
        <f>T7-T8-T9</f>
        <v>128135</v>
      </c>
      <c r="V10" s="473" t="s">
        <v>61</v>
      </c>
      <c r="W10" s="493">
        <f>W7-W8-W9</f>
        <v>129812.25</v>
      </c>
      <c r="Y10" s="473" t="s">
        <v>61</v>
      </c>
      <c r="Z10" s="493">
        <f>Z7-Z8-Z9</f>
        <v>69824</v>
      </c>
      <c r="AB10" s="473" t="s">
        <v>61</v>
      </c>
      <c r="AC10" s="493">
        <f>AC7-AC8-AC9</f>
        <v>64471</v>
      </c>
      <c r="AE10" s="473" t="s">
        <v>61</v>
      </c>
      <c r="AF10" s="493">
        <f>AF7-AF8-AF9</f>
        <v>63195</v>
      </c>
      <c r="AH10" s="473" t="s">
        <v>61</v>
      </c>
      <c r="AI10" s="493">
        <f>AI7-AI8-AI9</f>
        <v>8632.36</v>
      </c>
      <c r="AK10" s="473" t="s">
        <v>61</v>
      </c>
      <c r="AL10" s="493">
        <f>AL7-AL8-AL9</f>
        <v>9144.27</v>
      </c>
      <c r="AN10" s="324" t="s">
        <v>63</v>
      </c>
      <c r="AO10" s="496">
        <v>1000</v>
      </c>
      <c r="AP10" s="324"/>
      <c r="AQ10" s="324" t="s">
        <v>63</v>
      </c>
      <c r="AR10" s="496">
        <v>1000</v>
      </c>
      <c r="AS10" s="324"/>
      <c r="AT10" s="324" t="s">
        <v>63</v>
      </c>
      <c r="AU10" s="496">
        <v>1000</v>
      </c>
      <c r="AV10" s="324"/>
      <c r="AW10" s="324" t="s">
        <v>63</v>
      </c>
      <c r="AX10" s="496">
        <v>1000</v>
      </c>
      <c r="AY10" s="324"/>
      <c r="AZ10" s="324" t="s">
        <v>64</v>
      </c>
      <c r="BA10" s="496">
        <v>1500</v>
      </c>
      <c r="BB10" s="324"/>
      <c r="BC10" s="324" t="s">
        <v>65</v>
      </c>
      <c r="BD10" s="496">
        <v>1093</v>
      </c>
      <c r="BE10" s="324"/>
      <c r="BF10" s="324" t="s">
        <v>65</v>
      </c>
      <c r="BG10" s="496">
        <v>1098</v>
      </c>
      <c r="BH10" s="324"/>
      <c r="BI10" s="324" t="s">
        <v>65</v>
      </c>
      <c r="BJ10" s="496">
        <v>6098</v>
      </c>
      <c r="BK10" s="324"/>
      <c r="BL10" s="324" t="s">
        <v>65</v>
      </c>
      <c r="BM10" s="496">
        <v>6126</v>
      </c>
      <c r="BN10" s="324"/>
      <c r="BO10" s="324" t="s">
        <v>65</v>
      </c>
      <c r="BP10" s="496">
        <v>6126</v>
      </c>
      <c r="BQ10" s="324"/>
      <c r="BR10" s="324" t="s">
        <v>65</v>
      </c>
      <c r="BS10" s="496">
        <v>6164</v>
      </c>
      <c r="BT10" s="324"/>
    </row>
    <row r="11" spans="1:72" s="324" customFormat="1">
      <c r="A11" s="484"/>
      <c r="B11" s="485" t="s">
        <v>66</v>
      </c>
      <c r="C11" s="461"/>
      <c r="D11" s="486"/>
      <c r="E11" s="485" t="s">
        <v>66</v>
      </c>
      <c r="F11" s="461"/>
      <c r="G11" s="486"/>
      <c r="H11" s="485" t="s">
        <v>66</v>
      </c>
      <c r="I11" s="461"/>
      <c r="J11" s="36" t="s">
        <v>59</v>
      </c>
      <c r="K11" s="497" t="s">
        <v>60</v>
      </c>
      <c r="L11" s="461"/>
      <c r="M11" s="36" t="s">
        <v>59</v>
      </c>
      <c r="N11" s="497" t="s">
        <v>60</v>
      </c>
      <c r="O11" s="461"/>
      <c r="P11" s="36" t="s">
        <v>59</v>
      </c>
      <c r="Q11" s="497" t="s">
        <v>60</v>
      </c>
      <c r="R11" s="461"/>
      <c r="S11" s="36" t="s">
        <v>59</v>
      </c>
      <c r="T11" s="497" t="s">
        <v>60</v>
      </c>
      <c r="U11" s="461"/>
      <c r="V11" s="36" t="s">
        <v>59</v>
      </c>
      <c r="W11" s="497" t="s">
        <v>60</v>
      </c>
      <c r="X11" s="461"/>
      <c r="Y11" s="36" t="s">
        <v>59</v>
      </c>
      <c r="Z11" s="497" t="s">
        <v>60</v>
      </c>
      <c r="AA11" s="461"/>
      <c r="AB11" s="36" t="s">
        <v>59</v>
      </c>
      <c r="AC11" s="497" t="s">
        <v>60</v>
      </c>
      <c r="AD11" s="461"/>
      <c r="AE11" s="36" t="s">
        <v>59</v>
      </c>
      <c r="AF11" s="497" t="s">
        <v>60</v>
      </c>
      <c r="AG11" s="461"/>
      <c r="AH11" s="36" t="s">
        <v>59</v>
      </c>
      <c r="AI11" s="497" t="s">
        <v>60</v>
      </c>
      <c r="AJ11" s="461"/>
      <c r="AK11" s="36" t="s">
        <v>59</v>
      </c>
      <c r="AL11" s="497" t="s">
        <v>60</v>
      </c>
      <c r="AN11" s="36" t="s">
        <v>59</v>
      </c>
      <c r="AO11" s="497" t="s">
        <v>60</v>
      </c>
      <c r="AP11" s="461"/>
      <c r="AQ11" s="36" t="s">
        <v>59</v>
      </c>
      <c r="AR11" s="497" t="s">
        <v>60</v>
      </c>
      <c r="AS11" s="461"/>
      <c r="AT11" s="36" t="s">
        <v>59</v>
      </c>
      <c r="AU11" s="497" t="s">
        <v>60</v>
      </c>
      <c r="AV11" s="461"/>
      <c r="AW11" s="324" t="s">
        <v>67</v>
      </c>
      <c r="AX11" s="324">
        <v>35000</v>
      </c>
      <c r="AY11" s="461"/>
      <c r="AZ11" s="324" t="s">
        <v>65</v>
      </c>
      <c r="BA11" s="496">
        <v>504</v>
      </c>
      <c r="BB11" s="461"/>
      <c r="BC11" s="324" t="s">
        <v>68</v>
      </c>
      <c r="BD11" s="496">
        <v>500</v>
      </c>
      <c r="BE11" s="461"/>
      <c r="BF11" s="324" t="s">
        <v>68</v>
      </c>
      <c r="BG11" s="496">
        <v>500</v>
      </c>
      <c r="BH11" s="461"/>
      <c r="BI11" s="324" t="s">
        <v>68</v>
      </c>
      <c r="BJ11" s="496">
        <v>500</v>
      </c>
      <c r="BK11" s="461"/>
      <c r="BL11" s="36" t="s">
        <v>59</v>
      </c>
      <c r="BM11" s="497" t="s">
        <v>60</v>
      </c>
      <c r="BN11" s="461"/>
      <c r="BO11" s="36" t="s">
        <v>59</v>
      </c>
      <c r="BP11" s="497" t="s">
        <v>60</v>
      </c>
      <c r="BQ11" s="461"/>
      <c r="BR11" s="36" t="s">
        <v>59</v>
      </c>
      <c r="BS11" s="497" t="s">
        <v>60</v>
      </c>
      <c r="BT11" s="461"/>
    </row>
    <row r="12" spans="1:72" s="461" customFormat="1">
      <c r="A12" s="365"/>
      <c r="B12"/>
      <c r="C12"/>
      <c r="D12"/>
      <c r="E12"/>
      <c r="F12"/>
      <c r="G12"/>
      <c r="H12"/>
      <c r="I12"/>
      <c r="J12" s="483"/>
      <c r="K12" s="498" t="s">
        <v>62</v>
      </c>
      <c r="L12"/>
      <c r="M12" s="483"/>
      <c r="N12" s="498" t="s">
        <v>62</v>
      </c>
      <c r="O12"/>
      <c r="P12" s="483"/>
      <c r="Q12" s="498" t="s">
        <v>62</v>
      </c>
      <c r="R12"/>
      <c r="S12" s="483"/>
      <c r="T12" s="498" t="s">
        <v>62</v>
      </c>
      <c r="U12"/>
      <c r="V12" s="483"/>
      <c r="W12" s="498" t="s">
        <v>62</v>
      </c>
      <c r="X12"/>
      <c r="Y12" s="483"/>
      <c r="Z12" s="498" t="s">
        <v>62</v>
      </c>
      <c r="AA12"/>
      <c r="AB12" s="483"/>
      <c r="AC12" s="498" t="s">
        <v>62</v>
      </c>
      <c r="AD12"/>
      <c r="AE12" s="483"/>
      <c r="AF12" s="498" t="s">
        <v>62</v>
      </c>
      <c r="AG12"/>
      <c r="AH12" s="483"/>
      <c r="AI12" s="498" t="s">
        <v>62</v>
      </c>
      <c r="AJ12"/>
      <c r="AK12" s="483"/>
      <c r="AL12" s="498" t="s">
        <v>62</v>
      </c>
      <c r="AN12" s="483"/>
      <c r="AO12" s="498" t="s">
        <v>62</v>
      </c>
      <c r="AP12"/>
      <c r="AQ12" s="483"/>
      <c r="AR12" s="498" t="s">
        <v>62</v>
      </c>
      <c r="AS12"/>
      <c r="AT12" s="483"/>
      <c r="AU12" s="498" t="s">
        <v>62</v>
      </c>
      <c r="AV12"/>
      <c r="AW12" s="36" t="s">
        <v>59</v>
      </c>
      <c r="AX12" s="497" t="s">
        <v>60</v>
      </c>
      <c r="AY12"/>
      <c r="AZ12" s="324" t="s">
        <v>68</v>
      </c>
      <c r="BA12" s="496">
        <v>500</v>
      </c>
      <c r="BB12"/>
      <c r="BC12" s="324" t="s">
        <v>67</v>
      </c>
      <c r="BD12" s="496">
        <v>1000</v>
      </c>
      <c r="BE12"/>
      <c r="BF12" s="324" t="s">
        <v>67</v>
      </c>
      <c r="BG12" s="496">
        <v>1000</v>
      </c>
      <c r="BH12"/>
      <c r="BI12" s="36" t="s">
        <v>59</v>
      </c>
      <c r="BJ12" s="497" t="s">
        <v>60</v>
      </c>
      <c r="BK12"/>
      <c r="BL12" s="483"/>
      <c r="BM12" s="498" t="s">
        <v>62</v>
      </c>
      <c r="BN12"/>
      <c r="BO12" s="483"/>
      <c r="BP12" s="498" t="s">
        <v>62</v>
      </c>
      <c r="BQ12"/>
      <c r="BR12" s="483"/>
      <c r="BS12" s="498" t="s">
        <v>62</v>
      </c>
      <c r="BT12"/>
    </row>
    <row r="13" spans="1:72">
      <c r="J13" s="500"/>
      <c r="K13" s="501" t="s">
        <v>66</v>
      </c>
      <c r="M13" s="500"/>
      <c r="N13" s="501" t="s">
        <v>66</v>
      </c>
      <c r="P13" s="500"/>
      <c r="Q13" s="501" t="s">
        <v>66</v>
      </c>
      <c r="S13" s="500"/>
      <c r="T13" s="501" t="s">
        <v>66</v>
      </c>
      <c r="V13" s="486"/>
      <c r="W13" s="499" t="s">
        <v>66</v>
      </c>
      <c r="Y13" s="486"/>
      <c r="Z13" s="499" t="s">
        <v>66</v>
      </c>
      <c r="AB13" s="486"/>
      <c r="AC13" s="499" t="s">
        <v>66</v>
      </c>
      <c r="AE13" s="486"/>
      <c r="AF13" s="499" t="s">
        <v>66</v>
      </c>
      <c r="AH13" s="486"/>
      <c r="AI13" s="499" t="s">
        <v>66</v>
      </c>
      <c r="AK13" s="486"/>
      <c r="AL13" s="499" t="s">
        <v>66</v>
      </c>
      <c r="AN13" s="486"/>
      <c r="AO13" s="499" t="s">
        <v>66</v>
      </c>
      <c r="AQ13" s="486"/>
      <c r="AR13" s="499" t="s">
        <v>66</v>
      </c>
      <c r="AT13" s="486"/>
      <c r="AU13" s="499" t="s">
        <v>66</v>
      </c>
      <c r="AW13" s="483"/>
      <c r="AX13" s="498" t="s">
        <v>62</v>
      </c>
      <c r="AZ13" s="324" t="s">
        <v>67</v>
      </c>
      <c r="BA13" s="496">
        <v>31000</v>
      </c>
      <c r="BC13" s="36" t="s">
        <v>59</v>
      </c>
      <c r="BD13" s="497" t="s">
        <v>60</v>
      </c>
      <c r="BF13" s="36" t="s">
        <v>59</v>
      </c>
      <c r="BG13" s="497" t="s">
        <v>60</v>
      </c>
      <c r="BI13" s="483"/>
      <c r="BJ13" s="498" t="s">
        <v>62</v>
      </c>
      <c r="BL13" s="486"/>
      <c r="BM13" s="499" t="s">
        <v>66</v>
      </c>
      <c r="BO13" s="486"/>
      <c r="BP13" s="499" t="s">
        <v>66</v>
      </c>
      <c r="BR13" s="486"/>
      <c r="BS13" s="499" t="s">
        <v>66</v>
      </c>
    </row>
    <row r="14" spans="1:72">
      <c r="A14" s="400"/>
      <c r="B14" s="28"/>
      <c r="C14" s="28"/>
      <c r="D14" s="28"/>
      <c r="E14" s="28"/>
      <c r="F14" s="28"/>
      <c r="G14" s="28"/>
      <c r="H14" s="28"/>
      <c r="I14" s="28"/>
      <c r="J14" s="28"/>
      <c r="K14" s="502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6"/>
      <c r="AX14" s="499" t="s">
        <v>66</v>
      </c>
      <c r="AY14" s="28"/>
      <c r="AZ14" s="36" t="s">
        <v>59</v>
      </c>
      <c r="BA14" s="497" t="s">
        <v>60</v>
      </c>
      <c r="BB14" s="28"/>
      <c r="BC14" s="483"/>
      <c r="BD14" s="498" t="s">
        <v>62</v>
      </c>
      <c r="BE14" s="28"/>
      <c r="BF14" s="483"/>
      <c r="BG14" s="498" t="s">
        <v>62</v>
      </c>
      <c r="BH14" s="28"/>
      <c r="BI14" s="486"/>
      <c r="BJ14" s="499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400"/>
      <c r="K15" s="502"/>
      <c r="Y15" s="35" t="s">
        <v>71</v>
      </c>
      <c r="AB15" s="35" t="s">
        <v>71</v>
      </c>
      <c r="AN15" s="321"/>
      <c r="AQ15" s="321"/>
      <c r="AT15" s="321"/>
      <c r="AZ15" s="483"/>
      <c r="BA15" s="498" t="s">
        <v>62</v>
      </c>
      <c r="BC15" s="486"/>
      <c r="BD15" s="499" t="s">
        <v>66</v>
      </c>
      <c r="BF15" s="486"/>
      <c r="BG15" s="499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5"/>
      <c r="B16"/>
      <c r="C16"/>
      <c r="D16"/>
      <c r="E16"/>
      <c r="F16"/>
      <c r="G16"/>
      <c r="H16"/>
      <c r="I16"/>
      <c r="J16"/>
      <c r="K16" s="462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6"/>
      <c r="BA16" s="499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4" t="s">
        <v>74</v>
      </c>
      <c r="BN17" s="364" t="s">
        <v>75</v>
      </c>
      <c r="BQ17" s="364"/>
    </row>
    <row r="18" spans="1:70">
      <c r="X18" t="s">
        <v>76</v>
      </c>
      <c r="AK18" s="364">
        <v>14234.62</v>
      </c>
      <c r="AN18" s="364"/>
      <c r="AQ18" s="364"/>
      <c r="AT18" s="364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4"/>
      <c r="BN18" s="320"/>
      <c r="BO18" s="364"/>
      <c r="BQ18" s="320"/>
      <c r="BR18" s="364"/>
    </row>
    <row r="19" spans="1:70">
      <c r="AA19" t="s">
        <v>80</v>
      </c>
      <c r="AD19" t="s">
        <v>81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82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83</v>
      </c>
      <c r="B21" s="462">
        <f>B25+B31+B32+B24</f>
        <v>52017.02</v>
      </c>
      <c r="D21" s="324" t="s">
        <v>84</v>
      </c>
      <c r="E21" s="46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465" t="s">
        <v>85</v>
      </c>
      <c r="B22" s="487">
        <f>B23+B29</f>
        <v>29471</v>
      </c>
      <c r="C22" s="461"/>
      <c r="D22" s="465" t="s">
        <v>86</v>
      </c>
      <c r="E22" s="48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467" t="s">
        <v>48</v>
      </c>
      <c r="B23" s="488">
        <v>25000</v>
      </c>
      <c r="C23" s="461"/>
      <c r="D23" s="467" t="s">
        <v>48</v>
      </c>
      <c r="E23" s="48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489" t="s">
        <v>87</v>
      </c>
      <c r="B24" s="490">
        <v>3895</v>
      </c>
      <c r="D24" s="489" t="s">
        <v>87</v>
      </c>
      <c r="E24" s="49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470" t="s">
        <v>88</v>
      </c>
      <c r="B25" s="491">
        <v>35000</v>
      </c>
      <c r="D25" s="492" t="s">
        <v>89</v>
      </c>
      <c r="E25" s="49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05" t="s">
        <v>52</v>
      </c>
      <c r="B26" s="493">
        <v>30322.55</v>
      </c>
      <c r="C26" s="461"/>
      <c r="D26" s="505" t="s">
        <v>52</v>
      </c>
      <c r="E26" s="49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06" t="s">
        <v>54</v>
      </c>
      <c r="B27" s="494">
        <v>17</v>
      </c>
      <c r="D27" s="506" t="s">
        <v>54</v>
      </c>
      <c r="E27" s="49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06" t="s">
        <v>57</v>
      </c>
      <c r="B28" s="493">
        <f>B26+B27</f>
        <v>30339.55</v>
      </c>
      <c r="D28" s="506" t="s">
        <v>57</v>
      </c>
      <c r="E28" s="49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476" t="s">
        <v>53</v>
      </c>
      <c r="B29" s="495">
        <v>4471</v>
      </c>
      <c r="D29" s="476" t="s">
        <v>53</v>
      </c>
      <c r="E29" s="49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478" t="s">
        <v>90</v>
      </c>
      <c r="B30" s="494">
        <v>12846.53</v>
      </c>
      <c r="C30" s="324"/>
      <c r="D30" s="478" t="s">
        <v>90</v>
      </c>
      <c r="E30" s="49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473" t="s">
        <v>61</v>
      </c>
      <c r="B31" s="493">
        <f>B28-B29-B30</f>
        <v>13022.019999999999</v>
      </c>
      <c r="C31" s="461"/>
      <c r="D31" s="473" t="s">
        <v>61</v>
      </c>
      <c r="E31" s="49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65</v>
      </c>
      <c r="B32" s="496">
        <v>100</v>
      </c>
      <c r="D32" s="324" t="s">
        <v>65</v>
      </c>
      <c r="E32" s="49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59</v>
      </c>
      <c r="B33" s="497" t="s">
        <v>60</v>
      </c>
      <c r="D33" s="36" t="s">
        <v>59</v>
      </c>
      <c r="E33" s="497" t="s">
        <v>60</v>
      </c>
      <c r="AZ33" s="364"/>
      <c r="BC33" s="364"/>
      <c r="BF33" s="364"/>
    </row>
    <row r="34" spans="1:58">
      <c r="A34" s="483"/>
      <c r="B34" s="498" t="s">
        <v>62</v>
      </c>
      <c r="C34" s="28"/>
      <c r="D34" s="483"/>
      <c r="E34" s="498" t="s">
        <v>62</v>
      </c>
      <c r="AZ34" s="364"/>
    </row>
    <row r="35" spans="1:58">
      <c r="A35" s="486"/>
      <c r="B35" s="499" t="s">
        <v>66</v>
      </c>
      <c r="C35" s="28"/>
      <c r="D35" s="486"/>
      <c r="E35" s="499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02">
        <f t="shared" ref="I33:J33" si="2">I30*I31/365*31</f>
        <v>76.438356164383549</v>
      </c>
      <c r="J33" s="602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17">
        <f>SUMPRODUCT(D3:D33,E3:E33)/365</f>
        <v>34.006575342465737</v>
      </c>
      <c r="E35" s="717"/>
      <c r="F35" s="26"/>
    </row>
    <row r="36" spans="2:11">
      <c r="B36" s="16" t="s">
        <v>3197</v>
      </c>
      <c r="D36" s="717" t="s">
        <v>3198</v>
      </c>
      <c r="E36" s="71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5" customWidth="1"/>
    <col min="11" max="11" width="11" style="30" customWidth="1"/>
    <col min="12" max="12" width="21.85546875" style="365" customWidth="1"/>
    <col min="13" max="13" width="12.5703125" style="30" customWidth="1"/>
    <col min="14" max="14" width="16" customWidth="1"/>
    <col min="16" max="16" width="20" style="365" customWidth="1"/>
    <col min="17" max="17" width="11" style="30" customWidth="1"/>
    <col min="18" max="18" width="21.85546875" style="36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6" customWidth="1"/>
    <col min="25" max="25" width="11.28515625" style="36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8" customWidth="1"/>
    <col min="37" max="37" width="9.28515625" style="368" customWidth="1"/>
    <col min="38" max="38" width="16.5703125" customWidth="1"/>
    <col min="39" max="39" width="12.140625" style="369" customWidth="1"/>
    <col min="40" max="40" width="13.85546875" style="370" customWidth="1"/>
    <col min="41" max="41" width="10.42578125" style="370" customWidth="1"/>
    <col min="42" max="42" width="25.85546875" style="53" customWidth="1"/>
    <col min="43" max="43" width="11" style="53" customWidth="1"/>
    <col min="44" max="44" width="17" customWidth="1"/>
    <col min="45" max="45" width="12.140625" style="36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71" customWidth="1"/>
    <col min="52" max="52" width="9.5703125" customWidth="1"/>
    <col min="53" max="53" width="1.5703125" style="28" customWidth="1"/>
    <col min="54" max="54" width="32.5703125" customWidth="1"/>
    <col min="55" max="55" width="14.5703125" style="371" customWidth="1"/>
    <col min="56" max="56" width="9.5703125" customWidth="1"/>
  </cols>
  <sheetData>
    <row r="1" spans="2:63">
      <c r="B1" s="676" t="s">
        <v>92</v>
      </c>
      <c r="C1" s="676"/>
      <c r="D1" s="677" t="s">
        <v>93</v>
      </c>
      <c r="E1" s="676"/>
      <c r="F1" s="677" t="s">
        <v>94</v>
      </c>
      <c r="G1" s="676"/>
      <c r="H1" s="675" t="s">
        <v>95</v>
      </c>
      <c r="I1" s="675"/>
      <c r="J1" s="669" t="s">
        <v>93</v>
      </c>
      <c r="K1" s="670"/>
      <c r="L1" s="673" t="s">
        <v>96</v>
      </c>
      <c r="M1" s="674"/>
      <c r="N1" s="675" t="s">
        <v>97</v>
      </c>
      <c r="O1" s="675"/>
      <c r="P1" s="669" t="s">
        <v>98</v>
      </c>
      <c r="Q1" s="670"/>
      <c r="R1" s="673" t="s">
        <v>99</v>
      </c>
      <c r="S1" s="674"/>
      <c r="T1" s="659" t="s">
        <v>100</v>
      </c>
      <c r="U1" s="659"/>
      <c r="V1" s="669" t="s">
        <v>93</v>
      </c>
      <c r="W1" s="670"/>
      <c r="X1" s="665" t="s">
        <v>101</v>
      </c>
      <c r="Y1" s="666"/>
      <c r="Z1" s="659" t="s">
        <v>102</v>
      </c>
      <c r="AA1" s="659"/>
      <c r="AB1" s="663" t="s">
        <v>93</v>
      </c>
      <c r="AC1" s="664"/>
      <c r="AD1" s="671" t="s">
        <v>101</v>
      </c>
      <c r="AE1" s="672"/>
      <c r="AF1" s="659" t="s">
        <v>103</v>
      </c>
      <c r="AG1" s="659"/>
      <c r="AH1" s="663" t="s">
        <v>93</v>
      </c>
      <c r="AI1" s="664"/>
      <c r="AJ1" s="665" t="s">
        <v>104</v>
      </c>
      <c r="AK1" s="666"/>
      <c r="AL1" s="659" t="s">
        <v>105</v>
      </c>
      <c r="AM1" s="659"/>
      <c r="AN1" s="667" t="s">
        <v>93</v>
      </c>
      <c r="AO1" s="668"/>
      <c r="AP1" s="657" t="s">
        <v>106</v>
      </c>
      <c r="AQ1" s="658"/>
      <c r="AR1" s="659" t="s">
        <v>107</v>
      </c>
      <c r="AS1" s="659"/>
      <c r="AV1" s="657" t="s">
        <v>108</v>
      </c>
      <c r="AW1" s="658"/>
      <c r="AX1" s="660" t="s">
        <v>109</v>
      </c>
      <c r="AY1" s="660"/>
      <c r="AZ1" s="660"/>
      <c r="BA1" s="327"/>
      <c r="BB1" s="661">
        <v>42942</v>
      </c>
      <c r="BC1" s="662"/>
      <c r="BD1" s="66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8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5" t="s">
        <v>114</v>
      </c>
      <c r="K3" s="30">
        <f>SUM(K6:K22)</f>
        <v>31152.000120000001</v>
      </c>
      <c r="L3" s="365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5" t="s">
        <v>114</v>
      </c>
      <c r="Q3" s="30">
        <f>SUM(Q5:Q50)</f>
        <v>95870.240219999992</v>
      </c>
      <c r="R3" s="365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5" t="s">
        <v>114</v>
      </c>
      <c r="W3">
        <f>SUM(W4:W35)</f>
        <v>175871.98</v>
      </c>
      <c r="X3" s="399" t="s">
        <v>117</v>
      </c>
      <c r="Y3" s="367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9" t="s">
        <v>117</v>
      </c>
      <c r="AE3" s="368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9" t="s">
        <v>117</v>
      </c>
      <c r="AK3" s="368">
        <f>AI3+AG3-AM3</f>
        <v>30952.999909999995</v>
      </c>
      <c r="AL3" s="28" t="s">
        <v>119</v>
      </c>
      <c r="AM3" s="445">
        <f>SUM(AM8:AM20)</f>
        <v>22161.99999</v>
      </c>
      <c r="AN3" s="370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5">
        <f>SUM(AS6:AS28)</f>
        <v>39805.050999999999</v>
      </c>
      <c r="AX3" s="28" t="s">
        <v>120</v>
      </c>
      <c r="AY3" s="371">
        <f>SUM(AY6:AY20)</f>
        <v>160501.32599999997</v>
      </c>
      <c r="BB3" s="28" t="s">
        <v>116</v>
      </c>
      <c r="BC3" s="371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5" t="s">
        <v>123</v>
      </c>
      <c r="M4" s="30">
        <f>SUM(M8:M35)</f>
        <v>29666.800330000002</v>
      </c>
      <c r="N4" s="9"/>
      <c r="O4" s="9"/>
      <c r="R4" s="365" t="s">
        <v>124</v>
      </c>
      <c r="S4" s="30">
        <f>S3-S5</f>
        <v>33.727079999938724</v>
      </c>
      <c r="T4" s="656" t="s">
        <v>125</v>
      </c>
      <c r="U4" s="656"/>
      <c r="X4" s="399" t="s">
        <v>124</v>
      </c>
      <c r="Y4" s="425">
        <f>Y3-Y6</f>
        <v>4.9669099999591708</v>
      </c>
      <c r="Z4" s="656" t="s">
        <v>126</v>
      </c>
      <c r="AA4" s="656"/>
      <c r="AD4" s="368" t="s">
        <v>124</v>
      </c>
      <c r="AE4" s="368">
        <f>AE3-AE5</f>
        <v>-52.526899999851594</v>
      </c>
      <c r="AF4" s="656" t="s">
        <v>126</v>
      </c>
      <c r="AG4" s="656"/>
      <c r="AH4" s="67"/>
      <c r="AI4" s="67"/>
      <c r="AJ4" s="368" t="s">
        <v>124</v>
      </c>
      <c r="AK4" s="368">
        <f>AK3-AK5</f>
        <v>94.988909999992757</v>
      </c>
      <c r="AL4" s="656" t="s">
        <v>126</v>
      </c>
      <c r="AM4" s="656"/>
      <c r="AP4" s="53" t="s">
        <v>124</v>
      </c>
      <c r="AQ4" s="52">
        <f>AQ3-AQ5</f>
        <v>33.841989999942598</v>
      </c>
      <c r="AR4" s="656" t="s">
        <v>126</v>
      </c>
      <c r="AS4" s="656"/>
      <c r="AX4" s="656" t="s">
        <v>127</v>
      </c>
      <c r="AY4" s="656"/>
      <c r="BB4" s="656" t="s">
        <v>128</v>
      </c>
      <c r="BC4" s="65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9" t="s">
        <v>111</v>
      </c>
      <c r="N5" s="9" t="s">
        <v>110</v>
      </c>
      <c r="O5" s="9">
        <f>3965+2865+199</f>
        <v>7029</v>
      </c>
      <c r="P5" s="365" t="s">
        <v>131</v>
      </c>
      <c r="Q5" s="30">
        <v>25000</v>
      </c>
      <c r="R5" s="373" t="s">
        <v>132</v>
      </c>
      <c r="S5" s="30">
        <f>SUM(S15:S55)</f>
        <v>104150.52223000005</v>
      </c>
      <c r="T5" s="656"/>
      <c r="U5" s="656"/>
      <c r="V5" s="321" t="s">
        <v>133</v>
      </c>
      <c r="W5">
        <v>2050</v>
      </c>
      <c r="X5" s="373"/>
      <c r="Z5" s="656"/>
      <c r="AA5" s="656"/>
      <c r="AB5" s="67" t="s">
        <v>134</v>
      </c>
      <c r="AC5" s="67">
        <v>2550</v>
      </c>
      <c r="AD5" s="368" t="s">
        <v>135</v>
      </c>
      <c r="AE5" s="426">
        <f>SUM(AE11:AE55)</f>
        <v>224043.01899999983</v>
      </c>
      <c r="AF5" s="656"/>
      <c r="AG5" s="656"/>
      <c r="AH5" s="67"/>
      <c r="AI5" s="67"/>
      <c r="AJ5" s="368" t="s">
        <v>135</v>
      </c>
      <c r="AK5" s="426">
        <f>SUM(AK11:AK59)</f>
        <v>30858.011000000002</v>
      </c>
      <c r="AL5" s="656"/>
      <c r="AM5" s="656"/>
      <c r="AN5" s="370" t="s">
        <v>136</v>
      </c>
      <c r="AO5" s="370">
        <v>800</v>
      </c>
      <c r="AP5" s="53" t="s">
        <v>135</v>
      </c>
      <c r="AQ5" s="52">
        <f>SUM(AQ11:AQ82)</f>
        <v>102060.80700000007</v>
      </c>
      <c r="AR5" s="656"/>
      <c r="AS5" s="656"/>
      <c r="AX5" s="656"/>
      <c r="AY5" s="656"/>
      <c r="BB5" s="656"/>
      <c r="BC5" s="656"/>
      <c r="BD5" s="655" t="s">
        <v>137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138</v>
      </c>
      <c r="C6" s="30">
        <v>400.00000999999997</v>
      </c>
      <c r="D6" s="508" t="s">
        <v>139</v>
      </c>
      <c r="E6" s="30">
        <v>0</v>
      </c>
      <c r="H6" s="9" t="s">
        <v>121</v>
      </c>
      <c r="I6" s="9">
        <f>2117+5403</f>
        <v>7520</v>
      </c>
      <c r="J6" s="365" t="s">
        <v>140</v>
      </c>
      <c r="K6" s="30">
        <f>140+118</f>
        <v>258</v>
      </c>
      <c r="L6" s="365" t="s">
        <v>141</v>
      </c>
      <c r="N6" s="9" t="s">
        <v>121</v>
      </c>
      <c r="O6" s="9">
        <f>907+9625</f>
        <v>10532</v>
      </c>
      <c r="P6" s="509" t="s">
        <v>142</v>
      </c>
      <c r="Q6" s="30">
        <v>0</v>
      </c>
      <c r="R6" s="400" t="s">
        <v>143</v>
      </c>
      <c r="S6" s="30">
        <f>SUM(S15:S40)</f>
        <v>90121.520000000019</v>
      </c>
      <c r="T6" s="401"/>
      <c r="U6" s="401"/>
      <c r="V6" s="375" t="s">
        <v>144</v>
      </c>
      <c r="W6" s="402"/>
      <c r="X6" s="403" t="s">
        <v>145</v>
      </c>
      <c r="Y6" s="367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70" t="s">
        <v>146</v>
      </c>
      <c r="AO6" s="370">
        <f>600.01+900.01</f>
        <v>1500.02</v>
      </c>
      <c r="AP6" s="14" t="s">
        <v>148</v>
      </c>
      <c r="AQ6" s="52"/>
      <c r="AR6" t="s">
        <v>149</v>
      </c>
      <c r="AS6" s="369">
        <v>10600.32</v>
      </c>
      <c r="AX6" t="s">
        <v>149</v>
      </c>
      <c r="AY6" s="371">
        <v>10600.32</v>
      </c>
      <c r="BB6" t="s">
        <v>149</v>
      </c>
      <c r="BC6" s="371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8" t="s">
        <v>152</v>
      </c>
      <c r="E7" s="30">
        <v>3000.0000100000002</v>
      </c>
      <c r="F7" s="508" t="s">
        <v>153</v>
      </c>
      <c r="G7">
        <v>11551.18</v>
      </c>
      <c r="H7" s="9" t="s">
        <v>129</v>
      </c>
      <c r="I7" s="372">
        <v>811</v>
      </c>
      <c r="J7" s="365" t="s">
        <v>154</v>
      </c>
      <c r="K7" s="30">
        <v>51</v>
      </c>
      <c r="L7" s="373" t="s">
        <v>155</v>
      </c>
      <c r="M7" s="30">
        <f>M4-SUM(M8:M14)</f>
        <v>5118.8003200000021</v>
      </c>
      <c r="N7" s="9" t="s">
        <v>129</v>
      </c>
      <c r="O7" s="372">
        <v>700</v>
      </c>
      <c r="P7" s="365" t="s">
        <v>156</v>
      </c>
      <c r="Q7" s="30">
        <v>80.000010000000003</v>
      </c>
      <c r="R7" s="373" t="s">
        <v>155</v>
      </c>
      <c r="S7" s="30">
        <f>S5-S6</f>
        <v>14029.002230000027</v>
      </c>
      <c r="V7" s="379" t="s">
        <v>157</v>
      </c>
      <c r="W7" s="9">
        <v>12330.33</v>
      </c>
      <c r="X7" s="373" t="s">
        <v>155</v>
      </c>
      <c r="Y7" s="367">
        <f>SUM(Y21:Y60)</f>
        <v>27022.002000000004</v>
      </c>
      <c r="AD7" s="373" t="s">
        <v>155</v>
      </c>
      <c r="AE7" s="427">
        <f>AE5-AE10-AE8</f>
        <v>30105.016999999818</v>
      </c>
      <c r="AH7" s="67"/>
      <c r="AI7" s="67"/>
      <c r="AJ7" s="373" t="s">
        <v>158</v>
      </c>
      <c r="AK7" s="427">
        <f>AK5-AK10-AK8</f>
        <v>9389.0110000000022</v>
      </c>
      <c r="AP7" s="373" t="s">
        <v>158</v>
      </c>
      <c r="AQ7" s="52">
        <f>AQ5-AQ10-AQ8</f>
        <v>27654.80600000007</v>
      </c>
      <c r="AR7" s="28" t="s">
        <v>159</v>
      </c>
      <c r="AS7" s="445">
        <f>1249+3166+705</f>
        <v>5120</v>
      </c>
      <c r="AX7" s="28" t="s">
        <v>159</v>
      </c>
      <c r="AY7" s="371">
        <v>2000.001</v>
      </c>
      <c r="BB7" s="28" t="s">
        <v>159</v>
      </c>
      <c r="BC7" s="371">
        <v>3400</v>
      </c>
      <c r="BD7" t="s">
        <v>160</v>
      </c>
    </row>
    <row r="8" spans="2:63" ht="25.5">
      <c r="D8" s="508" t="s">
        <v>161</v>
      </c>
      <c r="E8" s="30">
        <v>1.0000000000000001E-5</v>
      </c>
      <c r="F8" s="508" t="s">
        <v>162</v>
      </c>
      <c r="G8">
        <f>2750*7+0.00001</f>
        <v>19250.00001</v>
      </c>
      <c r="H8" s="9" t="s">
        <v>138</v>
      </c>
      <c r="I8" s="372">
        <v>573</v>
      </c>
      <c r="L8" s="509" t="s">
        <v>153</v>
      </c>
      <c r="M8" s="30">
        <v>80.000010000000003</v>
      </c>
      <c r="N8" s="9" t="s">
        <v>138</v>
      </c>
      <c r="O8" s="372">
        <v>620</v>
      </c>
      <c r="P8" s="365" t="s">
        <v>163</v>
      </c>
      <c r="Q8" s="30">
        <v>80.000010000000003</v>
      </c>
      <c r="R8" s="404" t="s">
        <v>164</v>
      </c>
      <c r="S8" s="30">
        <f>SUM(S39:S40)</f>
        <v>22624.43</v>
      </c>
      <c r="T8" s="28" t="s">
        <v>110</v>
      </c>
      <c r="U8" s="28">
        <v>3100.0010000000002</v>
      </c>
      <c r="V8" s="379" t="s">
        <v>165</v>
      </c>
      <c r="W8" s="9">
        <v>12330.33</v>
      </c>
      <c r="X8" s="405" t="s">
        <v>166</v>
      </c>
      <c r="Z8" s="28" t="s">
        <v>167</v>
      </c>
      <c r="AA8" s="28">
        <v>3500.0010000000002</v>
      </c>
      <c r="AB8" s="428" t="s">
        <v>168</v>
      </c>
      <c r="AC8" s="429"/>
      <c r="AD8" s="430" t="s">
        <v>169</v>
      </c>
      <c r="AE8" s="430">
        <f>SUM(AE20:AE21)</f>
        <v>16721</v>
      </c>
      <c r="AF8" s="28" t="s">
        <v>159</v>
      </c>
      <c r="AG8" s="28">
        <f>3173+6258</f>
        <v>9431</v>
      </c>
      <c r="AH8" s="428" t="s">
        <v>170</v>
      </c>
      <c r="AI8" s="429"/>
      <c r="AJ8" s="430" t="s">
        <v>171</v>
      </c>
      <c r="AK8" s="368">
        <f>AK19</f>
        <v>1164</v>
      </c>
      <c r="AL8" s="28" t="s">
        <v>159</v>
      </c>
      <c r="AM8" s="445">
        <f>2482+4194</f>
        <v>6676</v>
      </c>
      <c r="AN8" s="510" t="s">
        <v>172</v>
      </c>
      <c r="AP8" s="454" t="s">
        <v>173</v>
      </c>
      <c r="AQ8" s="52">
        <f>AQ19</f>
        <v>2506</v>
      </c>
      <c r="AR8" s="362" t="s">
        <v>174</v>
      </c>
      <c r="AS8" s="450"/>
      <c r="AX8" t="s">
        <v>175</v>
      </c>
      <c r="AY8" s="371">
        <v>22000.001</v>
      </c>
      <c r="BB8" t="s">
        <v>175</v>
      </c>
      <c r="BC8" s="371">
        <v>9000</v>
      </c>
    </row>
    <row r="9" spans="2:63" ht="25.5">
      <c r="D9" s="508" t="s">
        <v>176</v>
      </c>
      <c r="E9" s="30">
        <v>1.0000000000000001E-5</v>
      </c>
      <c r="F9" s="508" t="s">
        <v>177</v>
      </c>
      <c r="H9" s="9" t="s">
        <v>151</v>
      </c>
      <c r="I9" s="372"/>
      <c r="L9" s="509" t="s">
        <v>178</v>
      </c>
      <c r="M9" s="30">
        <f>2734*2</f>
        <v>5468</v>
      </c>
      <c r="N9" s="9" t="s">
        <v>179</v>
      </c>
      <c r="O9" s="372"/>
      <c r="P9" s="509" t="s">
        <v>180</v>
      </c>
      <c r="Q9" s="30">
        <v>100.0001</v>
      </c>
      <c r="R9" s="365" t="s">
        <v>181</v>
      </c>
      <c r="S9" s="406">
        <f>SUM(S15:S17)</f>
        <v>33600</v>
      </c>
      <c r="T9" s="28" t="s">
        <v>121</v>
      </c>
      <c r="U9" s="28">
        <f>1622+5333</f>
        <v>6955</v>
      </c>
      <c r="V9" s="379" t="s">
        <v>182</v>
      </c>
      <c r="W9" s="9">
        <v>14873.93</v>
      </c>
      <c r="X9" s="399" t="s">
        <v>183</v>
      </c>
      <c r="Y9" s="367">
        <f>SUM(Y12:Y17)</f>
        <v>75135.001000000004</v>
      </c>
      <c r="Z9" s="382" t="s">
        <v>184</v>
      </c>
      <c r="AA9" s="28">
        <f>68000+4000+770-0*30000</f>
        <v>72770</v>
      </c>
      <c r="AB9" s="431" t="s">
        <v>185</v>
      </c>
      <c r="AC9" s="432">
        <v>12618</v>
      </c>
      <c r="AD9" s="368"/>
      <c r="AE9" s="368"/>
      <c r="AF9" s="382" t="s">
        <v>174</v>
      </c>
      <c r="AG9" s="28">
        <f>1517+11990+1465</f>
        <v>14972</v>
      </c>
      <c r="AH9" s="431" t="s">
        <v>186</v>
      </c>
      <c r="AI9" s="432">
        <v>12230</v>
      </c>
      <c r="AL9" s="382" t="s">
        <v>174</v>
      </c>
      <c r="AM9" s="445"/>
      <c r="AN9" s="446" t="s">
        <v>187</v>
      </c>
      <c r="AO9" s="446">
        <v>6667</v>
      </c>
      <c r="AR9" s="362" t="s">
        <v>188</v>
      </c>
      <c r="AS9" s="450">
        <f>1752</f>
        <v>1752</v>
      </c>
    </row>
    <row r="10" spans="2:63">
      <c r="B10" t="s">
        <v>189</v>
      </c>
      <c r="F10" s="508" t="s">
        <v>190</v>
      </c>
      <c r="G10" s="41">
        <v>10000</v>
      </c>
      <c r="H10" s="9" t="s">
        <v>191</v>
      </c>
      <c r="I10" s="372">
        <v>-414</v>
      </c>
      <c r="L10" s="509" t="s">
        <v>177</v>
      </c>
      <c r="N10" s="9" t="s">
        <v>191</v>
      </c>
      <c r="O10" s="372">
        <v>-260</v>
      </c>
      <c r="R10" s="365" t="s">
        <v>192</v>
      </c>
      <c r="S10" s="407">
        <f>SUM(S18:S38)</f>
        <v>33897.089999999997</v>
      </c>
      <c r="T10" s="28" t="s">
        <v>129</v>
      </c>
      <c r="U10" s="408">
        <v>1031</v>
      </c>
      <c r="V10" s="379" t="s">
        <v>186</v>
      </c>
      <c r="W10" s="9">
        <v>31314.41</v>
      </c>
      <c r="X10" s="409" t="s">
        <v>193</v>
      </c>
      <c r="Y10" s="433">
        <f>Y19+Y20</f>
        <v>7302</v>
      </c>
      <c r="Z10" s="28" t="s">
        <v>129</v>
      </c>
      <c r="AA10" s="408">
        <v>687</v>
      </c>
      <c r="AB10" s="431" t="s">
        <v>194</v>
      </c>
      <c r="AC10" s="432">
        <v>12330.33</v>
      </c>
      <c r="AD10" s="434" t="s">
        <v>195</v>
      </c>
      <c r="AE10" s="434">
        <f>SUM(AE11:AE18)</f>
        <v>177217.00200000001</v>
      </c>
      <c r="AF10" s="28" t="s">
        <v>129</v>
      </c>
      <c r="AG10" s="408">
        <v>1967</v>
      </c>
      <c r="AH10" s="431" t="s">
        <v>196</v>
      </c>
      <c r="AI10" s="432">
        <v>12330</v>
      </c>
      <c r="AJ10" s="434" t="s">
        <v>195</v>
      </c>
      <c r="AK10" s="434">
        <f>SUM(AK11:AK17)</f>
        <v>20305</v>
      </c>
      <c r="AL10" s="382" t="s">
        <v>188</v>
      </c>
      <c r="AM10" s="445">
        <f>1290</f>
        <v>1290</v>
      </c>
      <c r="AN10" s="447" t="s">
        <v>182</v>
      </c>
      <c r="AO10" s="446">
        <v>12330.33</v>
      </c>
      <c r="AP10" s="455" t="s">
        <v>195</v>
      </c>
      <c r="AQ10" s="455">
        <f>SUM(AQ11:AQ17)</f>
        <v>71900.001000000004</v>
      </c>
      <c r="AR10" s="362" t="s">
        <v>197</v>
      </c>
      <c r="AS10" s="450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72">
        <v>-16</v>
      </c>
      <c r="J11" s="509" t="s">
        <v>201</v>
      </c>
      <c r="K11" s="30">
        <f>1266+1275</f>
        <v>2541</v>
      </c>
      <c r="L11" s="365" t="s">
        <v>202</v>
      </c>
      <c r="M11" s="30">
        <v>1600</v>
      </c>
      <c r="N11" s="344" t="s">
        <v>203</v>
      </c>
      <c r="O11" s="374">
        <v>50</v>
      </c>
      <c r="P11" s="375" t="s">
        <v>204</v>
      </c>
      <c r="Q11" s="402"/>
      <c r="R11" s="410" t="s">
        <v>205</v>
      </c>
      <c r="S11" s="30">
        <f>SUM(S39:S55)</f>
        <v>36653.432230000006</v>
      </c>
      <c r="T11" s="335" t="s">
        <v>138</v>
      </c>
      <c r="U11" s="402">
        <v>347</v>
      </c>
      <c r="V11" s="411" t="s">
        <v>206</v>
      </c>
      <c r="W11" s="9">
        <v>12480</v>
      </c>
      <c r="Z11" s="28" t="s">
        <v>138</v>
      </c>
      <c r="AA11" s="408">
        <v>4235</v>
      </c>
      <c r="AB11" s="431" t="s">
        <v>207</v>
      </c>
      <c r="AC11" s="432">
        <v>12330.33</v>
      </c>
      <c r="AD11" s="511" t="s">
        <v>208</v>
      </c>
      <c r="AE11" s="434">
        <f>50000+40388</f>
        <v>90388</v>
      </c>
      <c r="AF11" s="28" t="s">
        <v>138</v>
      </c>
      <c r="AG11" s="408">
        <v>1370</v>
      </c>
      <c r="AH11" s="431"/>
      <c r="AI11" s="432"/>
      <c r="AJ11" s="511" t="s">
        <v>209</v>
      </c>
      <c r="AK11" s="434">
        <v>0</v>
      </c>
      <c r="AL11" s="382" t="s">
        <v>210</v>
      </c>
      <c r="AM11" s="445">
        <v>11034</v>
      </c>
      <c r="AN11" s="447" t="s">
        <v>165</v>
      </c>
      <c r="AO11" s="446">
        <v>12460.33</v>
      </c>
      <c r="AP11" s="455" t="s">
        <v>211</v>
      </c>
      <c r="AQ11" s="455">
        <v>10000</v>
      </c>
      <c r="AR11" s="362" t="s">
        <v>212</v>
      </c>
      <c r="AS11" s="450">
        <v>1056</v>
      </c>
    </row>
    <row r="12" spans="2:63" ht="38.25">
      <c r="B12" t="s">
        <v>213</v>
      </c>
      <c r="F12" s="508" t="s">
        <v>214</v>
      </c>
      <c r="G12">
        <v>3600</v>
      </c>
      <c r="H12" s="9" t="s">
        <v>215</v>
      </c>
      <c r="I12" s="372">
        <v>69</v>
      </c>
      <c r="J12" s="509" t="s">
        <v>216</v>
      </c>
      <c r="K12" s="30">
        <v>1200.0001</v>
      </c>
      <c r="L12" s="365" t="s">
        <v>217</v>
      </c>
      <c r="M12" s="30">
        <v>10000</v>
      </c>
      <c r="N12" s="376"/>
      <c r="O12" s="377"/>
      <c r="P12" s="378" t="s">
        <v>207</v>
      </c>
      <c r="Q12" s="412">
        <v>12332</v>
      </c>
      <c r="R12" s="365" t="s">
        <v>218</v>
      </c>
      <c r="S12" s="413">
        <f>S11/SUM(Q12:Q15)</f>
        <v>0.74311556706674242</v>
      </c>
      <c r="T12" s="337" t="s">
        <v>219</v>
      </c>
      <c r="U12" s="412"/>
      <c r="V12" s="381" t="s">
        <v>220</v>
      </c>
      <c r="W12" s="414">
        <v>440</v>
      </c>
      <c r="X12" s="512" t="s">
        <v>221</v>
      </c>
      <c r="Y12" s="435">
        <f>W5+5000</f>
        <v>7050</v>
      </c>
      <c r="Z12" s="436" t="s">
        <v>219</v>
      </c>
      <c r="AA12" s="372"/>
      <c r="AB12" s="431" t="s">
        <v>222</v>
      </c>
      <c r="AC12" s="432">
        <v>12330.33</v>
      </c>
      <c r="AD12" s="511" t="s">
        <v>223</v>
      </c>
      <c r="AE12" s="434">
        <v>2000.001</v>
      </c>
      <c r="AF12" s="436" t="s">
        <v>219</v>
      </c>
      <c r="AG12" s="372"/>
      <c r="AH12" s="448" t="s">
        <v>224</v>
      </c>
      <c r="AI12" s="432">
        <v>180</v>
      </c>
      <c r="AJ12" s="511" t="s">
        <v>225</v>
      </c>
      <c r="AK12" s="434">
        <v>10000</v>
      </c>
      <c r="AL12" s="382" t="s">
        <v>212</v>
      </c>
      <c r="AM12" s="445">
        <v>1465</v>
      </c>
      <c r="AN12" s="447" t="s">
        <v>157</v>
      </c>
      <c r="AO12" s="446">
        <v>12240.33</v>
      </c>
      <c r="AP12" s="455"/>
      <c r="AQ12" s="455"/>
      <c r="AR12" s="322" t="s">
        <v>226</v>
      </c>
      <c r="AS12" s="450">
        <v>1000</v>
      </c>
    </row>
    <row r="13" spans="2:63" ht="25.5">
      <c r="B13" t="s">
        <v>227</v>
      </c>
      <c r="F13" s="508" t="s">
        <v>228</v>
      </c>
      <c r="G13">
        <v>1300</v>
      </c>
      <c r="H13" s="9"/>
      <c r="I13" s="9"/>
      <c r="J13" s="365" t="s">
        <v>229</v>
      </c>
      <c r="K13" s="30">
        <v>403</v>
      </c>
      <c r="L13" s="509" t="s">
        <v>230</v>
      </c>
      <c r="M13" s="30">
        <f>1300*4+800*2</f>
        <v>6800</v>
      </c>
      <c r="N13" s="376"/>
      <c r="O13" s="377"/>
      <c r="P13" s="379" t="s">
        <v>222</v>
      </c>
      <c r="Q13" s="372">
        <v>12332</v>
      </c>
      <c r="T13" s="9" t="s">
        <v>231</v>
      </c>
      <c r="U13" s="372">
        <v>76</v>
      </c>
      <c r="X13" s="513" t="s">
        <v>232</v>
      </c>
      <c r="Y13" s="437">
        <v>11200.001</v>
      </c>
      <c r="Z13" s="436" t="s">
        <v>191</v>
      </c>
      <c r="AA13" s="372">
        <v>-611</v>
      </c>
      <c r="AB13" s="438" t="s">
        <v>233</v>
      </c>
      <c r="AC13" s="432">
        <v>12900</v>
      </c>
      <c r="AD13" s="511" t="s">
        <v>234</v>
      </c>
      <c r="AE13" s="434">
        <v>10100</v>
      </c>
      <c r="AF13" s="436" t="s">
        <v>191</v>
      </c>
      <c r="AG13" s="372">
        <v>-203</v>
      </c>
      <c r="AH13" s="438"/>
      <c r="AI13" s="432"/>
      <c r="AJ13" s="511" t="s">
        <v>235</v>
      </c>
      <c r="AK13" s="434">
        <v>0</v>
      </c>
      <c r="AL13" s="382" t="s">
        <v>236</v>
      </c>
      <c r="AM13" s="445" t="s">
        <v>237</v>
      </c>
      <c r="AN13" s="449" t="s">
        <v>185</v>
      </c>
      <c r="AO13" s="446">
        <v>14750.69</v>
      </c>
      <c r="AP13" s="455" t="s">
        <v>238</v>
      </c>
      <c r="AQ13" s="455">
        <v>1500.001</v>
      </c>
      <c r="AR13" s="362" t="s">
        <v>239</v>
      </c>
      <c r="AS13" s="450" t="s">
        <v>237</v>
      </c>
      <c r="AX13" s="28" t="s">
        <v>129</v>
      </c>
      <c r="AY13" s="371">
        <v>1000.001</v>
      </c>
      <c r="BB13" s="28" t="s">
        <v>129</v>
      </c>
      <c r="BC13" s="371">
        <v>993</v>
      </c>
    </row>
    <row r="14" spans="2:63" ht="25.5">
      <c r="F14" s="508" t="s">
        <v>240</v>
      </c>
      <c r="G14">
        <v>2000.00001</v>
      </c>
      <c r="H14" s="9"/>
      <c r="I14" s="9"/>
      <c r="J14" s="509" t="s">
        <v>142</v>
      </c>
      <c r="K14" s="30">
        <v>300</v>
      </c>
      <c r="L14" s="509" t="s">
        <v>241</v>
      </c>
      <c r="M14" s="30">
        <f>200+400</f>
        <v>600</v>
      </c>
      <c r="N14" s="28"/>
      <c r="O14" s="28"/>
      <c r="P14" s="379" t="s">
        <v>233</v>
      </c>
      <c r="Q14" s="372">
        <v>12330</v>
      </c>
      <c r="T14" s="9" t="s">
        <v>203</v>
      </c>
      <c r="U14" s="372">
        <v>58</v>
      </c>
      <c r="X14" s="513" t="s">
        <v>241</v>
      </c>
      <c r="Y14" s="437">
        <f>300+500+500</f>
        <v>1300</v>
      </c>
      <c r="Z14" s="436" t="s">
        <v>200</v>
      </c>
      <c r="AA14" s="372">
        <v>-3751</v>
      </c>
      <c r="AB14" s="438" t="s">
        <v>242</v>
      </c>
      <c r="AC14" s="432">
        <v>12608</v>
      </c>
      <c r="AD14" s="511" t="s">
        <v>243</v>
      </c>
      <c r="AE14" s="434">
        <v>0</v>
      </c>
      <c r="AF14" s="436" t="s">
        <v>200</v>
      </c>
      <c r="AG14" s="372">
        <v>-307</v>
      </c>
      <c r="AH14" s="438"/>
      <c r="AI14" s="432"/>
      <c r="AJ14" s="511" t="s">
        <v>243</v>
      </c>
      <c r="AK14" s="434">
        <v>0</v>
      </c>
      <c r="AL14" s="28" t="s">
        <v>129</v>
      </c>
      <c r="AM14" s="445">
        <v>1970</v>
      </c>
      <c r="AN14" s="449" t="s">
        <v>224</v>
      </c>
      <c r="AO14" s="446" t="s">
        <v>244</v>
      </c>
      <c r="AP14" s="514" t="s">
        <v>245</v>
      </c>
      <c r="AQ14" s="455"/>
      <c r="AR14" s="28" t="s">
        <v>129</v>
      </c>
      <c r="AS14" s="445">
        <v>1010</v>
      </c>
      <c r="AX14" s="28" t="s">
        <v>138</v>
      </c>
      <c r="AY14" s="371">
        <v>1501</v>
      </c>
      <c r="BB14" s="28" t="s">
        <v>138</v>
      </c>
      <c r="BC14" s="371">
        <v>865</v>
      </c>
    </row>
    <row r="15" spans="2:63">
      <c r="D15" t="s">
        <v>246</v>
      </c>
      <c r="F15" s="508" t="s">
        <v>247</v>
      </c>
      <c r="G15">
        <v>1900</v>
      </c>
      <c r="H15" s="9" t="s">
        <v>189</v>
      </c>
      <c r="I15" s="9"/>
      <c r="J15" s="509" t="s">
        <v>161</v>
      </c>
      <c r="K15" s="30">
        <v>1500</v>
      </c>
      <c r="L15" s="509" t="s">
        <v>248</v>
      </c>
      <c r="M15" s="30">
        <v>160</v>
      </c>
      <c r="N15" s="35" t="s">
        <v>189</v>
      </c>
      <c r="O15" s="28"/>
      <c r="P15" s="380" t="s">
        <v>242</v>
      </c>
      <c r="Q15" s="374">
        <v>12330</v>
      </c>
      <c r="R15" s="400" t="s">
        <v>249</v>
      </c>
      <c r="S15" s="415">
        <f>3900+25000</f>
        <v>28900</v>
      </c>
      <c r="T15" s="9" t="s">
        <v>250</v>
      </c>
      <c r="U15" s="416">
        <v>-1200.01</v>
      </c>
      <c r="V15" s="515" t="s">
        <v>251</v>
      </c>
      <c r="W15">
        <v>2000</v>
      </c>
      <c r="X15" s="516" t="s">
        <v>252</v>
      </c>
      <c r="Y15" s="437">
        <v>15000</v>
      </c>
      <c r="Z15" s="436" t="s">
        <v>250</v>
      </c>
      <c r="AA15" s="372">
        <v>-249</v>
      </c>
      <c r="AB15" s="438" t="s">
        <v>253</v>
      </c>
      <c r="AC15" s="432">
        <v>12130</v>
      </c>
      <c r="AD15" s="511" t="s">
        <v>254</v>
      </c>
      <c r="AE15" s="434">
        <f>1300*3</f>
        <v>3900</v>
      </c>
      <c r="AF15" s="436" t="s">
        <v>255</v>
      </c>
      <c r="AG15" s="372">
        <v>303</v>
      </c>
      <c r="AH15" s="438"/>
      <c r="AI15" s="432"/>
      <c r="AJ15" s="511" t="s">
        <v>254</v>
      </c>
      <c r="AK15" s="434">
        <v>0</v>
      </c>
      <c r="AL15" s="28" t="s">
        <v>138</v>
      </c>
      <c r="AM15" s="445">
        <v>1450</v>
      </c>
      <c r="AP15" s="455"/>
      <c r="AQ15" s="455">
        <v>20100</v>
      </c>
      <c r="AR15" s="28" t="s">
        <v>138</v>
      </c>
      <c r="AS15" s="445">
        <v>14470.19</v>
      </c>
      <c r="AX15" t="s">
        <v>256</v>
      </c>
      <c r="AY15" s="371">
        <v>21000.001</v>
      </c>
      <c r="BB15" t="s">
        <v>257</v>
      </c>
      <c r="BC15" s="371">
        <f>9100+2100</f>
        <v>11200</v>
      </c>
    </row>
    <row r="16" spans="2:63">
      <c r="D16" t="s">
        <v>258</v>
      </c>
      <c r="E16" s="30">
        <v>9662.7999999999993</v>
      </c>
      <c r="F16" s="508" t="s">
        <v>259</v>
      </c>
      <c r="G16">
        <v>4000</v>
      </c>
      <c r="H16" s="9" t="s">
        <v>198</v>
      </c>
      <c r="I16" s="9"/>
      <c r="J16" s="509" t="s">
        <v>260</v>
      </c>
      <c r="K16" s="30">
        <v>105</v>
      </c>
      <c r="L16" s="509" t="s">
        <v>261</v>
      </c>
      <c r="M16" s="30">
        <v>380.00009999999997</v>
      </c>
      <c r="N16" s="28" t="s">
        <v>198</v>
      </c>
      <c r="O16" s="28"/>
      <c r="P16" s="381"/>
      <c r="Q16" s="417"/>
      <c r="R16" s="517" t="s">
        <v>232</v>
      </c>
      <c r="S16" s="415">
        <f>3200</f>
        <v>3200</v>
      </c>
      <c r="T16" s="322" t="s">
        <v>262</v>
      </c>
      <c r="U16" s="9">
        <v>1.0000000000000001E-5</v>
      </c>
      <c r="V16" s="508" t="s">
        <v>263</v>
      </c>
      <c r="W16">
        <f>1200+800</f>
        <v>2000</v>
      </c>
      <c r="X16" s="516" t="s">
        <v>264</v>
      </c>
      <c r="Y16" s="437">
        <v>40185</v>
      </c>
      <c r="Z16" s="439" t="s">
        <v>265</v>
      </c>
      <c r="AA16" s="9">
        <v>204</v>
      </c>
      <c r="AD16" s="511" t="s">
        <v>266</v>
      </c>
      <c r="AE16" s="434">
        <v>1000.001</v>
      </c>
      <c r="AF16" s="439" t="s">
        <v>267</v>
      </c>
      <c r="AG16" s="372">
        <v>-10.0001</v>
      </c>
      <c r="AH16" s="67"/>
      <c r="AI16" s="67"/>
      <c r="AJ16" s="511" t="s">
        <v>266</v>
      </c>
      <c r="AK16" s="434">
        <v>1000</v>
      </c>
      <c r="AL16" s="436" t="s">
        <v>219</v>
      </c>
      <c r="AM16" s="450"/>
      <c r="AN16" s="370" t="s">
        <v>268</v>
      </c>
      <c r="AO16" s="301">
        <v>11200</v>
      </c>
      <c r="AP16" s="455"/>
      <c r="AQ16" s="455">
        <v>40100</v>
      </c>
      <c r="AR16" s="9" t="s">
        <v>219</v>
      </c>
      <c r="AS16" s="450"/>
      <c r="AX16" t="s">
        <v>269</v>
      </c>
      <c r="AY16" s="371">
        <f>88800+33600.001</f>
        <v>122400.00099999999</v>
      </c>
      <c r="BB16" t="s">
        <v>270</v>
      </c>
      <c r="BC16" s="371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5" t="s">
        <v>156</v>
      </c>
      <c r="K17" s="30">
        <v>80.000010000000003</v>
      </c>
      <c r="L17" s="509" t="s">
        <v>272</v>
      </c>
      <c r="M17" s="30">
        <f>288.9*2</f>
        <v>577.79999999999995</v>
      </c>
      <c r="N17" s="28" t="s">
        <v>213</v>
      </c>
      <c r="O17" s="28"/>
      <c r="P17" s="365" t="s">
        <v>220</v>
      </c>
      <c r="R17" s="517" t="s">
        <v>241</v>
      </c>
      <c r="S17" s="415">
        <f>1500</f>
        <v>1500</v>
      </c>
      <c r="T17" s="322" t="s">
        <v>273</v>
      </c>
      <c r="U17" s="9">
        <v>-10.0001</v>
      </c>
      <c r="V17" s="508" t="s">
        <v>274</v>
      </c>
      <c r="W17">
        <v>289</v>
      </c>
      <c r="X17" s="516" t="s">
        <v>223</v>
      </c>
      <c r="Y17" s="440">
        <v>400</v>
      </c>
      <c r="Z17" s="439" t="s">
        <v>275</v>
      </c>
      <c r="AA17" s="9">
        <v>1E-4</v>
      </c>
      <c r="AD17" s="511" t="s">
        <v>276</v>
      </c>
      <c r="AE17" s="434">
        <v>2400</v>
      </c>
      <c r="AF17" t="s">
        <v>277</v>
      </c>
      <c r="AG17" s="28"/>
      <c r="AH17" s="67"/>
      <c r="AI17" s="67"/>
      <c r="AJ17" s="511" t="s">
        <v>278</v>
      </c>
      <c r="AK17" s="434">
        <f>602+702+8001</f>
        <v>9305</v>
      </c>
      <c r="AL17" s="436" t="s">
        <v>191</v>
      </c>
      <c r="AM17" s="450">
        <v>-1370</v>
      </c>
      <c r="AN17" s="370" t="s">
        <v>279</v>
      </c>
      <c r="AO17" s="370">
        <v>800</v>
      </c>
      <c r="AP17" s="455" t="s">
        <v>280</v>
      </c>
      <c r="AQ17" s="455">
        <v>200</v>
      </c>
      <c r="AR17" s="9" t="s">
        <v>191</v>
      </c>
      <c r="AS17" s="450">
        <v>-544.78</v>
      </c>
      <c r="AX17" t="s">
        <v>281</v>
      </c>
      <c r="AY17" s="371">
        <v>-40000</v>
      </c>
      <c r="BB17" t="s">
        <v>282</v>
      </c>
      <c r="BC17" s="371">
        <f>97700+21400</f>
        <v>119100</v>
      </c>
    </row>
    <row r="18" spans="4:55">
      <c r="D18" t="s">
        <v>283</v>
      </c>
      <c r="E18" s="30">
        <v>12440.32</v>
      </c>
      <c r="F18" s="508" t="s">
        <v>284</v>
      </c>
      <c r="G18">
        <v>1550.00001</v>
      </c>
      <c r="H18" s="9" t="s">
        <v>227</v>
      </c>
      <c r="I18" s="9"/>
      <c r="J18" s="365" t="s">
        <v>163</v>
      </c>
      <c r="K18" s="30">
        <v>50.000010000000003</v>
      </c>
      <c r="L18" s="509" t="s">
        <v>285</v>
      </c>
      <c r="M18" s="30">
        <v>441</v>
      </c>
      <c r="N18" s="382" t="s">
        <v>227</v>
      </c>
      <c r="O18" s="28" t="s">
        <v>286</v>
      </c>
      <c r="P18" s="365" t="s">
        <v>287</v>
      </c>
      <c r="Q18" s="418">
        <f>56+33+139+40+133+48+34</f>
        <v>483</v>
      </c>
      <c r="R18" s="365" t="s">
        <v>288</v>
      </c>
      <c r="S18" s="407">
        <v>3000</v>
      </c>
      <c r="T18" s="9"/>
      <c r="U18" s="9"/>
      <c r="X18" s="419"/>
      <c r="Y18" s="441"/>
      <c r="Z18" s="436" t="s">
        <v>289</v>
      </c>
      <c r="AA18" s="9">
        <v>-20.0001</v>
      </c>
      <c r="AB18" s="67" t="s">
        <v>290</v>
      </c>
      <c r="AC18" s="67">
        <f>17000+28000</f>
        <v>45000</v>
      </c>
      <c r="AD18" s="511" t="s">
        <v>278</v>
      </c>
      <c r="AE18" s="434">
        <v>67429</v>
      </c>
      <c r="AF18" t="s">
        <v>291</v>
      </c>
      <c r="AG18" s="28"/>
      <c r="AH18" s="67" t="s">
        <v>290</v>
      </c>
      <c r="AI18" s="67">
        <v>0</v>
      </c>
      <c r="AL18" s="436" t="s">
        <v>200</v>
      </c>
      <c r="AM18" s="450">
        <v>-120</v>
      </c>
      <c r="AN18" s="370" t="s">
        <v>292</v>
      </c>
      <c r="AO18" s="370">
        <v>800</v>
      </c>
      <c r="AR18" s="9" t="s">
        <v>200</v>
      </c>
      <c r="AS18" s="450">
        <v>-255.15</v>
      </c>
      <c r="AX18" t="s">
        <v>293</v>
      </c>
      <c r="AY18" s="371">
        <v>10000.001</v>
      </c>
      <c r="BB18" t="s">
        <v>293</v>
      </c>
      <c r="BC18" s="371">
        <f>2200+1600</f>
        <v>3800</v>
      </c>
    </row>
    <row r="19" spans="4:55">
      <c r="D19" t="s">
        <v>294</v>
      </c>
      <c r="E19" s="30">
        <v>9956.7900000000009</v>
      </c>
      <c r="F19" s="508" t="s">
        <v>295</v>
      </c>
      <c r="G19">
        <v>500.00000999999997</v>
      </c>
      <c r="H19" s="9"/>
      <c r="I19" s="9"/>
      <c r="L19" s="509" t="s">
        <v>296</v>
      </c>
      <c r="M19" s="30">
        <v>180</v>
      </c>
      <c r="N19" s="35" t="s">
        <v>297</v>
      </c>
      <c r="O19" s="28"/>
      <c r="P19" s="365" t="s">
        <v>298</v>
      </c>
      <c r="Q19" s="418">
        <f>105*2</f>
        <v>210</v>
      </c>
      <c r="R19" s="365" t="s">
        <v>299</v>
      </c>
      <c r="S19" s="407">
        <v>10100</v>
      </c>
      <c r="U19" s="28"/>
      <c r="X19" s="518" t="s">
        <v>300</v>
      </c>
      <c r="Y19" s="433">
        <f>567*6</f>
        <v>3402</v>
      </c>
      <c r="AA19" s="28"/>
      <c r="AD19" s="368"/>
      <c r="AE19" s="368"/>
      <c r="AF19" t="s">
        <v>301</v>
      </c>
      <c r="AH19" s="67"/>
      <c r="AI19" s="67"/>
      <c r="AJ19" s="519" t="s">
        <v>162</v>
      </c>
      <c r="AK19" s="58">
        <f>582*2</f>
        <v>1164</v>
      </c>
      <c r="AL19" s="436" t="s">
        <v>255</v>
      </c>
      <c r="AM19" s="450">
        <v>-223</v>
      </c>
      <c r="AP19" s="520" t="s">
        <v>162</v>
      </c>
      <c r="AQ19" s="71">
        <f>626.5*4</f>
        <v>2506</v>
      </c>
      <c r="AR19" s="9" t="s">
        <v>250</v>
      </c>
      <c r="AS19" s="450">
        <v>-84.53</v>
      </c>
      <c r="AV19" s="520" t="s">
        <v>162</v>
      </c>
      <c r="AX19" t="s">
        <v>302</v>
      </c>
      <c r="AY19" s="371">
        <v>0</v>
      </c>
      <c r="BB19" t="s">
        <v>302</v>
      </c>
      <c r="BC19" s="371">
        <v>0</v>
      </c>
    </row>
    <row r="20" spans="4:55">
      <c r="D20" t="s">
        <v>303</v>
      </c>
      <c r="E20" s="30">
        <v>9648.6200000000008</v>
      </c>
      <c r="F20" s="508" t="s">
        <v>304</v>
      </c>
      <c r="G20">
        <v>300.00000999999997</v>
      </c>
      <c r="J20" s="365" t="s">
        <v>246</v>
      </c>
      <c r="N20" s="28"/>
      <c r="O20" s="28"/>
      <c r="P20" s="365" t="s">
        <v>305</v>
      </c>
      <c r="Q20" s="418">
        <f>63+98+141</f>
        <v>302</v>
      </c>
      <c r="R20" s="365" t="s">
        <v>306</v>
      </c>
      <c r="S20" s="407"/>
      <c r="U20" s="35"/>
      <c r="X20" s="521" t="s">
        <v>307</v>
      </c>
      <c r="Y20" s="433">
        <v>3900</v>
      </c>
      <c r="Z20" s="28" t="s">
        <v>189</v>
      </c>
      <c r="AA20" s="28"/>
      <c r="AB20" s="67" t="s">
        <v>308</v>
      </c>
      <c r="AC20" s="67">
        <v>2203.5</v>
      </c>
      <c r="AD20" s="522" t="s">
        <v>309</v>
      </c>
      <c r="AE20" s="430">
        <v>12745</v>
      </c>
      <c r="AH20" s="451"/>
      <c r="AI20" s="67"/>
      <c r="AL20" s="439" t="s">
        <v>267</v>
      </c>
      <c r="AM20" s="450">
        <v>-10.00001</v>
      </c>
      <c r="AN20" s="370" t="s">
        <v>310</v>
      </c>
      <c r="AP20" s="58"/>
      <c r="AQ20" s="58"/>
      <c r="AR20" s="322" t="s">
        <v>267</v>
      </c>
      <c r="AS20" s="450">
        <v>1E-3</v>
      </c>
      <c r="AV20" t="s">
        <v>311</v>
      </c>
      <c r="AW20">
        <v>900.00099999999998</v>
      </c>
      <c r="AX20" t="s">
        <v>312</v>
      </c>
      <c r="AY20" s="371">
        <v>10000</v>
      </c>
      <c r="BB20" t="s">
        <v>281</v>
      </c>
      <c r="BC20" s="371">
        <v>-40000</v>
      </c>
    </row>
    <row r="21" spans="4:55">
      <c r="D21" t="s">
        <v>313</v>
      </c>
      <c r="E21" s="30">
        <v>3330.04</v>
      </c>
      <c r="F21" s="508" t="s">
        <v>248</v>
      </c>
      <c r="G21">
        <v>1000.00001</v>
      </c>
      <c r="J21" s="365" t="s">
        <v>185</v>
      </c>
      <c r="K21" s="30">
        <v>12332</v>
      </c>
      <c r="L21" s="509" t="s">
        <v>314</v>
      </c>
      <c r="M21" s="30">
        <v>107</v>
      </c>
      <c r="P21" s="365" t="s">
        <v>315</v>
      </c>
      <c r="Q21" s="418">
        <f>10</f>
        <v>10</v>
      </c>
      <c r="R21" s="379" t="s">
        <v>316</v>
      </c>
      <c r="S21" s="420">
        <v>800</v>
      </c>
      <c r="U21" s="28"/>
      <c r="V21" s="523" t="s">
        <v>317</v>
      </c>
      <c r="W21" s="372"/>
      <c r="X21" s="524" t="s">
        <v>318</v>
      </c>
      <c r="Y21" s="367">
        <v>7500</v>
      </c>
      <c r="Z21" s="28" t="s">
        <v>198</v>
      </c>
      <c r="AA21" s="28"/>
      <c r="AB21" s="67" t="s">
        <v>319</v>
      </c>
      <c r="AC21" s="67">
        <v>300.00099999999998</v>
      </c>
      <c r="AD21" s="522" t="s">
        <v>320</v>
      </c>
      <c r="AE21" s="430">
        <f>568*7</f>
        <v>3976</v>
      </c>
      <c r="AH21" s="67"/>
      <c r="AI21" s="67"/>
      <c r="AL21" t="s">
        <v>277</v>
      </c>
      <c r="AM21" s="445"/>
      <c r="AN21" s="370" t="s">
        <v>321</v>
      </c>
      <c r="AP21" s="58" t="s">
        <v>322</v>
      </c>
      <c r="AQ21" s="58"/>
      <c r="AR21" s="322" t="s">
        <v>323</v>
      </c>
      <c r="AS21" s="450">
        <v>58</v>
      </c>
    </row>
    <row r="22" spans="4:55">
      <c r="D22" t="s">
        <v>324</v>
      </c>
      <c r="E22" s="30">
        <v>7115</v>
      </c>
      <c r="F22" s="508" t="s">
        <v>261</v>
      </c>
      <c r="G22">
        <v>500.00000999999997</v>
      </c>
      <c r="J22" s="365" t="s">
        <v>194</v>
      </c>
      <c r="K22" s="30">
        <v>12332</v>
      </c>
      <c r="P22" s="365" t="s">
        <v>325</v>
      </c>
      <c r="Q22" s="418">
        <f>48+28</f>
        <v>76</v>
      </c>
      <c r="R22" s="379" t="s">
        <v>326</v>
      </c>
      <c r="S22" s="420">
        <v>1500</v>
      </c>
      <c r="T22" s="28" t="s">
        <v>189</v>
      </c>
      <c r="U22" s="28"/>
      <c r="V22" s="379" t="s">
        <v>327</v>
      </c>
      <c r="W22" s="372">
        <f>1.37*500</f>
        <v>685</v>
      </c>
      <c r="X22" s="524" t="s">
        <v>328</v>
      </c>
      <c r="Y22" s="367">
        <f>220+250+80</f>
        <v>550</v>
      </c>
      <c r="Z22" s="28" t="s">
        <v>213</v>
      </c>
      <c r="AD22" s="525" t="s">
        <v>329</v>
      </c>
      <c r="AE22" s="368"/>
      <c r="AH22" s="67"/>
      <c r="AI22" s="67"/>
      <c r="AJ22" s="526" t="s">
        <v>329</v>
      </c>
      <c r="AK22" s="58"/>
      <c r="AL22" t="s">
        <v>291</v>
      </c>
      <c r="AM22" s="445"/>
      <c r="AN22" s="452">
        <v>42543</v>
      </c>
      <c r="AO22" s="370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8" t="s">
        <v>272</v>
      </c>
      <c r="G23">
        <v>600.00000999999997</v>
      </c>
      <c r="L23" s="365" t="s">
        <v>333</v>
      </c>
      <c r="M23" s="30">
        <v>235</v>
      </c>
      <c r="N23" s="383" t="s">
        <v>334</v>
      </c>
      <c r="O23" s="383"/>
      <c r="Q23" s="418"/>
      <c r="R23" s="379" t="s">
        <v>335</v>
      </c>
      <c r="S23" s="420">
        <v>2051</v>
      </c>
      <c r="T23" s="28" t="s">
        <v>198</v>
      </c>
      <c r="V23" s="651" t="s">
        <v>336</v>
      </c>
      <c r="W23" s="652"/>
      <c r="X23" s="524" t="s">
        <v>337</v>
      </c>
      <c r="Y23" s="367">
        <v>4000.0010000000002</v>
      </c>
      <c r="Z23" s="35" t="s">
        <v>338</v>
      </c>
      <c r="AD23" s="368" t="s">
        <v>339</v>
      </c>
      <c r="AE23" s="368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52">
        <v>42537</v>
      </c>
      <c r="AO23" s="370">
        <v>161</v>
      </c>
      <c r="AP23" s="58" t="s">
        <v>339</v>
      </c>
      <c r="AQ23" s="58">
        <v>0</v>
      </c>
      <c r="AR23" t="s">
        <v>331</v>
      </c>
      <c r="AS23" s="445"/>
      <c r="AX23" t="s">
        <v>301</v>
      </c>
      <c r="BB23" t="s">
        <v>331</v>
      </c>
    </row>
    <row r="24" spans="4:55">
      <c r="F24" s="508" t="s">
        <v>285</v>
      </c>
      <c r="G24">
        <v>2000.00001</v>
      </c>
      <c r="L24" s="509" t="s">
        <v>340</v>
      </c>
      <c r="M24" s="30">
        <v>98</v>
      </c>
      <c r="N24" s="383" t="s">
        <v>341</v>
      </c>
      <c r="O24" s="384">
        <v>20000.009999999998</v>
      </c>
      <c r="Q24" s="418"/>
      <c r="R24" s="379" t="s">
        <v>342</v>
      </c>
      <c r="S24" s="420">
        <v>1350</v>
      </c>
      <c r="T24" s="28" t="s">
        <v>213</v>
      </c>
      <c r="V24" s="653"/>
      <c r="W24" s="654"/>
      <c r="X24" s="524" t="s">
        <v>343</v>
      </c>
      <c r="Y24" s="367">
        <f>224*4</f>
        <v>896</v>
      </c>
      <c r="Z24" s="35" t="s">
        <v>344</v>
      </c>
      <c r="AD24" s="368" t="s">
        <v>345</v>
      </c>
      <c r="AE24" s="368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52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5"/>
      <c r="AX24" t="s">
        <v>348</v>
      </c>
      <c r="BB24" t="s">
        <v>301</v>
      </c>
    </row>
    <row r="25" spans="4:55">
      <c r="F25" s="508" t="s">
        <v>349</v>
      </c>
      <c r="G25">
        <v>500.00000999999997</v>
      </c>
      <c r="L25" s="365" t="s">
        <v>350</v>
      </c>
      <c r="M25" s="30">
        <v>90.000010000000003</v>
      </c>
      <c r="N25" s="383" t="s">
        <v>351</v>
      </c>
      <c r="O25" s="383">
        <v>2000.001</v>
      </c>
      <c r="R25" s="379" t="s">
        <v>352</v>
      </c>
      <c r="S25" s="420">
        <v>1736</v>
      </c>
      <c r="T25" s="382" t="s">
        <v>227</v>
      </c>
      <c r="V25" s="400" t="s">
        <v>353</v>
      </c>
      <c r="W25" s="408">
        <v>44820</v>
      </c>
      <c r="X25" s="524" t="s">
        <v>354</v>
      </c>
      <c r="Y25" s="367">
        <v>1476</v>
      </c>
      <c r="Z25" s="382" t="s">
        <v>227</v>
      </c>
      <c r="AB25" s="67" t="s">
        <v>355</v>
      </c>
      <c r="AC25" s="67">
        <f>700*6</f>
        <v>4200</v>
      </c>
      <c r="AD25" s="368" t="s">
        <v>356</v>
      </c>
      <c r="AE25" s="368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8" t="s">
        <v>359</v>
      </c>
      <c r="G26">
        <v>400</v>
      </c>
      <c r="N26" s="383" t="s">
        <v>360</v>
      </c>
      <c r="O26" s="383">
        <v>7000.0010000000002</v>
      </c>
      <c r="P26" s="523" t="s">
        <v>317</v>
      </c>
      <c r="Q26" s="416"/>
      <c r="R26" s="379" t="s">
        <v>361</v>
      </c>
      <c r="S26" s="420"/>
      <c r="T26" s="35" t="s">
        <v>297</v>
      </c>
      <c r="V26" s="321" t="s">
        <v>362</v>
      </c>
      <c r="W26">
        <v>3000</v>
      </c>
      <c r="X26" s="524" t="s">
        <v>363</v>
      </c>
      <c r="Y26" s="367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8" t="s">
        <v>365</v>
      </c>
      <c r="AE26" s="368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70" t="s">
        <v>366</v>
      </c>
      <c r="AO26" s="370">
        <v>200</v>
      </c>
      <c r="AP26" s="58" t="s">
        <v>365</v>
      </c>
      <c r="AQ26" s="58">
        <v>251</v>
      </c>
    </row>
    <row r="27" spans="4:55">
      <c r="F27" s="508" t="s">
        <v>367</v>
      </c>
      <c r="G27">
        <v>1000.00001</v>
      </c>
      <c r="N27" s="383" t="s">
        <v>368</v>
      </c>
      <c r="O27" s="383">
        <v>26000.01</v>
      </c>
      <c r="P27" s="379" t="s">
        <v>369</v>
      </c>
      <c r="Q27" s="416">
        <f>500*1.287</f>
        <v>643.5</v>
      </c>
      <c r="R27" s="7">
        <v>41971</v>
      </c>
      <c r="S27" s="420">
        <v>5000</v>
      </c>
      <c r="V27" s="523" t="s">
        <v>370</v>
      </c>
      <c r="W27" s="9">
        <v>37114.980000000003</v>
      </c>
      <c r="AB27" s="67">
        <v>5070</v>
      </c>
      <c r="AD27" s="368" t="s">
        <v>371</v>
      </c>
      <c r="AE27" s="368">
        <v>0</v>
      </c>
      <c r="AF27" s="382" t="s">
        <v>227</v>
      </c>
      <c r="AJ27" s="58" t="s">
        <v>371</v>
      </c>
      <c r="AK27" s="58">
        <v>0</v>
      </c>
      <c r="AL27" s="28" t="s">
        <v>189</v>
      </c>
      <c r="AN27" s="370" t="s">
        <v>372</v>
      </c>
      <c r="AO27" s="370">
        <v>800</v>
      </c>
      <c r="AP27" s="58" t="s">
        <v>371</v>
      </c>
      <c r="AQ27" s="58">
        <v>300.00099999999998</v>
      </c>
      <c r="AX27" s="508" t="s">
        <v>373</v>
      </c>
      <c r="BB27" s="527" t="s">
        <v>373</v>
      </c>
    </row>
    <row r="28" spans="4:55" ht="12.75" customHeight="1">
      <c r="F28" s="508" t="s">
        <v>374</v>
      </c>
      <c r="G28">
        <v>470</v>
      </c>
      <c r="N28" s="383" t="s">
        <v>375</v>
      </c>
      <c r="O28" s="383">
        <v>9000.01</v>
      </c>
      <c r="P28" s="379" t="s">
        <v>376</v>
      </c>
      <c r="Q28" s="416">
        <f>500*1.293</f>
        <v>646.5</v>
      </c>
      <c r="R28" s="7">
        <v>41975</v>
      </c>
      <c r="S28" s="420">
        <v>4000</v>
      </c>
      <c r="V28" s="379" t="s">
        <v>377</v>
      </c>
      <c r="W28" s="9"/>
      <c r="X28" s="524" t="s">
        <v>378</v>
      </c>
      <c r="Y28" s="367">
        <v>220.001</v>
      </c>
      <c r="AB28" s="67">
        <v>10150</v>
      </c>
      <c r="AD28" s="368"/>
      <c r="AE28" s="368"/>
      <c r="AF28" s="35" t="s">
        <v>364</v>
      </c>
      <c r="AJ28" s="58"/>
      <c r="AK28" s="58"/>
      <c r="AL28" s="28" t="s">
        <v>198</v>
      </c>
      <c r="AN28" s="453" t="s">
        <v>379</v>
      </c>
      <c r="AO28" s="370">
        <v>600</v>
      </c>
      <c r="AP28" s="58"/>
      <c r="AQ28" s="58"/>
      <c r="AX28" t="s">
        <v>380</v>
      </c>
      <c r="BB28" s="456" t="s">
        <v>381</v>
      </c>
    </row>
    <row r="29" spans="4:55">
      <c r="F29" s="508" t="s">
        <v>382</v>
      </c>
      <c r="G29">
        <v>355</v>
      </c>
      <c r="L29" s="509" t="s">
        <v>383</v>
      </c>
      <c r="M29" s="30">
        <v>210</v>
      </c>
      <c r="N29" s="383" t="s">
        <v>384</v>
      </c>
      <c r="O29" s="383">
        <v>5000.0010000000002</v>
      </c>
      <c r="P29" s="379" t="s">
        <v>385</v>
      </c>
      <c r="Q29" s="416">
        <f>500*1.299</f>
        <v>649.5</v>
      </c>
      <c r="R29" s="7">
        <v>42002</v>
      </c>
      <c r="S29" s="420">
        <v>1000</v>
      </c>
      <c r="V29" s="341">
        <v>17483.650000000001</v>
      </c>
      <c r="W29" s="9"/>
      <c r="X29" s="524" t="s">
        <v>386</v>
      </c>
      <c r="Y29" s="367">
        <v>200</v>
      </c>
      <c r="AB29" s="67">
        <v>1015</v>
      </c>
      <c r="AD29" s="525" t="s">
        <v>387</v>
      </c>
      <c r="AE29" s="368">
        <f>SUM(AD30:AD32)</f>
        <v>3421</v>
      </c>
      <c r="AF29" s="35" t="s">
        <v>388</v>
      </c>
      <c r="AJ29" s="526" t="s">
        <v>387</v>
      </c>
      <c r="AK29" s="58">
        <f>AJ30+AJ31</f>
        <v>1599</v>
      </c>
      <c r="AL29" s="35" t="s">
        <v>338</v>
      </c>
      <c r="AP29" s="528" t="s">
        <v>389</v>
      </c>
      <c r="AQ29" s="58">
        <v>200.001</v>
      </c>
      <c r="AR29" s="508" t="s">
        <v>373</v>
      </c>
      <c r="AX29" t="s">
        <v>390</v>
      </c>
      <c r="BB29" s="456" t="s">
        <v>391</v>
      </c>
    </row>
    <row r="30" spans="4:55">
      <c r="F30" s="508" t="s">
        <v>392</v>
      </c>
      <c r="G30">
        <v>0</v>
      </c>
      <c r="L30" s="509" t="s">
        <v>393</v>
      </c>
      <c r="M30" s="30">
        <v>200</v>
      </c>
      <c r="N30" s="383"/>
      <c r="O30" s="383"/>
      <c r="P30" s="379" t="s">
        <v>394</v>
      </c>
      <c r="Q30" s="416">
        <f>500*1.304</f>
        <v>652</v>
      </c>
      <c r="R30" s="7">
        <v>42037</v>
      </c>
      <c r="S30" s="420">
        <v>1000.01</v>
      </c>
      <c r="V30" s="341">
        <v>12627.53</v>
      </c>
      <c r="W30" s="9"/>
      <c r="X30" s="524" t="s">
        <v>395</v>
      </c>
      <c r="Y30" s="367">
        <v>300.00099999999998</v>
      </c>
      <c r="AB30" s="67">
        <v>1013</v>
      </c>
      <c r="AD30" s="368">
        <v>779</v>
      </c>
      <c r="AE30" s="368"/>
      <c r="AJ30" s="58">
        <v>779</v>
      </c>
      <c r="AL30" s="35" t="s">
        <v>344</v>
      </c>
      <c r="AP30" s="526" t="s">
        <v>396</v>
      </c>
      <c r="AQ30" s="58">
        <f>250+300+100</f>
        <v>650</v>
      </c>
      <c r="AR30" s="28" t="s">
        <v>198</v>
      </c>
      <c r="AX30" t="s">
        <v>397</v>
      </c>
      <c r="BB30" s="456" t="s">
        <v>398</v>
      </c>
    </row>
    <row r="31" spans="4:55">
      <c r="F31" s="508" t="s">
        <v>399</v>
      </c>
      <c r="G31">
        <v>1824</v>
      </c>
      <c r="L31" s="365" t="s">
        <v>400</v>
      </c>
      <c r="M31" s="30">
        <v>190.0001</v>
      </c>
      <c r="N31" s="383"/>
      <c r="O31" s="383"/>
      <c r="P31" s="379" t="s">
        <v>401</v>
      </c>
      <c r="Q31" s="416">
        <f>500*1.323</f>
        <v>661.5</v>
      </c>
      <c r="R31" s="7">
        <v>42041</v>
      </c>
      <c r="S31" s="420">
        <v>100.03</v>
      </c>
      <c r="V31" s="341">
        <v>3013.39</v>
      </c>
      <c r="W31" s="9"/>
      <c r="X31" s="524" t="s">
        <v>402</v>
      </c>
      <c r="Y31" s="367">
        <v>216</v>
      </c>
      <c r="AB31" s="67">
        <v>13000</v>
      </c>
      <c r="AD31" s="368">
        <v>779</v>
      </c>
      <c r="AE31" s="368"/>
      <c r="AJ31" s="58">
        <v>820</v>
      </c>
      <c r="AL31" s="382" t="s">
        <v>227</v>
      </c>
      <c r="AP31" s="528" t="s">
        <v>403</v>
      </c>
      <c r="AQ31" s="58">
        <v>200.001</v>
      </c>
      <c r="AR31" s="35" t="s">
        <v>338</v>
      </c>
      <c r="AV31" s="528" t="s">
        <v>404</v>
      </c>
      <c r="AW31">
        <f>65+456</f>
        <v>521</v>
      </c>
      <c r="AX31" t="s">
        <v>405</v>
      </c>
      <c r="BB31" s="457" t="s">
        <v>380</v>
      </c>
    </row>
    <row r="32" spans="4:55">
      <c r="L32" s="365" t="s">
        <v>406</v>
      </c>
      <c r="M32" s="30">
        <v>150.0001</v>
      </c>
      <c r="N32" s="383"/>
      <c r="O32" s="383"/>
      <c r="P32" s="379" t="s">
        <v>407</v>
      </c>
      <c r="Q32" s="372">
        <v>670.00009999999997</v>
      </c>
      <c r="R32" s="7">
        <v>42044</v>
      </c>
      <c r="S32" s="420">
        <v>1000.01</v>
      </c>
      <c r="V32" s="9" t="s">
        <v>408</v>
      </c>
      <c r="W32" s="9"/>
      <c r="X32" s="399" t="s">
        <v>409</v>
      </c>
      <c r="Y32" s="367">
        <v>187</v>
      </c>
      <c r="AD32" s="368">
        <v>1863</v>
      </c>
      <c r="AE32" s="368"/>
      <c r="AL32" s="35" t="s">
        <v>364</v>
      </c>
      <c r="AP32" s="528" t="s">
        <v>272</v>
      </c>
      <c r="AQ32" s="58">
        <v>700.00099999999998</v>
      </c>
      <c r="AR32" s="35" t="s">
        <v>344</v>
      </c>
      <c r="BB32" s="457" t="s">
        <v>410</v>
      </c>
    </row>
    <row r="33" spans="11:56">
      <c r="L33" s="365" t="s">
        <v>411</v>
      </c>
      <c r="M33" s="30">
        <v>100.00001</v>
      </c>
      <c r="N33" s="383"/>
      <c r="O33" s="383"/>
      <c r="P33" s="379" t="s">
        <v>412</v>
      </c>
      <c r="Q33" s="372">
        <v>671.5</v>
      </c>
      <c r="R33" s="7">
        <v>42044</v>
      </c>
      <c r="S33" s="420">
        <v>100.02</v>
      </c>
      <c r="V33" s="9"/>
      <c r="W33" s="9"/>
      <c r="X33" s="524" t="s">
        <v>413</v>
      </c>
      <c r="Y33" s="367">
        <v>1410</v>
      </c>
      <c r="AD33" s="525" t="s">
        <v>343</v>
      </c>
      <c r="AE33" s="368">
        <v>1550</v>
      </c>
      <c r="AJ33" s="528" t="s">
        <v>414</v>
      </c>
      <c r="AK33" s="58">
        <f>310*2</f>
        <v>620</v>
      </c>
      <c r="AL33" s="35" t="s">
        <v>388</v>
      </c>
      <c r="AP33" s="526" t="s">
        <v>415</v>
      </c>
      <c r="AQ33" s="58">
        <v>1300.001</v>
      </c>
      <c r="AR33" s="382" t="s">
        <v>227</v>
      </c>
      <c r="AX33" s="9" t="s">
        <v>416</v>
      </c>
      <c r="AY33" s="458"/>
      <c r="AZ33" s="459"/>
      <c r="BA33" s="460"/>
      <c r="BB33" s="324" t="s">
        <v>417</v>
      </c>
      <c r="BD33" s="9"/>
    </row>
    <row r="34" spans="11:56">
      <c r="N34" s="383"/>
      <c r="O34" s="383"/>
      <c r="P34" s="379" t="s">
        <v>418</v>
      </c>
      <c r="Q34" s="372">
        <v>2000.02</v>
      </c>
      <c r="R34" s="7">
        <v>42044</v>
      </c>
      <c r="S34" s="420">
        <v>200.02</v>
      </c>
      <c r="AD34" s="525" t="s">
        <v>419</v>
      </c>
      <c r="AE34" s="368">
        <v>800.00099999999998</v>
      </c>
      <c r="AJ34" s="528" t="s">
        <v>389</v>
      </c>
      <c r="AK34" s="58">
        <v>100.001</v>
      </c>
      <c r="AP34" s="528" t="s">
        <v>414</v>
      </c>
      <c r="AQ34" s="58">
        <v>1500.001</v>
      </c>
      <c r="AR34" s="35" t="s">
        <v>364</v>
      </c>
      <c r="AV34" s="528" t="s">
        <v>420</v>
      </c>
      <c r="AW34">
        <v>40</v>
      </c>
      <c r="AX34" s="9" t="s">
        <v>421</v>
      </c>
      <c r="AY34" s="458">
        <f>12000+14000</f>
        <v>26000</v>
      </c>
      <c r="AZ34" s="459"/>
      <c r="BA34" s="460"/>
      <c r="BD34" s="9"/>
    </row>
    <row r="35" spans="11:56">
      <c r="L35" s="365" t="s">
        <v>422</v>
      </c>
      <c r="M35" s="30">
        <v>2000</v>
      </c>
      <c r="N35" s="383"/>
      <c r="O35" s="384"/>
      <c r="R35" s="7">
        <v>42047</v>
      </c>
      <c r="S35" s="420">
        <v>460</v>
      </c>
      <c r="V35" s="365" t="s">
        <v>423</v>
      </c>
      <c r="W35">
        <f>SUM(V37:V42)</f>
        <v>144</v>
      </c>
      <c r="X35" s="529" t="s">
        <v>424</v>
      </c>
      <c r="Y35" s="442"/>
      <c r="AD35" s="525" t="s">
        <v>406</v>
      </c>
      <c r="AE35" s="368">
        <v>600.00099999999998</v>
      </c>
      <c r="AJ35" s="528" t="s">
        <v>403</v>
      </c>
      <c r="AK35" s="58">
        <v>150.001</v>
      </c>
      <c r="AP35" s="526" t="s">
        <v>425</v>
      </c>
      <c r="AQ35" s="58">
        <v>300.00099999999998</v>
      </c>
      <c r="AR35" s="35" t="s">
        <v>388</v>
      </c>
      <c r="AX35" s="9" t="s">
        <v>426</v>
      </c>
      <c r="AY35" s="458">
        <v>0</v>
      </c>
      <c r="AZ35" s="459"/>
      <c r="BA35" s="460"/>
      <c r="BB35" s="436" t="s">
        <v>416</v>
      </c>
      <c r="BC35" s="458"/>
      <c r="BD35" s="9"/>
    </row>
    <row r="36" spans="11:56">
      <c r="N36" s="385"/>
      <c r="O36" s="385"/>
      <c r="R36" s="379" t="s">
        <v>427</v>
      </c>
      <c r="S36" s="420"/>
      <c r="V36" s="365"/>
      <c r="X36" s="421"/>
      <c r="Y36" s="442"/>
      <c r="AD36" s="525" t="s">
        <v>428</v>
      </c>
      <c r="AE36" s="368">
        <v>550.00099999999998</v>
      </c>
      <c r="AJ36" s="528" t="s">
        <v>272</v>
      </c>
      <c r="AK36" s="58">
        <f>642+145</f>
        <v>787</v>
      </c>
      <c r="AX36" s="9" t="s">
        <v>429</v>
      </c>
      <c r="AZ36" s="459">
        <v>-2800000</v>
      </c>
      <c r="BA36" s="460"/>
      <c r="BB36" s="436" t="s">
        <v>421</v>
      </c>
      <c r="BC36" s="458">
        <f>12000+14000+16600</f>
        <v>42600</v>
      </c>
      <c r="BD36" s="9">
        <v>-2800000</v>
      </c>
    </row>
    <row r="37" spans="11:56" ht="14.25">
      <c r="P37" s="365" t="s">
        <v>430</v>
      </c>
      <c r="R37" s="379"/>
      <c r="S37" s="420"/>
      <c r="V37" s="326">
        <v>0</v>
      </c>
      <c r="W37" s="422">
        <v>42248</v>
      </c>
      <c r="X37" s="421" t="s">
        <v>431</v>
      </c>
      <c r="Y37" s="443">
        <v>400</v>
      </c>
      <c r="AD37" s="525" t="s">
        <v>432</v>
      </c>
      <c r="AE37" s="368">
        <f>300.001</f>
        <v>300.00099999999998</v>
      </c>
      <c r="AJ37" s="528" t="s">
        <v>433</v>
      </c>
      <c r="AK37" s="58">
        <v>0</v>
      </c>
      <c r="AP37" s="530" t="s">
        <v>419</v>
      </c>
      <c r="AQ37" s="62">
        <v>800.00099999999998</v>
      </c>
      <c r="AX37" s="9" t="s">
        <v>434</v>
      </c>
      <c r="AY37" s="458"/>
      <c r="AZ37" s="459">
        <v>352000</v>
      </c>
      <c r="BA37" s="460"/>
      <c r="BB37" s="436" t="s">
        <v>426</v>
      </c>
      <c r="BC37" s="458">
        <v>0</v>
      </c>
      <c r="BD37" s="9">
        <v>705000</v>
      </c>
    </row>
    <row r="38" spans="11:56">
      <c r="P38" s="386">
        <v>42023</v>
      </c>
      <c r="Q38" s="324">
        <v>1002.34</v>
      </c>
      <c r="R38" s="7">
        <v>42003</v>
      </c>
      <c r="S38" s="420">
        <v>500</v>
      </c>
      <c r="V38">
        <v>30</v>
      </c>
      <c r="W38" s="422">
        <v>42217</v>
      </c>
      <c r="X38" s="421" t="s">
        <v>435</v>
      </c>
      <c r="Y38" s="443">
        <v>150</v>
      </c>
      <c r="AD38" s="531" t="s">
        <v>389</v>
      </c>
      <c r="AE38" s="368">
        <v>400.00099999999998</v>
      </c>
      <c r="AJ38" s="525" t="s">
        <v>343</v>
      </c>
      <c r="AK38" s="368">
        <f>225+10+270+10</f>
        <v>515</v>
      </c>
      <c r="AP38" s="530" t="s">
        <v>428</v>
      </c>
      <c r="AQ38" s="62">
        <v>500.00099999999998</v>
      </c>
      <c r="AX38" s="9" t="s">
        <v>436</v>
      </c>
      <c r="AY38" s="458">
        <f>(AZ36+AZ37)/36</f>
        <v>-68000</v>
      </c>
      <c r="AZ38" s="459"/>
      <c r="BA38" s="460"/>
      <c r="BB38" s="436" t="s">
        <v>437</v>
      </c>
      <c r="BD38" s="9"/>
    </row>
    <row r="39" spans="11:56">
      <c r="K39" s="387" t="s">
        <v>438</v>
      </c>
      <c r="L39" s="388"/>
      <c r="M39" s="389"/>
      <c r="N39" s="390"/>
      <c r="P39" s="386">
        <v>42020</v>
      </c>
      <c r="Q39" s="324">
        <v>300.24</v>
      </c>
      <c r="R39" s="509" t="s">
        <v>153</v>
      </c>
      <c r="S39" s="30">
        <v>11692.43</v>
      </c>
      <c r="V39">
        <v>11</v>
      </c>
      <c r="W39" s="422">
        <v>42186</v>
      </c>
      <c r="X39" s="421" t="s">
        <v>439</v>
      </c>
      <c r="Y39" s="443">
        <v>94</v>
      </c>
      <c r="AD39" s="531" t="s">
        <v>403</v>
      </c>
      <c r="AE39" s="368">
        <v>700.00099999999998</v>
      </c>
      <c r="AJ39" s="525" t="s">
        <v>419</v>
      </c>
      <c r="AK39" s="368">
        <f>140+160</f>
        <v>300</v>
      </c>
      <c r="AP39" s="530" t="s">
        <v>432</v>
      </c>
      <c r="AQ39" s="62">
        <v>200.001</v>
      </c>
      <c r="AX39" s="9"/>
      <c r="AY39" s="458"/>
      <c r="AZ39" s="459"/>
      <c r="BA39" s="460"/>
      <c r="BB39" s="436" t="s">
        <v>440</v>
      </c>
      <c r="BC39" s="458"/>
      <c r="BD39" s="9"/>
    </row>
    <row r="40" spans="11:56">
      <c r="K40" s="391" t="s">
        <v>441</v>
      </c>
      <c r="L40" s="392"/>
      <c r="M40" s="393"/>
      <c r="N40" s="394"/>
      <c r="P40" s="386">
        <v>42018</v>
      </c>
      <c r="Q40" s="324">
        <v>399.23</v>
      </c>
      <c r="R40" s="509" t="s">
        <v>300</v>
      </c>
      <c r="S40" s="30">
        <f>2733*4</f>
        <v>10932</v>
      </c>
      <c r="V40">
        <v>25</v>
      </c>
      <c r="W40" s="422">
        <v>42156</v>
      </c>
      <c r="X40" s="421" t="s">
        <v>442</v>
      </c>
      <c r="Y40" s="443">
        <v>139.99</v>
      </c>
      <c r="AD40" s="531" t="s">
        <v>272</v>
      </c>
      <c r="AE40" s="368">
        <v>600.00099999999998</v>
      </c>
      <c r="AJ40" s="525" t="s">
        <v>406</v>
      </c>
      <c r="AK40" s="368">
        <v>150</v>
      </c>
      <c r="AP40" s="530" t="s">
        <v>443</v>
      </c>
      <c r="AQ40" s="62">
        <v>400.00099999999998</v>
      </c>
      <c r="AX40" s="9"/>
      <c r="AY40" s="458"/>
      <c r="AZ40" s="459"/>
      <c r="BA40" s="460"/>
      <c r="BB40" s="436" t="s">
        <v>436</v>
      </c>
      <c r="BC40" s="458">
        <f>(BD36+BD37)/37</f>
        <v>-56621.62162162162</v>
      </c>
      <c r="BD40" s="9"/>
    </row>
    <row r="41" spans="11:56">
      <c r="K41" s="391" t="s">
        <v>444</v>
      </c>
      <c r="L41" s="392"/>
      <c r="M41" s="393"/>
      <c r="N41" s="394"/>
      <c r="P41" s="386">
        <v>42033</v>
      </c>
      <c r="Q41" s="324">
        <v>1000</v>
      </c>
      <c r="V41">
        <v>30</v>
      </c>
      <c r="W41" s="422">
        <v>42125</v>
      </c>
      <c r="X41" s="532" t="s">
        <v>445</v>
      </c>
      <c r="Y41" s="444"/>
      <c r="AD41" s="531" t="s">
        <v>414</v>
      </c>
      <c r="AE41" s="368">
        <v>1000.001</v>
      </c>
      <c r="AJ41" s="525" t="s">
        <v>428</v>
      </c>
      <c r="AK41" s="368">
        <f>200.001</f>
        <v>200.001</v>
      </c>
      <c r="BB41" s="436"/>
      <c r="BC41" s="458"/>
    </row>
    <row r="42" spans="11:56">
      <c r="K42" s="391"/>
      <c r="L42" s="392"/>
      <c r="M42" s="393"/>
      <c r="N42" s="394"/>
      <c r="P42" s="386">
        <v>42040</v>
      </c>
      <c r="Q42" s="324">
        <v>303.14999999999998</v>
      </c>
      <c r="R42" s="509" t="s">
        <v>389</v>
      </c>
      <c r="S42" s="30">
        <f>50*4*4</f>
        <v>800</v>
      </c>
      <c r="V42">
        <v>48</v>
      </c>
      <c r="W42" s="422">
        <v>42095</v>
      </c>
      <c r="X42" s="423" t="s">
        <v>253</v>
      </c>
      <c r="Y42" s="444">
        <v>50</v>
      </c>
      <c r="AD42" s="531" t="s">
        <v>446</v>
      </c>
      <c r="AE42" s="368">
        <v>406</v>
      </c>
      <c r="AJ42" s="525" t="s">
        <v>432</v>
      </c>
      <c r="AK42" s="368">
        <v>100.001</v>
      </c>
      <c r="AP42" s="533" t="s">
        <v>447</v>
      </c>
      <c r="AQ42" s="53">
        <v>2531</v>
      </c>
      <c r="BB42" s="436"/>
      <c r="BC42" s="458"/>
    </row>
    <row r="43" spans="11:56">
      <c r="K43" s="391" t="s">
        <v>448</v>
      </c>
      <c r="L43" s="392"/>
      <c r="M43" s="393"/>
      <c r="N43" s="394"/>
      <c r="P43" s="386">
        <v>42065</v>
      </c>
      <c r="Q43" s="324">
        <v>3000</v>
      </c>
      <c r="R43" s="509" t="s">
        <v>403</v>
      </c>
      <c r="S43" s="30">
        <f>35*16</f>
        <v>560</v>
      </c>
      <c r="X43" s="423" t="s">
        <v>186</v>
      </c>
      <c r="Y43" s="444">
        <v>50</v>
      </c>
      <c r="AD43" s="525" t="s">
        <v>449</v>
      </c>
      <c r="AE43" s="368">
        <v>100.001</v>
      </c>
      <c r="AJ43" s="525" t="s">
        <v>449</v>
      </c>
      <c r="AK43" s="368">
        <v>200.001</v>
      </c>
      <c r="AP43" s="53" t="s">
        <v>450</v>
      </c>
      <c r="AQ43" s="53">
        <v>0</v>
      </c>
    </row>
    <row r="44" spans="11:56" ht="25.5">
      <c r="K44" s="391"/>
      <c r="L44" s="392"/>
      <c r="M44" s="393"/>
      <c r="N44" s="394"/>
      <c r="P44" s="386">
        <v>42062</v>
      </c>
      <c r="Q44" s="324">
        <v>600</v>
      </c>
      <c r="R44" s="509" t="s">
        <v>451</v>
      </c>
      <c r="S44" s="30">
        <f>500.00001</f>
        <v>500.00000999999997</v>
      </c>
      <c r="X44" s="424" t="s">
        <v>196</v>
      </c>
      <c r="Y44" s="444">
        <v>140</v>
      </c>
      <c r="AD44" s="534" t="s">
        <v>452</v>
      </c>
      <c r="AE44" s="368">
        <v>1400.001</v>
      </c>
      <c r="AJ44" s="535" t="s">
        <v>453</v>
      </c>
      <c r="AK44" s="368">
        <v>200.001</v>
      </c>
      <c r="AP44" s="533" t="s">
        <v>454</v>
      </c>
      <c r="AQ44" s="53">
        <v>1233</v>
      </c>
    </row>
    <row r="45" spans="11:56">
      <c r="K45" s="391"/>
      <c r="L45" s="392"/>
      <c r="M45" s="393"/>
      <c r="N45" s="394"/>
      <c r="R45" s="509" t="s">
        <v>455</v>
      </c>
      <c r="S45" s="30">
        <v>600.00099999999998</v>
      </c>
      <c r="X45" s="424" t="s">
        <v>182</v>
      </c>
      <c r="Y45" s="444">
        <v>100</v>
      </c>
      <c r="AD45" s="531" t="s">
        <v>456</v>
      </c>
      <c r="AE45" s="368">
        <v>3200.0010000000002</v>
      </c>
      <c r="AJ45" s="531" t="s">
        <v>456</v>
      </c>
      <c r="AK45" s="368">
        <v>1000.001</v>
      </c>
      <c r="AP45" s="53" t="s">
        <v>457</v>
      </c>
      <c r="AQ45" s="53">
        <v>230</v>
      </c>
    </row>
    <row r="46" spans="11:56">
      <c r="K46" s="391"/>
      <c r="L46" s="392"/>
      <c r="M46" s="393"/>
      <c r="N46" s="394"/>
      <c r="R46" s="365" t="s">
        <v>400</v>
      </c>
      <c r="S46" s="30">
        <v>500</v>
      </c>
      <c r="X46" s="424" t="s">
        <v>165</v>
      </c>
      <c r="Y46" s="444">
        <v>100</v>
      </c>
      <c r="AD46" s="525" t="s">
        <v>458</v>
      </c>
      <c r="AE46" s="368">
        <v>400.00099999999998</v>
      </c>
      <c r="AJ46" s="525" t="s">
        <v>458</v>
      </c>
      <c r="AK46" s="368">
        <v>300.00099999999998</v>
      </c>
      <c r="AP46" s="53" t="s">
        <v>459</v>
      </c>
      <c r="AQ46" s="53">
        <v>200.001</v>
      </c>
    </row>
    <row r="47" spans="11:56" ht="25.5">
      <c r="K47" s="395"/>
      <c r="L47" s="396"/>
      <c r="M47" s="397"/>
      <c r="N47" s="398"/>
      <c r="P47" s="365" t="s">
        <v>460</v>
      </c>
      <c r="R47" s="365" t="s">
        <v>406</v>
      </c>
      <c r="S47" s="30">
        <v>300.00000999999997</v>
      </c>
      <c r="X47" s="424" t="s">
        <v>157</v>
      </c>
      <c r="Y47" s="444">
        <v>140</v>
      </c>
      <c r="AD47" s="525" t="s">
        <v>461</v>
      </c>
      <c r="AE47" s="368">
        <v>0</v>
      </c>
      <c r="AJ47" s="525" t="s">
        <v>462</v>
      </c>
      <c r="AK47" s="368">
        <f>57+103+181</f>
        <v>341</v>
      </c>
      <c r="AP47" s="536" t="s">
        <v>463</v>
      </c>
      <c r="AQ47" s="53">
        <v>200.001</v>
      </c>
      <c r="AV47" s="533" t="s">
        <v>464</v>
      </c>
      <c r="AW47">
        <f>(250+180)+193</f>
        <v>623</v>
      </c>
    </row>
    <row r="48" spans="11:56">
      <c r="P48" s="386">
        <v>41981</v>
      </c>
      <c r="Q48" s="30">
        <v>5005.76</v>
      </c>
      <c r="R48" s="365" t="s">
        <v>411</v>
      </c>
      <c r="S48" s="30">
        <v>200.0001</v>
      </c>
      <c r="X48" s="532" t="s">
        <v>428</v>
      </c>
      <c r="Y48" s="442">
        <f>92*4+50.001</f>
        <v>418.00099999999998</v>
      </c>
      <c r="AD48" s="531" t="s">
        <v>465</v>
      </c>
      <c r="AE48" s="368">
        <v>88</v>
      </c>
      <c r="AJ48" s="525" t="s">
        <v>466</v>
      </c>
      <c r="AK48" s="368">
        <v>159</v>
      </c>
      <c r="AP48" s="533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5" t="s">
        <v>469</v>
      </c>
      <c r="R49" s="365" t="s">
        <v>470</v>
      </c>
      <c r="S49" s="30">
        <v>1030</v>
      </c>
      <c r="AD49" s="531" t="s">
        <v>471</v>
      </c>
      <c r="AE49" s="368">
        <v>120</v>
      </c>
      <c r="AJ49" s="525" t="s">
        <v>472</v>
      </c>
      <c r="AK49" s="368">
        <v>100.001</v>
      </c>
      <c r="AV49" s="508" t="s">
        <v>473</v>
      </c>
      <c r="AW49">
        <v>1480</v>
      </c>
    </row>
    <row r="50" spans="16:49">
      <c r="P50" s="386">
        <v>42024</v>
      </c>
      <c r="Q50" s="30">
        <v>2000</v>
      </c>
      <c r="R50" s="365" t="s">
        <v>474</v>
      </c>
      <c r="S50" s="30">
        <v>1877</v>
      </c>
      <c r="X50" s="531" t="s">
        <v>389</v>
      </c>
      <c r="Y50" s="444">
        <v>600.00099999999998</v>
      </c>
      <c r="AD50" s="525" t="s">
        <v>475</v>
      </c>
      <c r="AE50" s="368">
        <v>1170</v>
      </c>
      <c r="AJ50" s="525" t="s">
        <v>476</v>
      </c>
      <c r="AK50" s="368">
        <v>252</v>
      </c>
      <c r="AP50" s="537" t="s">
        <v>420</v>
      </c>
      <c r="AQ50" s="14">
        <v>60</v>
      </c>
      <c r="AV50" s="508" t="s">
        <v>477</v>
      </c>
      <c r="AW50">
        <v>254</v>
      </c>
    </row>
    <row r="51" spans="16:49">
      <c r="R51" s="365" t="s">
        <v>478</v>
      </c>
      <c r="S51" s="30">
        <v>500</v>
      </c>
      <c r="X51" s="531" t="s">
        <v>403</v>
      </c>
      <c r="Y51" s="367">
        <v>800.00099999999998</v>
      </c>
      <c r="AD51" s="525" t="s">
        <v>479</v>
      </c>
      <c r="AE51" s="368">
        <v>3000.0010000000002</v>
      </c>
      <c r="AJ51" s="525" t="s">
        <v>480</v>
      </c>
      <c r="AK51" s="368">
        <v>120.001</v>
      </c>
      <c r="AP51" s="537" t="s">
        <v>481</v>
      </c>
      <c r="AQ51" s="14">
        <v>600.00099999999998</v>
      </c>
      <c r="AV51" s="508" t="s">
        <v>482</v>
      </c>
      <c r="AW51">
        <v>90.000100000000003</v>
      </c>
    </row>
    <row r="52" spans="16:49">
      <c r="R52" s="365" t="s">
        <v>409</v>
      </c>
      <c r="S52" s="30">
        <v>662</v>
      </c>
      <c r="X52" s="531" t="s">
        <v>483</v>
      </c>
      <c r="Y52" s="444">
        <v>400.00099999999998</v>
      </c>
      <c r="AD52" s="368"/>
      <c r="AE52" s="368"/>
      <c r="AJ52" s="525" t="s">
        <v>484</v>
      </c>
      <c r="AK52" s="368">
        <v>406</v>
      </c>
      <c r="AP52" s="527" t="s">
        <v>485</v>
      </c>
      <c r="AQ52" s="14">
        <v>3893</v>
      </c>
      <c r="AV52" s="508" t="s">
        <v>486</v>
      </c>
      <c r="AW52">
        <v>334.37</v>
      </c>
    </row>
    <row r="53" spans="16:49">
      <c r="R53" s="365" t="s">
        <v>487</v>
      </c>
      <c r="S53" s="30">
        <v>1000.0001</v>
      </c>
      <c r="AD53" s="525" t="s">
        <v>488</v>
      </c>
      <c r="AE53" s="368">
        <v>8000</v>
      </c>
      <c r="AJ53" s="525" t="s">
        <v>489</v>
      </c>
      <c r="AK53" s="368">
        <v>90.001000000000005</v>
      </c>
      <c r="AP53" s="527" t="s">
        <v>343</v>
      </c>
      <c r="AQ53" s="14">
        <f>682*3+225*2</f>
        <v>2496</v>
      </c>
      <c r="AV53" s="508" t="s">
        <v>490</v>
      </c>
      <c r="AW53">
        <v>1000</v>
      </c>
    </row>
    <row r="54" spans="16:49">
      <c r="R54" s="365" t="s">
        <v>491</v>
      </c>
      <c r="S54" s="30">
        <v>2000.001</v>
      </c>
      <c r="X54" s="366" t="s">
        <v>492</v>
      </c>
      <c r="Y54" s="367">
        <v>500.00099999999998</v>
      </c>
      <c r="AD54" s="368"/>
      <c r="AE54" s="368"/>
    </row>
    <row r="55" spans="16:49">
      <c r="R55" s="365" t="s">
        <v>488</v>
      </c>
      <c r="S55" s="30">
        <v>3500.0000100000002</v>
      </c>
      <c r="X55" s="524" t="s">
        <v>493</v>
      </c>
      <c r="Y55" s="367">
        <v>165</v>
      </c>
      <c r="AJ55" s="525" t="s">
        <v>494</v>
      </c>
      <c r="AK55" s="368">
        <v>1700</v>
      </c>
      <c r="AP55" s="533" t="s">
        <v>449</v>
      </c>
      <c r="AQ55" s="53">
        <v>300.00099999999998</v>
      </c>
    </row>
    <row r="56" spans="16:49">
      <c r="X56" s="524" t="s">
        <v>495</v>
      </c>
      <c r="Y56" s="367">
        <v>620.00099999999998</v>
      </c>
      <c r="AJ56" s="368" t="s">
        <v>496</v>
      </c>
      <c r="AP56" s="533" t="s">
        <v>497</v>
      </c>
      <c r="AQ56" s="53">
        <v>250</v>
      </c>
    </row>
    <row r="57" spans="16:49">
      <c r="X57" s="524" t="s">
        <v>498</v>
      </c>
      <c r="Y57" s="367">
        <f>W35/5%+320.001</f>
        <v>3200.0010000000002</v>
      </c>
      <c r="AP57" s="533" t="s">
        <v>499</v>
      </c>
      <c r="AQ57" s="53">
        <f>78+38</f>
        <v>116</v>
      </c>
    </row>
    <row r="58" spans="16:49">
      <c r="X58" s="532" t="s">
        <v>500</v>
      </c>
      <c r="Y58" s="444">
        <v>1700.001</v>
      </c>
      <c r="AP58" s="533" t="s">
        <v>501</v>
      </c>
      <c r="AQ58" s="53">
        <v>350.00099999999998</v>
      </c>
      <c r="AV58" s="508" t="s">
        <v>502</v>
      </c>
      <c r="AW58">
        <v>473</v>
      </c>
    </row>
    <row r="59" spans="16:49">
      <c r="AP59" s="533" t="s">
        <v>503</v>
      </c>
      <c r="AQ59" s="53">
        <v>45.2</v>
      </c>
      <c r="AV59" s="508" t="s">
        <v>504</v>
      </c>
      <c r="AW59">
        <v>693</v>
      </c>
    </row>
    <row r="60" spans="16:49">
      <c r="AV60" s="508" t="s">
        <v>505</v>
      </c>
      <c r="AW60">
        <v>450.00099999999998</v>
      </c>
    </row>
    <row r="61" spans="16:49">
      <c r="AP61" s="538" t="s">
        <v>456</v>
      </c>
      <c r="AQ61" s="53">
        <v>2000</v>
      </c>
      <c r="AV61" s="508" t="s">
        <v>506</v>
      </c>
      <c r="AW61">
        <v>811</v>
      </c>
    </row>
    <row r="62" spans="16:49">
      <c r="AP62" s="533" t="s">
        <v>494</v>
      </c>
      <c r="AQ62" s="53">
        <v>2600</v>
      </c>
      <c r="AV62" s="508" t="s">
        <v>507</v>
      </c>
      <c r="AW62">
        <v>1305</v>
      </c>
    </row>
    <row r="64" spans="16:49">
      <c r="AP64" s="539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8" t="s">
        <v>510</v>
      </c>
      <c r="AW66">
        <v>498</v>
      </c>
    </row>
    <row r="67" spans="43:49">
      <c r="AQ67" s="53">
        <v>45</v>
      </c>
      <c r="AV67" s="533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33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E40" sqref="E40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519</v>
      </c>
      <c r="C2" s="357" t="s">
        <v>520</v>
      </c>
      <c r="D2" s="358" t="s">
        <v>521</v>
      </c>
      <c r="E2" s="356" t="s">
        <v>522</v>
      </c>
      <c r="F2" s="359" t="s">
        <v>523</v>
      </c>
      <c r="G2" s="360" t="s">
        <v>524</v>
      </c>
      <c r="H2" s="360" t="s">
        <v>525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526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527</v>
      </c>
      <c r="C5" s="361">
        <v>44561</v>
      </c>
      <c r="D5" s="9" t="s">
        <v>528</v>
      </c>
      <c r="E5" s="341">
        <v>505987.68</v>
      </c>
      <c r="F5" s="9" t="s">
        <v>528</v>
      </c>
      <c r="G5" s="341"/>
      <c r="H5" s="341"/>
      <c r="J5" s="364"/>
    </row>
    <row r="6" spans="2:10">
      <c r="B6" s="9" t="s">
        <v>529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529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530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530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530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530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530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530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530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530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530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530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531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532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533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534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535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536</v>
      </c>
      <c r="C24" s="361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K24" s="364"/>
    </row>
    <row r="25" spans="2:11">
      <c r="B25" s="9" t="s">
        <v>537</v>
      </c>
      <c r="C25" s="361" t="s">
        <v>538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539</v>
      </c>
      <c r="C26" s="361" t="s">
        <v>540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541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542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542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542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542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542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542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543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544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545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546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78" t="s">
        <v>547</v>
      </c>
      <c r="F38" s="679"/>
      <c r="G38" s="341"/>
      <c r="H38" s="341"/>
    </row>
    <row r="39" spans="2:8">
      <c r="B39" s="9" t="s">
        <v>548</v>
      </c>
      <c r="C39" s="361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549</v>
      </c>
    </row>
    <row r="41" spans="2:8" ht="18">
      <c r="B41" s="680" t="s">
        <v>550</v>
      </c>
      <c r="C41" s="680"/>
      <c r="D41" s="680"/>
      <c r="E41" s="680"/>
      <c r="F41" s="680"/>
      <c r="G41" s="680"/>
      <c r="H41" s="68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561</v>
      </c>
      <c r="C1" s="676"/>
      <c r="D1" s="671" t="s">
        <v>562</v>
      </c>
      <c r="E1" s="672"/>
      <c r="F1" s="676" t="s">
        <v>563</v>
      </c>
      <c r="G1" s="676"/>
      <c r="H1" s="686" t="s">
        <v>564</v>
      </c>
      <c r="I1" s="687"/>
      <c r="J1" s="671" t="s">
        <v>562</v>
      </c>
      <c r="K1" s="672"/>
      <c r="L1" s="676" t="s">
        <v>565</v>
      </c>
      <c r="M1" s="676"/>
      <c r="N1" s="686" t="s">
        <v>564</v>
      </c>
      <c r="O1" s="687"/>
      <c r="P1" s="671" t="s">
        <v>562</v>
      </c>
      <c r="Q1" s="672"/>
      <c r="R1" s="676" t="s">
        <v>566</v>
      </c>
      <c r="S1" s="676"/>
      <c r="T1" s="686" t="s">
        <v>564</v>
      </c>
      <c r="U1" s="687"/>
      <c r="V1" s="671" t="s">
        <v>562</v>
      </c>
      <c r="W1" s="672"/>
      <c r="X1" s="676" t="s">
        <v>567</v>
      </c>
      <c r="Y1" s="676"/>
      <c r="Z1" s="686" t="s">
        <v>564</v>
      </c>
      <c r="AA1" s="687"/>
      <c r="AB1" s="671" t="s">
        <v>562</v>
      </c>
      <c r="AC1" s="672"/>
      <c r="AD1" s="676" t="s">
        <v>568</v>
      </c>
      <c r="AE1" s="676"/>
      <c r="AF1" s="686" t="s">
        <v>564</v>
      </c>
      <c r="AG1" s="687"/>
      <c r="AH1" s="671" t="s">
        <v>562</v>
      </c>
      <c r="AI1" s="672"/>
      <c r="AJ1" s="676" t="s">
        <v>569</v>
      </c>
      <c r="AK1" s="676"/>
      <c r="AL1" s="686" t="s">
        <v>570</v>
      </c>
      <c r="AM1" s="687"/>
      <c r="AN1" s="671" t="s">
        <v>571</v>
      </c>
      <c r="AO1" s="672"/>
      <c r="AP1" s="676" t="s">
        <v>572</v>
      </c>
      <c r="AQ1" s="676"/>
      <c r="AR1" s="686" t="s">
        <v>564</v>
      </c>
      <c r="AS1" s="687"/>
      <c r="AT1" s="671" t="s">
        <v>562</v>
      </c>
      <c r="AU1" s="672"/>
      <c r="AV1" s="676" t="s">
        <v>573</v>
      </c>
      <c r="AW1" s="676"/>
      <c r="AX1" s="686" t="s">
        <v>564</v>
      </c>
      <c r="AY1" s="687"/>
      <c r="AZ1" s="671" t="s">
        <v>562</v>
      </c>
      <c r="BA1" s="672"/>
      <c r="BB1" s="676" t="s">
        <v>574</v>
      </c>
      <c r="BC1" s="676"/>
      <c r="BD1" s="686" t="s">
        <v>564</v>
      </c>
      <c r="BE1" s="687"/>
      <c r="BF1" s="671" t="s">
        <v>562</v>
      </c>
      <c r="BG1" s="672"/>
      <c r="BH1" s="676" t="s">
        <v>575</v>
      </c>
      <c r="BI1" s="676"/>
      <c r="BJ1" s="686" t="s">
        <v>564</v>
      </c>
      <c r="BK1" s="687"/>
      <c r="BL1" s="671" t="s">
        <v>562</v>
      </c>
      <c r="BM1" s="672"/>
      <c r="BN1" s="676" t="s">
        <v>576</v>
      </c>
      <c r="BO1" s="676"/>
      <c r="BP1" s="686" t="s">
        <v>564</v>
      </c>
      <c r="BQ1" s="687"/>
      <c r="BR1" s="671" t="s">
        <v>562</v>
      </c>
      <c r="BS1" s="672"/>
      <c r="BT1" s="676" t="s">
        <v>577</v>
      </c>
      <c r="BU1" s="676"/>
      <c r="BV1" s="686" t="s">
        <v>578</v>
      </c>
      <c r="BW1" s="687"/>
      <c r="BX1" s="671" t="s">
        <v>579</v>
      </c>
      <c r="BY1" s="672"/>
      <c r="BZ1" s="676" t="s">
        <v>580</v>
      </c>
      <c r="CA1" s="676"/>
      <c r="CB1" s="686" t="s">
        <v>581</v>
      </c>
      <c r="CC1" s="687"/>
      <c r="CD1" s="671" t="s">
        <v>582</v>
      </c>
      <c r="CE1" s="672"/>
      <c r="CF1" s="676" t="s">
        <v>583</v>
      </c>
      <c r="CG1" s="676"/>
      <c r="CH1" s="686" t="s">
        <v>581</v>
      </c>
      <c r="CI1" s="687"/>
      <c r="CJ1" s="671" t="s">
        <v>582</v>
      </c>
      <c r="CK1" s="672"/>
      <c r="CL1" s="676" t="s">
        <v>584</v>
      </c>
      <c r="CM1" s="676"/>
      <c r="CN1" s="686" t="s">
        <v>581</v>
      </c>
      <c r="CO1" s="687"/>
      <c r="CP1" s="671" t="s">
        <v>582</v>
      </c>
      <c r="CQ1" s="672"/>
      <c r="CR1" s="676" t="s">
        <v>585</v>
      </c>
      <c r="CS1" s="676"/>
      <c r="CT1" s="686" t="s">
        <v>581</v>
      </c>
      <c r="CU1" s="687"/>
      <c r="CV1" s="688" t="s">
        <v>582</v>
      </c>
      <c r="CW1" s="689"/>
      <c r="CX1" s="676" t="s">
        <v>586</v>
      </c>
      <c r="CY1" s="676"/>
      <c r="CZ1" s="686" t="s">
        <v>581</v>
      </c>
      <c r="DA1" s="687"/>
      <c r="DB1" s="688" t="s">
        <v>582</v>
      </c>
      <c r="DC1" s="689"/>
      <c r="DD1" s="676" t="s">
        <v>587</v>
      </c>
      <c r="DE1" s="676"/>
      <c r="DF1" s="686" t="s">
        <v>588</v>
      </c>
      <c r="DG1" s="687"/>
      <c r="DH1" s="688" t="s">
        <v>589</v>
      </c>
      <c r="DI1" s="689"/>
      <c r="DJ1" s="676" t="s">
        <v>590</v>
      </c>
      <c r="DK1" s="676"/>
      <c r="DL1" s="686" t="s">
        <v>588</v>
      </c>
      <c r="DM1" s="687"/>
      <c r="DN1" s="688" t="s">
        <v>582</v>
      </c>
      <c r="DO1" s="689"/>
      <c r="DP1" s="676" t="s">
        <v>591</v>
      </c>
      <c r="DQ1" s="676"/>
      <c r="DR1" s="686" t="s">
        <v>588</v>
      </c>
      <c r="DS1" s="687"/>
      <c r="DT1" s="688" t="s">
        <v>582</v>
      </c>
      <c r="DU1" s="689"/>
      <c r="DV1" s="676" t="s">
        <v>592</v>
      </c>
      <c r="DW1" s="676"/>
      <c r="DX1" s="686" t="s">
        <v>588</v>
      </c>
      <c r="DY1" s="687"/>
      <c r="DZ1" s="688" t="s">
        <v>582</v>
      </c>
      <c r="EA1" s="689"/>
      <c r="EB1" s="676" t="s">
        <v>593</v>
      </c>
      <c r="EC1" s="676"/>
      <c r="ED1" s="686" t="s">
        <v>588</v>
      </c>
      <c r="EE1" s="687"/>
      <c r="EF1" s="688" t="s">
        <v>582</v>
      </c>
      <c r="EG1" s="689"/>
      <c r="EH1" s="676" t="s">
        <v>594</v>
      </c>
      <c r="EI1" s="676"/>
      <c r="EJ1" s="686" t="s">
        <v>588</v>
      </c>
      <c r="EK1" s="687"/>
      <c r="EL1" s="688" t="s">
        <v>595</v>
      </c>
      <c r="EM1" s="689"/>
      <c r="EN1" s="676" t="s">
        <v>596</v>
      </c>
      <c r="EO1" s="676"/>
      <c r="EP1" s="686" t="s">
        <v>588</v>
      </c>
      <c r="EQ1" s="687"/>
      <c r="ER1" s="688" t="s">
        <v>597</v>
      </c>
      <c r="ES1" s="689"/>
      <c r="ET1" s="676" t="s">
        <v>598</v>
      </c>
      <c r="EU1" s="676"/>
      <c r="EV1" s="686" t="s">
        <v>588</v>
      </c>
      <c r="EW1" s="687"/>
      <c r="EX1" s="688" t="s">
        <v>104</v>
      </c>
      <c r="EY1" s="689"/>
      <c r="EZ1" s="676" t="s">
        <v>599</v>
      </c>
      <c r="FA1" s="676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685" t="s">
        <v>664</v>
      </c>
      <c r="CU7" s="676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685" t="s">
        <v>694</v>
      </c>
      <c r="DA8" s="676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685" t="s">
        <v>694</v>
      </c>
      <c r="DG8" s="676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685" t="s">
        <v>694</v>
      </c>
      <c r="DM8" s="676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685" t="s">
        <v>694</v>
      </c>
      <c r="DS8" s="676"/>
      <c r="DT8" s="14" t="s">
        <v>692</v>
      </c>
      <c r="DU8" s="14">
        <f>SUM(DU13:DU17)</f>
        <v>32</v>
      </c>
      <c r="DV8" s="9"/>
      <c r="DW8" s="9"/>
      <c r="DX8" s="685" t="s">
        <v>694</v>
      </c>
      <c r="DY8" s="676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685" t="s">
        <v>695</v>
      </c>
      <c r="EK8" s="676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685" t="s">
        <v>695</v>
      </c>
      <c r="EQ9" s="676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685" t="s">
        <v>695</v>
      </c>
      <c r="EW9" s="676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685" t="s">
        <v>695</v>
      </c>
      <c r="EE11" s="676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685" t="s">
        <v>694</v>
      </c>
      <c r="CU12" s="676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59" t="s">
        <v>904</v>
      </c>
      <c r="CU19" s="659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40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683" t="s">
        <v>935</v>
      </c>
      <c r="FA21" s="683"/>
      <c r="FC21" s="339">
        <f>FC20-FC22</f>
        <v>113457.16899999997</v>
      </c>
      <c r="FD21" s="317"/>
      <c r="FE21" s="684" t="s">
        <v>937</v>
      </c>
      <c r="FF21" s="684"/>
      <c r="FG21" s="684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683" t="s">
        <v>517</v>
      </c>
      <c r="FA22" s="683"/>
      <c r="FC22" s="338">
        <f>E2+K2+Q2+W2+AC2+AI2+AO2+AU2+BA2+BG2+BM2+BS2+BY2+CE2+CK2+CQ2+CW2+DC2+DI2+DO2+DU2+EA2+EG2+EM2+ES2+EY2</f>
        <v>229252.68300000005</v>
      </c>
      <c r="FD22" s="540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683" t="s">
        <v>960</v>
      </c>
      <c r="FA23" s="683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683" t="s">
        <v>970</v>
      </c>
      <c r="FA24" s="683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681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682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681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682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ML1" workbookViewId="0">
      <selection activeCell="MT48" sqref="MT4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5" customWidth="1"/>
    <col min="339" max="339" width="9.5703125" style="42" customWidth="1"/>
    <col min="340" max="340" width="21.7109375" style="575" customWidth="1"/>
    <col min="341" max="341" width="9.85546875" style="575" customWidth="1"/>
    <col min="342" max="342" width="18.85546875" style="575" customWidth="1"/>
    <col min="343" max="343" width="10" style="575" customWidth="1"/>
    <col min="344" max="344" width="19.140625" style="620" customWidth="1"/>
    <col min="345" max="345" width="9.5703125" style="42" customWidth="1"/>
    <col min="346" max="346" width="23.85546875" style="620" customWidth="1"/>
    <col min="347" max="347" width="9.85546875" style="620" customWidth="1"/>
    <col min="348" max="348" width="23.7109375" style="620" customWidth="1"/>
    <col min="349" max="349" width="10" style="620" customWidth="1"/>
    <col min="350" max="350" width="19.140625" style="644" customWidth="1"/>
    <col min="351" max="351" width="9.5703125" style="42" customWidth="1"/>
    <col min="352" max="352" width="23.85546875" style="644" customWidth="1"/>
    <col min="353" max="353" width="8.5703125" style="644" customWidth="1"/>
    <col min="354" max="354" width="18.85546875" style="644" customWidth="1"/>
    <col min="355" max="355" width="10" style="644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695" t="s">
        <v>1008</v>
      </c>
      <c r="B1" s="695"/>
      <c r="C1" s="667" t="s">
        <v>93</v>
      </c>
      <c r="D1" s="668"/>
      <c r="E1" s="657" t="s">
        <v>1009</v>
      </c>
      <c r="F1" s="658"/>
      <c r="G1" s="695" t="s">
        <v>1010</v>
      </c>
      <c r="H1" s="695"/>
      <c r="I1" s="667" t="s">
        <v>93</v>
      </c>
      <c r="J1" s="668"/>
      <c r="K1" s="657" t="s">
        <v>1011</v>
      </c>
      <c r="L1" s="658"/>
      <c r="M1" s="695" t="s">
        <v>1012</v>
      </c>
      <c r="N1" s="695"/>
      <c r="O1" s="667" t="s">
        <v>93</v>
      </c>
      <c r="P1" s="668"/>
      <c r="Q1" s="657" t="s">
        <v>1013</v>
      </c>
      <c r="R1" s="658"/>
      <c r="S1" s="695" t="s">
        <v>1014</v>
      </c>
      <c r="T1" s="695"/>
      <c r="U1" s="667" t="s">
        <v>93</v>
      </c>
      <c r="V1" s="668"/>
      <c r="W1" s="657" t="s">
        <v>571</v>
      </c>
      <c r="X1" s="658"/>
      <c r="Y1" s="695" t="s">
        <v>1015</v>
      </c>
      <c r="Z1" s="695"/>
      <c r="AA1" s="667" t="s">
        <v>93</v>
      </c>
      <c r="AB1" s="668"/>
      <c r="AC1" s="657" t="s">
        <v>1016</v>
      </c>
      <c r="AD1" s="658"/>
      <c r="AE1" s="695" t="s">
        <v>1017</v>
      </c>
      <c r="AF1" s="695"/>
      <c r="AG1" s="667" t="s">
        <v>93</v>
      </c>
      <c r="AH1" s="668"/>
      <c r="AI1" s="657" t="s">
        <v>1018</v>
      </c>
      <c r="AJ1" s="658"/>
      <c r="AK1" s="695" t="s">
        <v>1019</v>
      </c>
      <c r="AL1" s="695"/>
      <c r="AM1" s="667" t="s">
        <v>1020</v>
      </c>
      <c r="AN1" s="668"/>
      <c r="AO1" s="657" t="s">
        <v>1021</v>
      </c>
      <c r="AP1" s="658"/>
      <c r="AQ1" s="695" t="s">
        <v>1022</v>
      </c>
      <c r="AR1" s="695"/>
      <c r="AS1" s="667" t="s">
        <v>1020</v>
      </c>
      <c r="AT1" s="668"/>
      <c r="AU1" s="657" t="s">
        <v>1023</v>
      </c>
      <c r="AV1" s="658"/>
      <c r="AW1" s="695" t="s">
        <v>1024</v>
      </c>
      <c r="AX1" s="695"/>
      <c r="AY1" s="657" t="s">
        <v>1025</v>
      </c>
      <c r="AZ1" s="658"/>
      <c r="BA1" s="695" t="s">
        <v>1024</v>
      </c>
      <c r="BB1" s="695"/>
      <c r="BC1" s="667" t="s">
        <v>588</v>
      </c>
      <c r="BD1" s="668"/>
      <c r="BE1" s="657" t="s">
        <v>1026</v>
      </c>
      <c r="BF1" s="658"/>
      <c r="BG1" s="695" t="s">
        <v>1027</v>
      </c>
      <c r="BH1" s="695"/>
      <c r="BI1" s="667" t="s">
        <v>588</v>
      </c>
      <c r="BJ1" s="668"/>
      <c r="BK1" s="657" t="s">
        <v>1026</v>
      </c>
      <c r="BL1" s="658"/>
      <c r="BM1" s="695" t="s">
        <v>1028</v>
      </c>
      <c r="BN1" s="695"/>
      <c r="BO1" s="667" t="s">
        <v>588</v>
      </c>
      <c r="BP1" s="668"/>
      <c r="BQ1" s="657" t="s">
        <v>1029</v>
      </c>
      <c r="BR1" s="658"/>
      <c r="BS1" s="695" t="s">
        <v>1030</v>
      </c>
      <c r="BT1" s="695"/>
      <c r="BU1" s="667" t="s">
        <v>588</v>
      </c>
      <c r="BV1" s="668"/>
      <c r="BW1" s="657" t="s">
        <v>1031</v>
      </c>
      <c r="BX1" s="658"/>
      <c r="BY1" s="695" t="s">
        <v>1032</v>
      </c>
      <c r="BZ1" s="695"/>
      <c r="CA1" s="667" t="s">
        <v>588</v>
      </c>
      <c r="CB1" s="668"/>
      <c r="CC1" s="657" t="s">
        <v>1029</v>
      </c>
      <c r="CD1" s="658"/>
      <c r="CE1" s="695" t="s">
        <v>1033</v>
      </c>
      <c r="CF1" s="695"/>
      <c r="CG1" s="667" t="s">
        <v>588</v>
      </c>
      <c r="CH1" s="668"/>
      <c r="CI1" s="657" t="s">
        <v>1031</v>
      </c>
      <c r="CJ1" s="658"/>
      <c r="CK1" s="695" t="s">
        <v>1034</v>
      </c>
      <c r="CL1" s="695"/>
      <c r="CM1" s="667" t="s">
        <v>588</v>
      </c>
      <c r="CN1" s="668"/>
      <c r="CO1" s="657" t="s">
        <v>1029</v>
      </c>
      <c r="CP1" s="658"/>
      <c r="CQ1" s="695" t="s">
        <v>1035</v>
      </c>
      <c r="CR1" s="695"/>
      <c r="CS1" s="715" t="s">
        <v>588</v>
      </c>
      <c r="CT1" s="716"/>
      <c r="CU1" s="657" t="s">
        <v>1036</v>
      </c>
      <c r="CV1" s="658"/>
      <c r="CW1" s="695" t="s">
        <v>1037</v>
      </c>
      <c r="CX1" s="695"/>
      <c r="CY1" s="715" t="s">
        <v>588</v>
      </c>
      <c r="CZ1" s="716"/>
      <c r="DA1" s="657" t="s">
        <v>1038</v>
      </c>
      <c r="DB1" s="658"/>
      <c r="DC1" s="695" t="s">
        <v>1039</v>
      </c>
      <c r="DD1" s="695"/>
      <c r="DE1" s="715" t="s">
        <v>588</v>
      </c>
      <c r="DF1" s="716"/>
      <c r="DG1" s="657" t="s">
        <v>1040</v>
      </c>
      <c r="DH1" s="658"/>
      <c r="DI1" s="695" t="s">
        <v>1041</v>
      </c>
      <c r="DJ1" s="695"/>
      <c r="DK1" s="715" t="s">
        <v>588</v>
      </c>
      <c r="DL1" s="716"/>
      <c r="DM1" s="657" t="s">
        <v>1036</v>
      </c>
      <c r="DN1" s="658"/>
      <c r="DO1" s="695" t="s">
        <v>1042</v>
      </c>
      <c r="DP1" s="695"/>
      <c r="DQ1" s="715" t="s">
        <v>588</v>
      </c>
      <c r="DR1" s="716"/>
      <c r="DS1" s="657" t="s">
        <v>1043</v>
      </c>
      <c r="DT1" s="658"/>
      <c r="DU1" s="695" t="s">
        <v>1044</v>
      </c>
      <c r="DV1" s="695"/>
      <c r="DW1" s="715" t="s">
        <v>588</v>
      </c>
      <c r="DX1" s="716"/>
      <c r="DY1" s="657" t="s">
        <v>1045</v>
      </c>
      <c r="DZ1" s="658"/>
      <c r="EA1" s="691" t="s">
        <v>1046</v>
      </c>
      <c r="EB1" s="691"/>
      <c r="EC1" s="715" t="s">
        <v>588</v>
      </c>
      <c r="ED1" s="716"/>
      <c r="EE1" s="657" t="s">
        <v>1043</v>
      </c>
      <c r="EF1" s="658"/>
      <c r="EG1" s="48"/>
      <c r="EH1" s="691" t="s">
        <v>1047</v>
      </c>
      <c r="EI1" s="691"/>
      <c r="EJ1" s="715" t="s">
        <v>588</v>
      </c>
      <c r="EK1" s="716"/>
      <c r="EL1" s="657" t="s">
        <v>1048</v>
      </c>
      <c r="EM1" s="658"/>
      <c r="EN1" s="691" t="s">
        <v>1049</v>
      </c>
      <c r="EO1" s="691"/>
      <c r="EP1" s="715" t="s">
        <v>588</v>
      </c>
      <c r="EQ1" s="716"/>
      <c r="ER1" s="657" t="s">
        <v>1050</v>
      </c>
      <c r="ES1" s="658"/>
      <c r="ET1" s="691" t="s">
        <v>1051</v>
      </c>
      <c r="EU1" s="691"/>
      <c r="EV1" s="715" t="s">
        <v>588</v>
      </c>
      <c r="EW1" s="716"/>
      <c r="EX1" s="657" t="s">
        <v>1045</v>
      </c>
      <c r="EY1" s="658"/>
      <c r="EZ1" s="691" t="s">
        <v>1052</v>
      </c>
      <c r="FA1" s="691"/>
      <c r="FB1" s="715" t="s">
        <v>588</v>
      </c>
      <c r="FC1" s="716"/>
      <c r="FD1" s="657" t="s">
        <v>1038</v>
      </c>
      <c r="FE1" s="658"/>
      <c r="FF1" s="691" t="s">
        <v>1053</v>
      </c>
      <c r="FG1" s="691"/>
      <c r="FH1" s="715" t="s">
        <v>588</v>
      </c>
      <c r="FI1" s="716"/>
      <c r="FJ1" s="657" t="s">
        <v>1036</v>
      </c>
      <c r="FK1" s="658"/>
      <c r="FL1" s="691" t="s">
        <v>1054</v>
      </c>
      <c r="FM1" s="691"/>
      <c r="FN1" s="715" t="s">
        <v>588</v>
      </c>
      <c r="FO1" s="716"/>
      <c r="FP1" s="657" t="s">
        <v>1055</v>
      </c>
      <c r="FQ1" s="658"/>
      <c r="FR1" s="691" t="s">
        <v>1056</v>
      </c>
      <c r="FS1" s="691"/>
      <c r="FT1" s="715" t="s">
        <v>588</v>
      </c>
      <c r="FU1" s="716"/>
      <c r="FV1" s="657" t="s">
        <v>1055</v>
      </c>
      <c r="FW1" s="658"/>
      <c r="FX1" s="691" t="s">
        <v>1057</v>
      </c>
      <c r="FY1" s="691"/>
      <c r="FZ1" s="715" t="s">
        <v>588</v>
      </c>
      <c r="GA1" s="716"/>
      <c r="GB1" s="657" t="s">
        <v>1045</v>
      </c>
      <c r="GC1" s="658"/>
      <c r="GD1" s="691" t="s">
        <v>1058</v>
      </c>
      <c r="GE1" s="691"/>
      <c r="GF1" s="715" t="s">
        <v>588</v>
      </c>
      <c r="GG1" s="716"/>
      <c r="GH1" s="657" t="s">
        <v>1043</v>
      </c>
      <c r="GI1" s="658"/>
      <c r="GJ1" s="691" t="s">
        <v>1059</v>
      </c>
      <c r="GK1" s="691"/>
      <c r="GL1" s="715" t="s">
        <v>588</v>
      </c>
      <c r="GM1" s="716"/>
      <c r="GN1" s="657" t="s">
        <v>1043</v>
      </c>
      <c r="GO1" s="658"/>
      <c r="GP1" s="691" t="s">
        <v>1060</v>
      </c>
      <c r="GQ1" s="691"/>
      <c r="GR1" s="715" t="s">
        <v>588</v>
      </c>
      <c r="GS1" s="716"/>
      <c r="GT1" s="657" t="s">
        <v>1048</v>
      </c>
      <c r="GU1" s="658"/>
      <c r="GV1" s="691" t="s">
        <v>1061</v>
      </c>
      <c r="GW1" s="691"/>
      <c r="GX1" s="715" t="s">
        <v>588</v>
      </c>
      <c r="GY1" s="716"/>
      <c r="GZ1" s="657" t="s">
        <v>1062</v>
      </c>
      <c r="HA1" s="658"/>
      <c r="HB1" s="691" t="s">
        <v>1063</v>
      </c>
      <c r="HC1" s="691"/>
      <c r="HD1" s="715" t="s">
        <v>588</v>
      </c>
      <c r="HE1" s="716"/>
      <c r="HF1" s="657" t="s">
        <v>1050</v>
      </c>
      <c r="HG1" s="658"/>
      <c r="HH1" s="691" t="s">
        <v>1064</v>
      </c>
      <c r="HI1" s="691"/>
      <c r="HJ1" s="715" t="s">
        <v>588</v>
      </c>
      <c r="HK1" s="716"/>
      <c r="HL1" s="657" t="s">
        <v>1036</v>
      </c>
      <c r="HM1" s="658"/>
      <c r="HN1" s="691" t="s">
        <v>1065</v>
      </c>
      <c r="HO1" s="691"/>
      <c r="HP1" s="715" t="s">
        <v>588</v>
      </c>
      <c r="HQ1" s="716"/>
      <c r="HR1" s="657" t="s">
        <v>1036</v>
      </c>
      <c r="HS1" s="658"/>
      <c r="HT1" s="691" t="s">
        <v>1066</v>
      </c>
      <c r="HU1" s="691"/>
      <c r="HV1" s="715" t="s">
        <v>588</v>
      </c>
      <c r="HW1" s="716"/>
      <c r="HX1" s="657" t="s">
        <v>1045</v>
      </c>
      <c r="HY1" s="658"/>
      <c r="HZ1" s="691" t="s">
        <v>1067</v>
      </c>
      <c r="IA1" s="691"/>
      <c r="IB1" s="715" t="s">
        <v>588</v>
      </c>
      <c r="IC1" s="716"/>
      <c r="ID1" s="657" t="s">
        <v>1050</v>
      </c>
      <c r="IE1" s="658"/>
      <c r="IF1" s="691" t="s">
        <v>1068</v>
      </c>
      <c r="IG1" s="691"/>
      <c r="IH1" s="715" t="s">
        <v>588</v>
      </c>
      <c r="II1" s="716"/>
      <c r="IJ1" s="657" t="s">
        <v>1043</v>
      </c>
      <c r="IK1" s="658"/>
      <c r="IL1" s="691" t="s">
        <v>1069</v>
      </c>
      <c r="IM1" s="691"/>
      <c r="IN1" s="715" t="s">
        <v>588</v>
      </c>
      <c r="IO1" s="716"/>
      <c r="IP1" s="657" t="s">
        <v>1045</v>
      </c>
      <c r="IQ1" s="658"/>
      <c r="IR1" s="691" t="s">
        <v>1070</v>
      </c>
      <c r="IS1" s="691"/>
      <c r="IT1" s="715" t="s">
        <v>588</v>
      </c>
      <c r="IU1" s="716"/>
      <c r="IV1" s="657" t="s">
        <v>1071</v>
      </c>
      <c r="IW1" s="658"/>
      <c r="IX1" s="691" t="s">
        <v>1072</v>
      </c>
      <c r="IY1" s="691"/>
      <c r="IZ1" s="715" t="s">
        <v>588</v>
      </c>
      <c r="JA1" s="716"/>
      <c r="JB1" s="657" t="s">
        <v>1055</v>
      </c>
      <c r="JC1" s="658"/>
      <c r="JD1" s="691" t="s">
        <v>1073</v>
      </c>
      <c r="JE1" s="691"/>
      <c r="JF1" s="715" t="s">
        <v>588</v>
      </c>
      <c r="JG1" s="716"/>
      <c r="JH1" s="657" t="s">
        <v>1071</v>
      </c>
      <c r="JI1" s="658"/>
      <c r="JJ1" s="691" t="s">
        <v>1074</v>
      </c>
      <c r="JK1" s="691"/>
      <c r="JL1" s="541" t="s">
        <v>588</v>
      </c>
      <c r="JM1" s="105"/>
      <c r="JN1" s="507" t="s">
        <v>1071</v>
      </c>
      <c r="JO1" s="48"/>
      <c r="JP1" s="691" t="s">
        <v>1075</v>
      </c>
      <c r="JQ1" s="691"/>
      <c r="JR1" s="541" t="s">
        <v>588</v>
      </c>
      <c r="JS1" s="105"/>
      <c r="JT1" s="507" t="s">
        <v>1048</v>
      </c>
      <c r="JU1" s="48"/>
      <c r="JV1" s="691" t="s">
        <v>1076</v>
      </c>
      <c r="JW1" s="691"/>
      <c r="JX1" s="541" t="s">
        <v>588</v>
      </c>
      <c r="JY1" s="105"/>
      <c r="JZ1" s="507" t="s">
        <v>1077</v>
      </c>
      <c r="KA1" s="48"/>
      <c r="KB1" s="691" t="s">
        <v>1078</v>
      </c>
      <c r="KC1" s="691"/>
      <c r="KD1" s="541" t="s">
        <v>588</v>
      </c>
      <c r="KE1" s="105"/>
      <c r="KF1" s="507" t="s">
        <v>1036</v>
      </c>
      <c r="KG1" s="48"/>
      <c r="KH1" s="691" t="s">
        <v>1079</v>
      </c>
      <c r="KI1" s="691"/>
      <c r="KJ1" s="541" t="s">
        <v>588</v>
      </c>
      <c r="KK1" s="105"/>
      <c r="KL1" s="507" t="s">
        <v>1043</v>
      </c>
      <c r="KM1" s="48"/>
      <c r="KN1" s="691" t="s">
        <v>1080</v>
      </c>
      <c r="KO1" s="691"/>
      <c r="KP1" s="541" t="s">
        <v>588</v>
      </c>
      <c r="KQ1" s="105"/>
      <c r="KR1" s="507" t="s">
        <v>1043</v>
      </c>
      <c r="KS1" s="48"/>
      <c r="KT1" s="691" t="s">
        <v>1081</v>
      </c>
      <c r="KU1" s="691"/>
      <c r="KV1" s="541" t="s">
        <v>588</v>
      </c>
      <c r="KW1" s="105"/>
      <c r="KX1" s="507" t="s">
        <v>1043</v>
      </c>
      <c r="KY1" s="48"/>
      <c r="KZ1" s="691" t="s">
        <v>1082</v>
      </c>
      <c r="LA1" s="691"/>
      <c r="LB1" s="541" t="s">
        <v>588</v>
      </c>
      <c r="LC1" s="105"/>
      <c r="LD1" s="507" t="s">
        <v>1071</v>
      </c>
      <c r="LE1" s="48"/>
      <c r="LF1" s="691" t="s">
        <v>1083</v>
      </c>
      <c r="LG1" s="691"/>
      <c r="LH1" s="541" t="s">
        <v>588</v>
      </c>
      <c r="LI1" s="105"/>
      <c r="LJ1" s="507" t="s">
        <v>1071</v>
      </c>
      <c r="LK1" s="48"/>
      <c r="LL1" s="691" t="s">
        <v>1084</v>
      </c>
      <c r="LM1" s="691"/>
      <c r="LN1" s="541" t="s">
        <v>588</v>
      </c>
      <c r="LO1" s="303"/>
      <c r="LP1" s="507" t="s">
        <v>1071</v>
      </c>
      <c r="LQ1" s="48"/>
      <c r="LR1" s="691" t="s">
        <v>1085</v>
      </c>
      <c r="LS1" s="691"/>
      <c r="LT1" s="541" t="s">
        <v>588</v>
      </c>
      <c r="LU1" s="303"/>
      <c r="LV1" s="579" t="s">
        <v>1055</v>
      </c>
      <c r="LW1" s="48"/>
      <c r="LX1" s="691" t="s">
        <v>3256</v>
      </c>
      <c r="LY1" s="691"/>
      <c r="LZ1" s="578" t="s">
        <v>588</v>
      </c>
      <c r="MA1" s="303"/>
      <c r="MB1" s="568" t="s">
        <v>1071</v>
      </c>
      <c r="MC1" s="569"/>
      <c r="MD1" s="690" t="s">
        <v>3341</v>
      </c>
      <c r="ME1" s="691"/>
      <c r="MF1" s="628" t="s">
        <v>588</v>
      </c>
      <c r="MG1" s="303"/>
      <c r="MH1" s="618" t="s">
        <v>1071</v>
      </c>
      <c r="MI1" s="619"/>
      <c r="MJ1" s="690" t="s">
        <v>3392</v>
      </c>
      <c r="MK1" s="691"/>
      <c r="ML1" s="641" t="s">
        <v>588</v>
      </c>
      <c r="MM1" s="303"/>
      <c r="MN1" s="638" t="s">
        <v>1071</v>
      </c>
      <c r="MO1" s="639"/>
      <c r="MP1" s="690" t="s">
        <v>3334</v>
      </c>
      <c r="MQ1" s="691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13">
        <f>SUM(LM6:LM35)</f>
        <v>356020.91</v>
      </c>
      <c r="LN2" s="14" t="s">
        <v>1092</v>
      </c>
      <c r="LO2" s="213">
        <f>SUM(LO3:LO28)</f>
        <v>41120.020999999993</v>
      </c>
      <c r="LP2" s="551" t="s">
        <v>3220</v>
      </c>
      <c r="LQ2" s="311">
        <f>LO2+LM2-LS2</f>
        <v>16626.74099999998</v>
      </c>
      <c r="LR2" s="14" t="s">
        <v>1094</v>
      </c>
      <c r="LS2" s="613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50">
        <f>LU2+LS2-LY2</f>
        <v>97634.561999999976</v>
      </c>
      <c r="LX2" s="14" t="s">
        <v>3236</v>
      </c>
      <c r="LY2" s="44">
        <f>SUM(LY6:LY36)</f>
        <v>303217</v>
      </c>
      <c r="LZ2" s="575" t="s">
        <v>1092</v>
      </c>
      <c r="MA2" s="250">
        <f>SUM(MA4:MA30)</f>
        <v>9673.1919999999991</v>
      </c>
      <c r="MB2" s="70" t="s">
        <v>117</v>
      </c>
      <c r="MC2" s="550">
        <f>MA2+LY2-ME2</f>
        <v>7093.1919999999809</v>
      </c>
      <c r="MD2" s="575" t="s">
        <v>3236</v>
      </c>
      <c r="ME2" s="44">
        <f>SUM(ME5:ME33)</f>
        <v>305797</v>
      </c>
      <c r="MF2" s="620" t="s">
        <v>1092</v>
      </c>
      <c r="MG2" s="250">
        <f>SUM(MG4:MG39)</f>
        <v>20163.809999999998</v>
      </c>
      <c r="MH2" s="70" t="s">
        <v>117</v>
      </c>
      <c r="MI2" s="550">
        <f>MG2+ME2-MK2</f>
        <v>16411.440000000002</v>
      </c>
      <c r="MJ2" s="620" t="s">
        <v>3236</v>
      </c>
      <c r="MK2" s="44">
        <f>SUM(MK7:MK39)</f>
        <v>309549.37</v>
      </c>
      <c r="ML2" s="644" t="s">
        <v>1092</v>
      </c>
      <c r="MM2" s="250">
        <f>SUM(MM4:MM28)</f>
        <v>34.65</v>
      </c>
      <c r="MN2" s="70" t="s">
        <v>117</v>
      </c>
      <c r="MO2" s="550">
        <f>MM2+MK2-MQ2</f>
        <v>1592.6500000000233</v>
      </c>
      <c r="MP2" s="644" t="s">
        <v>3236</v>
      </c>
      <c r="MQ2" s="44">
        <f>SUM(MQ7:MQ39)</f>
        <v>307991.37</v>
      </c>
    </row>
    <row r="3" spans="1:356">
      <c r="A3" s="699" t="s">
        <v>1095</v>
      </c>
      <c r="B3" s="699"/>
      <c r="E3" s="53" t="s">
        <v>124</v>
      </c>
      <c r="F3" s="52">
        <f>F2-F4</f>
        <v>17</v>
      </c>
      <c r="G3" s="699" t="s">
        <v>1095</v>
      </c>
      <c r="H3" s="699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11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11" t="s">
        <v>3331</v>
      </c>
      <c r="KY3" s="91"/>
      <c r="KZ3" s="292">
        <v>7000</v>
      </c>
      <c r="LA3" s="293">
        <v>45342</v>
      </c>
      <c r="LC3" s="213"/>
      <c r="LD3" s="611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11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5" t="s">
        <v>1110</v>
      </c>
      <c r="MC3" s="91">
        <f>MC2-MA34-MA33</f>
        <v>5093.1919999999809</v>
      </c>
      <c r="MD3" s="575" t="s">
        <v>1116</v>
      </c>
      <c r="ME3" s="44">
        <f>SUM(ME10:ME11)</f>
        <v>-191076</v>
      </c>
      <c r="MG3" s="250"/>
      <c r="MH3" s="620" t="s">
        <v>1110</v>
      </c>
      <c r="MI3" s="91">
        <f>MI2-MG43-MG42</f>
        <v>9111.2800000000025</v>
      </c>
      <c r="MJ3" s="620" t="s">
        <v>1116</v>
      </c>
      <c r="MK3" s="44">
        <f>SUM(MK12:MK13)</f>
        <v>-186264.63</v>
      </c>
      <c r="MM3" s="250"/>
      <c r="MN3" s="644" t="s">
        <v>1110</v>
      </c>
      <c r="MO3" s="91">
        <f>MO2-MM31-MM30</f>
        <v>1592.6500000000233</v>
      </c>
      <c r="MP3" s="644" t="s">
        <v>1116</v>
      </c>
      <c r="MQ3" s="44">
        <f>SUM(MQ12:MQ13)</f>
        <v>-186264.63</v>
      </c>
    </row>
    <row r="4" spans="1:356" ht="12.75" customHeight="1" thickBot="1">
      <c r="A4" s="699"/>
      <c r="B4" s="699"/>
      <c r="E4" s="53" t="s">
        <v>135</v>
      </c>
      <c r="F4" s="52">
        <f>SUM(F14:F57)</f>
        <v>12750</v>
      </c>
      <c r="G4" s="699"/>
      <c r="H4" s="699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13">
        <f>SUM(KI5:KI36)</f>
        <v>337796.44</v>
      </c>
      <c r="KJ4" s="14" t="s">
        <v>1114</v>
      </c>
      <c r="KK4" s="236">
        <v>17211.3</v>
      </c>
      <c r="KL4" s="14" t="s">
        <v>1117</v>
      </c>
      <c r="KM4" s="555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5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5">
        <f>LW2-LW5</f>
        <v>0.32199999995646067</v>
      </c>
      <c r="LX4" s="106" t="s">
        <v>1139</v>
      </c>
      <c r="LY4" s="605">
        <f>SUM(LY12:LY23)+LY3</f>
        <v>252047</v>
      </c>
      <c r="LZ4" s="575" t="s">
        <v>1114</v>
      </c>
      <c r="MA4" s="119">
        <v>18611.73</v>
      </c>
      <c r="MB4" s="575" t="s">
        <v>1138</v>
      </c>
      <c r="MC4" s="555">
        <f>MC2-MC5</f>
        <v>0.87199999998301791</v>
      </c>
      <c r="MD4" s="292">
        <v>20000</v>
      </c>
      <c r="ME4" s="293">
        <v>45412</v>
      </c>
      <c r="MF4" s="620" t="s">
        <v>1114</v>
      </c>
      <c r="MG4" s="119">
        <v>18611.73</v>
      </c>
      <c r="MH4" s="620" t="s">
        <v>1138</v>
      </c>
      <c r="MI4" s="291">
        <f>MI2-MI5</f>
        <v>-0.2999999999992724</v>
      </c>
      <c r="MJ4" s="292">
        <v>5000</v>
      </c>
      <c r="MK4" s="293">
        <v>45454</v>
      </c>
      <c r="ML4" s="644" t="s">
        <v>1114</v>
      </c>
      <c r="MM4" s="119"/>
      <c r="MN4" s="644" t="s">
        <v>1138</v>
      </c>
      <c r="MO4" s="291">
        <f>MO2-MO5</f>
        <v>-0.21999999997683517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5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5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5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603" t="s">
        <v>1130</v>
      </c>
      <c r="MA5" s="119">
        <v>-200</v>
      </c>
      <c r="MB5" s="575" t="s">
        <v>135</v>
      </c>
      <c r="MC5" s="91">
        <f>SUM(MC6:MC54)</f>
        <v>7092.3199999999979</v>
      </c>
      <c r="MD5" s="37" t="s">
        <v>3305</v>
      </c>
      <c r="ME5" s="597">
        <v>104000</v>
      </c>
      <c r="MF5" s="622" t="s">
        <v>1130</v>
      </c>
      <c r="MG5" s="119">
        <v>-200</v>
      </c>
      <c r="MH5" s="620" t="s">
        <v>135</v>
      </c>
      <c r="MI5" s="91">
        <f>SUM(MI6:MI59)</f>
        <v>16411.740000000002</v>
      </c>
      <c r="MJ5" s="37">
        <v>5000</v>
      </c>
      <c r="MK5" s="38">
        <v>45468</v>
      </c>
      <c r="ML5" s="643" t="s">
        <v>1130</v>
      </c>
      <c r="MM5" s="119"/>
      <c r="MN5" s="644" t="s">
        <v>135</v>
      </c>
      <c r="MO5" s="91">
        <f>SUM(MO6:MO49)</f>
        <v>1592.8700000000001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7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7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7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7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5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70" t="s">
        <v>1123</v>
      </c>
      <c r="MA6" s="119">
        <f>-5-5524.9-5000</f>
        <v>-10529.9</v>
      </c>
      <c r="MB6" s="589" t="s">
        <v>3224</v>
      </c>
      <c r="MC6" s="57" t="s">
        <v>3222</v>
      </c>
      <c r="MD6" s="256" t="s">
        <v>3284</v>
      </c>
      <c r="ME6" s="294">
        <v>0</v>
      </c>
      <c r="MF6" s="643"/>
      <c r="MG6" s="119"/>
      <c r="MH6" s="589" t="s">
        <v>3224</v>
      </c>
      <c r="MI6" s="57" t="s">
        <v>3222</v>
      </c>
      <c r="MJ6" s="37">
        <v>5000</v>
      </c>
      <c r="MK6" s="38">
        <v>45482</v>
      </c>
      <c r="ML6" s="643"/>
      <c r="MM6" s="119"/>
      <c r="MN6" s="589" t="s">
        <v>3224</v>
      </c>
      <c r="MO6" s="57" t="s">
        <v>3222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42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7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7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6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70"/>
      <c r="MA7" s="119"/>
      <c r="MB7" s="549" t="s">
        <v>1594</v>
      </c>
      <c r="MC7" s="42">
        <f>1000+1000</f>
        <v>2000</v>
      </c>
      <c r="MD7" s="600" t="s">
        <v>3230</v>
      </c>
      <c r="ME7" s="234">
        <v>50000</v>
      </c>
      <c r="MF7" s="634" t="s">
        <v>3391</v>
      </c>
      <c r="MG7" s="42">
        <v>449.92</v>
      </c>
      <c r="MH7" s="589" t="s">
        <v>3386</v>
      </c>
      <c r="MI7" s="42">
        <v>1900.05</v>
      </c>
      <c r="MJ7" s="37" t="s">
        <v>3305</v>
      </c>
      <c r="MK7" s="597">
        <v>75000</v>
      </c>
      <c r="ML7" s="644" t="s">
        <v>1248</v>
      </c>
      <c r="MM7" s="250"/>
      <c r="MN7" s="589" t="s">
        <v>3398</v>
      </c>
      <c r="MO7" s="42"/>
      <c r="MP7" s="37" t="s">
        <v>3305</v>
      </c>
      <c r="MQ7" s="597">
        <v>75000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7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7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4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5" t="s">
        <v>1248</v>
      </c>
      <c r="MA8" s="250"/>
      <c r="MB8" s="548" t="s">
        <v>1848</v>
      </c>
      <c r="MC8" s="56">
        <v>145.76</v>
      </c>
      <c r="MD8" s="600" t="s">
        <v>1395</v>
      </c>
      <c r="ME8" s="234">
        <v>150000</v>
      </c>
      <c r="MF8" s="634" t="s">
        <v>3382</v>
      </c>
      <c r="MG8" s="119" t="s">
        <v>3381</v>
      </c>
      <c r="MH8" s="589" t="s">
        <v>3385</v>
      </c>
      <c r="MI8" s="42">
        <v>1900.06</v>
      </c>
      <c r="MJ8" s="256" t="s">
        <v>3284</v>
      </c>
      <c r="MK8" s="294">
        <v>0</v>
      </c>
      <c r="ML8" s="644" t="s">
        <v>1295</v>
      </c>
      <c r="MM8" s="250"/>
      <c r="MN8" s="589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7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4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5" t="s">
        <v>1295</v>
      </c>
      <c r="MA9" s="250">
        <v>71.001000000000005</v>
      </c>
      <c r="MB9" s="548" t="s">
        <v>1968</v>
      </c>
      <c r="MC9" s="57">
        <v>197.12</v>
      </c>
      <c r="MD9" s="574" t="s">
        <v>3303</v>
      </c>
      <c r="ME9" s="44">
        <v>150001</v>
      </c>
      <c r="MF9" s="634" t="s">
        <v>3369</v>
      </c>
      <c r="MG9" s="42">
        <f>1154</f>
        <v>1154</v>
      </c>
      <c r="MH9" s="589" t="s">
        <v>3387</v>
      </c>
      <c r="MI9" s="42">
        <v>2000.05</v>
      </c>
      <c r="MJ9" s="626" t="s">
        <v>3230</v>
      </c>
      <c r="MK9" s="234">
        <v>50000</v>
      </c>
      <c r="ML9" s="606" t="s">
        <v>3394</v>
      </c>
      <c r="MM9" s="250"/>
      <c r="MN9" s="589" t="s">
        <v>3388</v>
      </c>
      <c r="MO9" s="42"/>
      <c r="MP9" s="646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7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6" t="s">
        <v>3317</v>
      </c>
      <c r="MA10" s="250">
        <v>27.33</v>
      </c>
      <c r="MB10" s="548" t="s">
        <v>3302</v>
      </c>
      <c r="MC10" s="42">
        <v>30</v>
      </c>
      <c r="MD10" s="575" t="s">
        <v>1342</v>
      </c>
      <c r="ME10" s="44">
        <v>-67376</v>
      </c>
      <c r="MF10" s="635" t="s">
        <v>3372</v>
      </c>
      <c r="MG10" s="42">
        <v>-460</v>
      </c>
      <c r="MH10" s="589" t="s">
        <v>3388</v>
      </c>
      <c r="MI10" s="42">
        <v>1500</v>
      </c>
      <c r="MJ10" s="626" t="s">
        <v>1395</v>
      </c>
      <c r="MK10" s="234">
        <v>150000</v>
      </c>
      <c r="ML10" s="643" t="s">
        <v>3234</v>
      </c>
      <c r="MM10" s="250"/>
      <c r="MN10" s="549" t="s">
        <v>1599</v>
      </c>
      <c r="MO10" s="42"/>
      <c r="MP10" s="646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7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7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62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70" t="s">
        <v>3234</v>
      </c>
      <c r="MA11" s="250">
        <v>2.0009999999999999</v>
      </c>
      <c r="MB11" s="548" t="s">
        <v>3304</v>
      </c>
      <c r="MC11" s="547">
        <f>153.11+10.9</f>
        <v>164.01000000000002</v>
      </c>
      <c r="MD11" s="575" t="s">
        <v>1393</v>
      </c>
      <c r="ME11" s="44">
        <v>-123700</v>
      </c>
      <c r="MF11" s="637"/>
      <c r="MG11" s="119"/>
      <c r="MH11" s="554" t="s">
        <v>3393</v>
      </c>
      <c r="MI11" s="636">
        <v>1526</v>
      </c>
      <c r="MJ11" s="626" t="s">
        <v>3303</v>
      </c>
      <c r="MK11" s="44">
        <v>150001</v>
      </c>
      <c r="ML11" s="643"/>
      <c r="MM11" s="250"/>
      <c r="MN11" s="554" t="s">
        <v>3397</v>
      </c>
      <c r="MP11" s="646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7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5" t="s">
        <v>3227</v>
      </c>
      <c r="LW12" s="42">
        <v>330.77</v>
      </c>
      <c r="LX12" s="63" t="s">
        <v>1629</v>
      </c>
      <c r="LY12" s="44">
        <v>241002</v>
      </c>
      <c r="LZ12" s="570"/>
      <c r="MA12" s="250"/>
      <c r="MB12" s="548" t="s">
        <v>1521</v>
      </c>
      <c r="MC12" s="42">
        <f>5</f>
        <v>5</v>
      </c>
      <c r="MD12" s="574" t="s">
        <v>1201</v>
      </c>
      <c r="ME12" s="44">
        <v>-4000</v>
      </c>
      <c r="MF12" s="620" t="s">
        <v>1248</v>
      </c>
      <c r="MG12" s="250"/>
      <c r="MH12" s="548" t="s">
        <v>1848</v>
      </c>
      <c r="MI12" s="56">
        <v>138.54</v>
      </c>
      <c r="MJ12" s="620" t="s">
        <v>1342</v>
      </c>
      <c r="MK12" s="44">
        <v>-66164.63</v>
      </c>
      <c r="ML12" s="644" t="s">
        <v>1498</v>
      </c>
      <c r="MM12" s="250"/>
      <c r="MN12" s="548" t="s">
        <v>1848</v>
      </c>
      <c r="MO12" s="56"/>
      <c r="MP12" s="644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7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7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83" t="s">
        <v>1565</v>
      </c>
      <c r="LW13" s="57">
        <v>500</v>
      </c>
      <c r="LX13" s="63" t="s">
        <v>1559</v>
      </c>
      <c r="LY13" s="44">
        <v>101740</v>
      </c>
      <c r="LZ13" s="575" t="s">
        <v>1498</v>
      </c>
      <c r="MA13" s="250"/>
      <c r="MB13" s="548" t="s">
        <v>1729</v>
      </c>
      <c r="MC13" s="42">
        <f>13.57+9+9</f>
        <v>31.57</v>
      </c>
      <c r="MD13" s="573" t="s">
        <v>1499</v>
      </c>
      <c r="ME13" s="94">
        <f>-87000</f>
        <v>-87000</v>
      </c>
      <c r="MF13" s="620" t="s">
        <v>1295</v>
      </c>
      <c r="MG13" s="250">
        <v>64</v>
      </c>
      <c r="MH13" s="548" t="s">
        <v>1968</v>
      </c>
      <c r="MI13" s="57">
        <v>191</v>
      </c>
      <c r="MJ13" s="620" t="s">
        <v>1393</v>
      </c>
      <c r="MK13" s="44">
        <v>-120100</v>
      </c>
      <c r="ML13" s="645" t="s">
        <v>1564</v>
      </c>
      <c r="MM13" s="250"/>
      <c r="MN13" s="548" t="s">
        <v>1968</v>
      </c>
      <c r="MO13" s="57"/>
      <c r="MP13" s="644" t="s">
        <v>1393</v>
      </c>
      <c r="MQ13" s="44">
        <v>-120100</v>
      </c>
      <c r="MR13" s="46">
        <v>45442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2" t="s">
        <v>1583</v>
      </c>
      <c r="DP14" s="713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7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691" t="s">
        <v>1603</v>
      </c>
      <c r="HK14" s="691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83" t="s">
        <v>1683</v>
      </c>
      <c r="LW14" s="57">
        <f>749.38+250.7</f>
        <v>1000.0799999999999</v>
      </c>
      <c r="LX14" s="600" t="s">
        <v>3230</v>
      </c>
      <c r="LY14" s="234">
        <v>50000</v>
      </c>
      <c r="LZ14" s="573" t="s">
        <v>1564</v>
      </c>
      <c r="MA14" s="250">
        <f>212.33+76.44+42.47</f>
        <v>331.24</v>
      </c>
      <c r="MB14" s="548" t="s">
        <v>1911</v>
      </c>
      <c r="MC14" s="42">
        <f>18.56+10+17.49+17.37+15.72+10+16.79+18.38+10+17.1</f>
        <v>151.41</v>
      </c>
      <c r="MD14" s="574" t="s">
        <v>1440</v>
      </c>
      <c r="ME14" s="44">
        <v>28002</v>
      </c>
      <c r="MF14" s="606" t="s">
        <v>3351</v>
      </c>
      <c r="MG14" s="250">
        <v>26.77</v>
      </c>
      <c r="MH14" s="548" t="s">
        <v>3302</v>
      </c>
      <c r="MI14" s="42">
        <v>80</v>
      </c>
      <c r="MJ14" s="626" t="s">
        <v>1201</v>
      </c>
      <c r="MK14" s="44">
        <v>-4000</v>
      </c>
      <c r="ML14" s="629" t="s">
        <v>3395</v>
      </c>
      <c r="MM14" s="42">
        <v>34.65</v>
      </c>
      <c r="MN14" s="548" t="s">
        <v>1552</v>
      </c>
      <c r="MO14" s="42"/>
      <c r="MP14" s="646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7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7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4" t="s">
        <v>1557</v>
      </c>
      <c r="KE15" s="714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600" t="s">
        <v>1395</v>
      </c>
      <c r="LS15" s="234">
        <v>2000</v>
      </c>
      <c r="LT15" s="43" t="s">
        <v>1630</v>
      </c>
      <c r="LU15" s="250">
        <v>33.000999999999998</v>
      </c>
      <c r="LV15" s="583" t="s">
        <v>3228</v>
      </c>
      <c r="LW15" s="57"/>
      <c r="LX15" s="600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7">
        <v>131.16999999999999</v>
      </c>
      <c r="MD15" s="574" t="s">
        <v>1559</v>
      </c>
      <c r="ME15" s="44">
        <v>101103</v>
      </c>
      <c r="MF15" s="622" t="s">
        <v>3234</v>
      </c>
      <c r="MG15" s="250">
        <v>38.5</v>
      </c>
      <c r="MH15" s="548" t="s">
        <v>3304</v>
      </c>
      <c r="MI15" s="547">
        <f>153.11*2+10.9</f>
        <v>317.12</v>
      </c>
      <c r="MJ15" s="625" t="s">
        <v>1499</v>
      </c>
      <c r="MK15" s="94">
        <v>-92000</v>
      </c>
      <c r="ML15" s="629" t="s">
        <v>3342</v>
      </c>
      <c r="MM15" s="250"/>
      <c r="MN15" s="548" t="s">
        <v>3301</v>
      </c>
      <c r="MO15" s="42"/>
      <c r="MP15" s="645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7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5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4" t="s">
        <v>1494</v>
      </c>
      <c r="ME16" s="44">
        <v>0</v>
      </c>
      <c r="MF16" s="622"/>
      <c r="MG16" s="250"/>
      <c r="MH16" s="548" t="s">
        <v>1521</v>
      </c>
      <c r="MI16" s="42">
        <f>5</f>
        <v>5</v>
      </c>
      <c r="MJ16" s="626" t="s">
        <v>1440</v>
      </c>
      <c r="MK16" s="44">
        <v>61003</v>
      </c>
      <c r="ML16" s="644" t="s">
        <v>1366</v>
      </c>
      <c r="MN16" s="548" t="s">
        <v>3302</v>
      </c>
      <c r="MO16" s="42">
        <v>30</v>
      </c>
      <c r="MP16" s="646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90" t="s">
        <v>3265</v>
      </c>
      <c r="MC17" s="42">
        <f>1+5</f>
        <v>6</v>
      </c>
      <c r="MD17" s="571" t="s">
        <v>1624</v>
      </c>
      <c r="ME17" s="245"/>
      <c r="MF17" s="620" t="s">
        <v>1498</v>
      </c>
      <c r="MG17" s="250"/>
      <c r="MH17" s="548" t="s">
        <v>1729</v>
      </c>
      <c r="MI17" s="42">
        <f>9+9+13.57</f>
        <v>31.57</v>
      </c>
      <c r="MJ17" s="626" t="s">
        <v>1559</v>
      </c>
      <c r="MK17" s="44">
        <v>101153</v>
      </c>
      <c r="ML17" s="43" t="s">
        <v>1550</v>
      </c>
      <c r="MN17" s="548" t="s">
        <v>3304</v>
      </c>
      <c r="MO17" s="547"/>
      <c r="MP17" s="646" t="s">
        <v>1559</v>
      </c>
      <c r="MQ17" s="44">
        <v>101098</v>
      </c>
      <c r="MR17" s="46">
        <v>45444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2" t="s">
        <v>1805</v>
      </c>
      <c r="DJ18" s="713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7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7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7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7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90" t="s">
        <v>3312</v>
      </c>
      <c r="MC18" s="42">
        <v>40</v>
      </c>
      <c r="MD18" s="573" t="s">
        <v>1679</v>
      </c>
      <c r="ME18" s="94">
        <v>-404</v>
      </c>
      <c r="MF18" s="625" t="s">
        <v>1564</v>
      </c>
      <c r="MG18" s="250">
        <f>205.48+73.97+41.1</f>
        <v>320.55</v>
      </c>
      <c r="MH18" s="548" t="s">
        <v>1911</v>
      </c>
      <c r="MI18" s="42">
        <f>17.1+10+15.9+16.45+10+15.33+17.87+10+13.36+10</f>
        <v>136.01</v>
      </c>
      <c r="MJ18" s="626" t="s">
        <v>1494</v>
      </c>
      <c r="MK18" s="44">
        <v>0</v>
      </c>
      <c r="ML18" s="642" t="s">
        <v>1557</v>
      </c>
      <c r="MM18" s="642"/>
      <c r="MN18" s="548" t="s">
        <v>1521</v>
      </c>
      <c r="MO18" s="42"/>
      <c r="MP18" s="646" t="s">
        <v>1494</v>
      </c>
      <c r="MQ18" s="44">
        <v>52003</v>
      </c>
      <c r="MR18" s="46">
        <v>45444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7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7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7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7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7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7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7" t="s">
        <v>3252</v>
      </c>
      <c r="LT19" s="580" t="s">
        <v>1557</v>
      </c>
      <c r="LU19" s="580"/>
      <c r="LV19" s="67" t="s">
        <v>3237</v>
      </c>
      <c r="LW19" s="547">
        <f>153.26+10.9</f>
        <v>164.16</v>
      </c>
      <c r="LX19" s="61" t="s">
        <v>1791</v>
      </c>
      <c r="LY19" s="44">
        <f>LX20-0.99*195000</f>
        <v>-51228</v>
      </c>
      <c r="LZ19" s="580" t="s">
        <v>1557</v>
      </c>
      <c r="MA19" s="580"/>
      <c r="MB19" s="590" t="s">
        <v>3326</v>
      </c>
      <c r="MC19" s="42">
        <f>30.5+35.8+40.4+36.4+28.5</f>
        <v>171.6</v>
      </c>
      <c r="MD19" s="570" t="s">
        <v>1791</v>
      </c>
      <c r="ME19" s="44">
        <f>MD20-0.99*195000</f>
        <v>-194</v>
      </c>
      <c r="MF19" s="629" t="s">
        <v>3345</v>
      </c>
      <c r="MG19" s="42">
        <v>33.68</v>
      </c>
      <c r="MH19" s="590" t="s">
        <v>3358</v>
      </c>
      <c r="MI19" s="42">
        <f>10+10</f>
        <v>20</v>
      </c>
      <c r="MJ19" s="623" t="s">
        <v>1624</v>
      </c>
      <c r="MK19" s="245"/>
      <c r="ML19" s="606" t="s">
        <v>3348</v>
      </c>
      <c r="MN19" s="548" t="s">
        <v>1729</v>
      </c>
      <c r="MO19" s="42"/>
      <c r="MP19" s="647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42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42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7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7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43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4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81" t="s">
        <v>3313</v>
      </c>
      <c r="MA20" s="42">
        <v>149.6</v>
      </c>
      <c r="MB20" s="590" t="s">
        <v>3297</v>
      </c>
      <c r="MC20" s="42">
        <v>22</v>
      </c>
      <c r="MD20" s="283">
        <v>192856</v>
      </c>
      <c r="ME20" s="554" t="s">
        <v>3262</v>
      </c>
      <c r="MF20" s="620" t="s">
        <v>1366</v>
      </c>
      <c r="MG20" s="42">
        <v>12.26</v>
      </c>
      <c r="MH20" s="590" t="s">
        <v>3357</v>
      </c>
      <c r="MI20" s="42">
        <f>5+10</f>
        <v>15</v>
      </c>
      <c r="MJ20" s="625" t="s">
        <v>1679</v>
      </c>
      <c r="MK20" s="94">
        <v>-477</v>
      </c>
      <c r="ML20" s="630"/>
      <c r="MM20" s="609"/>
      <c r="MN20" s="548" t="s">
        <v>1911</v>
      </c>
      <c r="MO20" s="42">
        <f>17.79</f>
        <v>17.79</v>
      </c>
      <c r="MP20" s="645" t="s">
        <v>1679</v>
      </c>
      <c r="MQ20" s="94">
        <v>-477</v>
      </c>
      <c r="MR20" s="46">
        <v>45442</v>
      </c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09" t="s">
        <v>331</v>
      </c>
      <c r="N21" s="709"/>
      <c r="Q21" s="58" t="s">
        <v>356</v>
      </c>
      <c r="S21" s="709" t="s">
        <v>331</v>
      </c>
      <c r="T21" s="709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696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7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7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7" t="s">
        <v>3327</v>
      </c>
      <c r="MA21" s="609">
        <f>74.6+18.65</f>
        <v>93.25</v>
      </c>
      <c r="MB21" s="590" t="s">
        <v>3299</v>
      </c>
      <c r="MC21" s="42">
        <v>7.5</v>
      </c>
      <c r="MD21" s="570" t="s">
        <v>3247</v>
      </c>
      <c r="ME21" s="44">
        <v>2600</v>
      </c>
      <c r="MF21" s="629" t="s">
        <v>3368</v>
      </c>
      <c r="MG21" s="42">
        <v>1.7</v>
      </c>
      <c r="MH21" s="590" t="s">
        <v>3383</v>
      </c>
      <c r="MI21" s="309">
        <v>2679.34</v>
      </c>
      <c r="MJ21" s="633" t="s">
        <v>1738</v>
      </c>
      <c r="MK21" s="167">
        <v>30</v>
      </c>
      <c r="ML21" s="630"/>
      <c r="MM21" s="609"/>
      <c r="MN21" s="590" t="s">
        <v>1819</v>
      </c>
      <c r="MO21" s="42"/>
      <c r="MP21" s="648" t="s">
        <v>1738</v>
      </c>
      <c r="MQ21" s="167">
        <v>30</v>
      </c>
      <c r="MR21" s="46">
        <v>45442</v>
      </c>
    </row>
    <row r="22" spans="1:357">
      <c r="A22" s="21"/>
      <c r="B22" s="55"/>
      <c r="E22" s="526" t="s">
        <v>396</v>
      </c>
      <c r="F22" s="58"/>
      <c r="G22" s="21"/>
      <c r="H22" s="55"/>
      <c r="K22" s="66" t="s">
        <v>1632</v>
      </c>
      <c r="L22" s="14">
        <v>0</v>
      </c>
      <c r="M22" s="697" t="s">
        <v>2015</v>
      </c>
      <c r="N22" s="697"/>
      <c r="Q22" s="58" t="s">
        <v>365</v>
      </c>
      <c r="S22" s="697" t="s">
        <v>2015</v>
      </c>
      <c r="T22" s="697"/>
      <c r="W22" s="66" t="s">
        <v>1686</v>
      </c>
      <c r="X22" s="14">
        <v>0</v>
      </c>
      <c r="Y22" s="709" t="s">
        <v>331</v>
      </c>
      <c r="Z22" s="709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696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7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7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695" t="s">
        <v>2041</v>
      </c>
      <c r="IU22" s="695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9" t="s">
        <v>3257</v>
      </c>
      <c r="LU22" s="559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7"/>
      <c r="MA22" s="577"/>
      <c r="MB22" s="590" t="s">
        <v>3308</v>
      </c>
      <c r="MC22" s="42">
        <v>41.37</v>
      </c>
      <c r="MD22" s="574" t="s">
        <v>1483</v>
      </c>
      <c r="ME22" s="44">
        <v>835</v>
      </c>
      <c r="MF22" s="627" t="s">
        <v>1557</v>
      </c>
      <c r="MG22" s="627"/>
      <c r="MH22" s="590" t="s">
        <v>3384</v>
      </c>
      <c r="MI22" s="309">
        <v>468.82</v>
      </c>
      <c r="MJ22" s="622" t="s">
        <v>1791</v>
      </c>
      <c r="MK22" s="44">
        <f>MJ23-0.99*195000</f>
        <v>-615</v>
      </c>
      <c r="ML22" s="630"/>
      <c r="MM22" s="609"/>
      <c r="MN22" s="590" t="s">
        <v>1819</v>
      </c>
      <c r="MO22" s="42"/>
      <c r="MP22" s="643" t="s">
        <v>1791</v>
      </c>
      <c r="MQ22" s="44">
        <f>MP23-0.99*195000</f>
        <v>-615</v>
      </c>
    </row>
    <row r="23" spans="1:357">
      <c r="A23" s="709" t="s">
        <v>331</v>
      </c>
      <c r="B23" s="709"/>
      <c r="E23" s="528" t="s">
        <v>403</v>
      </c>
      <c r="F23" s="58"/>
      <c r="G23" s="709" t="s">
        <v>331</v>
      </c>
      <c r="H23" s="709"/>
      <c r="K23" s="66" t="s">
        <v>1686</v>
      </c>
      <c r="L23" s="14">
        <v>0</v>
      </c>
      <c r="M23" s="692"/>
      <c r="N23" s="692"/>
      <c r="Q23" s="58" t="s">
        <v>1857</v>
      </c>
      <c r="S23" s="692"/>
      <c r="T23" s="692"/>
      <c r="W23" s="66" t="s">
        <v>1473</v>
      </c>
      <c r="X23" s="61">
        <v>0</v>
      </c>
      <c r="Y23" s="697" t="s">
        <v>2015</v>
      </c>
      <c r="Z23" s="697"/>
      <c r="AE23" s="709" t="s">
        <v>331</v>
      </c>
      <c r="AF23" s="709"/>
      <c r="AK23" s="709" t="s">
        <v>331</v>
      </c>
      <c r="AL23" s="709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694" t="s">
        <v>2070</v>
      </c>
      <c r="EF23" s="694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696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696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7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7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695" t="s">
        <v>2041</v>
      </c>
      <c r="HK23" s="695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695" t="s">
        <v>2041</v>
      </c>
      <c r="HW23" s="695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9"/>
      <c r="LU23" s="559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7"/>
      <c r="MA23" s="577"/>
      <c r="MB23" s="590" t="s">
        <v>3320</v>
      </c>
      <c r="MC23" s="42">
        <v>39.4</v>
      </c>
      <c r="MD23" s="574" t="s">
        <v>1549</v>
      </c>
      <c r="ME23" s="234">
        <v>608</v>
      </c>
      <c r="MF23" s="606" t="s">
        <v>3348</v>
      </c>
      <c r="MG23" s="42">
        <v>110.7</v>
      </c>
      <c r="MH23" s="590" t="s">
        <v>3370</v>
      </c>
      <c r="MI23" s="42">
        <v>22.15</v>
      </c>
      <c r="MJ23" s="283">
        <v>192435</v>
      </c>
      <c r="MK23" s="554" t="s">
        <v>3262</v>
      </c>
      <c r="ML23" s="630"/>
      <c r="MM23" s="609"/>
      <c r="MN23" s="590" t="s">
        <v>1819</v>
      </c>
      <c r="MO23" s="42"/>
      <c r="MP23" s="283">
        <v>192435</v>
      </c>
      <c r="MQ23" s="554" t="s">
        <v>3262</v>
      </c>
      <c r="MR23" s="46">
        <v>45443</v>
      </c>
    </row>
    <row r="24" spans="1:357">
      <c r="A24" s="697" t="s">
        <v>2015</v>
      </c>
      <c r="B24" s="697"/>
      <c r="E24" s="528" t="s">
        <v>272</v>
      </c>
      <c r="F24" s="58"/>
      <c r="G24" s="697" t="s">
        <v>2015</v>
      </c>
      <c r="H24" s="697"/>
      <c r="K24" s="66" t="s">
        <v>1473</v>
      </c>
      <c r="L24" s="61">
        <v>0</v>
      </c>
      <c r="M24" s="692"/>
      <c r="N24" s="692"/>
      <c r="Q24" s="66" t="s">
        <v>1569</v>
      </c>
      <c r="R24" s="14">
        <v>0</v>
      </c>
      <c r="S24" s="692"/>
      <c r="T24" s="692"/>
      <c r="W24" s="66" t="s">
        <v>2100</v>
      </c>
      <c r="X24" s="14">
        <v>910.17</v>
      </c>
      <c r="Y24" s="692"/>
      <c r="Z24" s="692"/>
      <c r="AC24" s="73" t="s">
        <v>2101</v>
      </c>
      <c r="AD24" s="14">
        <v>90</v>
      </c>
      <c r="AE24" s="697" t="s">
        <v>2015</v>
      </c>
      <c r="AF24" s="697"/>
      <c r="AI24" s="72" t="s">
        <v>2102</v>
      </c>
      <c r="AJ24" s="14">
        <v>30</v>
      </c>
      <c r="AK24" s="697" t="s">
        <v>2015</v>
      </c>
      <c r="AL24" s="697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697"/>
      <c r="BH24" s="697"/>
      <c r="BK24" s="89" t="s">
        <v>2104</v>
      </c>
      <c r="BL24" s="61">
        <v>48.54</v>
      </c>
      <c r="BM24" s="697"/>
      <c r="BN24" s="697"/>
      <c r="BQ24" s="89" t="s">
        <v>1859</v>
      </c>
      <c r="BR24" s="61">
        <v>50.15</v>
      </c>
      <c r="BS24" s="697" t="s">
        <v>2105</v>
      </c>
      <c r="BT24" s="697"/>
      <c r="BW24" s="89" t="s">
        <v>1859</v>
      </c>
      <c r="BX24" s="61">
        <v>48.54</v>
      </c>
      <c r="BY24" s="697"/>
      <c r="BZ24" s="697"/>
      <c r="CC24" s="89" t="s">
        <v>1859</v>
      </c>
      <c r="CD24" s="61">
        <v>142.91</v>
      </c>
      <c r="CE24" s="697"/>
      <c r="CF24" s="697"/>
      <c r="CI24" s="89" t="s">
        <v>2106</v>
      </c>
      <c r="CJ24" s="61">
        <v>35.049999999999997</v>
      </c>
      <c r="CK24" s="692"/>
      <c r="CL24" s="692"/>
      <c r="CO24" s="89" t="s">
        <v>1808</v>
      </c>
      <c r="CP24" s="61">
        <v>153.41</v>
      </c>
      <c r="CQ24" s="692" t="s">
        <v>2107</v>
      </c>
      <c r="CR24" s="692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696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9"/>
      <c r="LU24" s="559"/>
      <c r="LV24" s="147" t="s">
        <v>3245</v>
      </c>
      <c r="LW24" s="42">
        <v>661.57</v>
      </c>
      <c r="LX24" s="63" t="s">
        <v>2056</v>
      </c>
      <c r="LY24" s="44">
        <v>10</v>
      </c>
      <c r="LZ24" s="577"/>
      <c r="MA24" s="577"/>
      <c r="MB24" s="590" t="s">
        <v>3324</v>
      </c>
      <c r="MC24" s="42">
        <f>17.9+2.5</f>
        <v>20.399999999999999</v>
      </c>
      <c r="MD24" s="574" t="s">
        <v>2056</v>
      </c>
      <c r="ME24" s="44">
        <v>10</v>
      </c>
      <c r="MF24" s="630"/>
      <c r="MG24" s="609"/>
      <c r="MH24" s="590" t="s">
        <v>3371</v>
      </c>
      <c r="MI24" s="42">
        <v>35.82</v>
      </c>
      <c r="MJ24" s="622" t="s">
        <v>3247</v>
      </c>
      <c r="MK24" s="44">
        <v>2600</v>
      </c>
      <c r="ML24" s="630"/>
      <c r="MM24" s="609"/>
      <c r="MN24" s="590" t="s">
        <v>1819</v>
      </c>
      <c r="MO24" s="42"/>
      <c r="MP24" s="643" t="s">
        <v>3247</v>
      </c>
      <c r="MQ24" s="44">
        <v>1600</v>
      </c>
      <c r="MS24" s="46" t="s">
        <v>3403</v>
      </c>
    </row>
    <row r="25" spans="1:357">
      <c r="A25" s="692"/>
      <c r="B25" s="692"/>
      <c r="E25" s="527" t="s">
        <v>387</v>
      </c>
      <c r="F25" s="53"/>
      <c r="G25" s="692"/>
      <c r="H25" s="692"/>
      <c r="K25" s="66" t="s">
        <v>2151</v>
      </c>
      <c r="L25" s="14">
        <f>910+40</f>
        <v>950</v>
      </c>
      <c r="M25" s="692"/>
      <c r="N25" s="692"/>
      <c r="Q25" s="66" t="s">
        <v>1632</v>
      </c>
      <c r="R25" s="14">
        <v>0</v>
      </c>
      <c r="S25" s="692"/>
      <c r="T25" s="692"/>
      <c r="W25" s="67" t="s">
        <v>2152</v>
      </c>
      <c r="X25" s="14">
        <v>110.58</v>
      </c>
      <c r="Y25" s="692"/>
      <c r="Z25" s="692"/>
      <c r="AE25" s="692"/>
      <c r="AF25" s="692"/>
      <c r="AK25" s="692"/>
      <c r="AL25" s="692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692"/>
      <c r="AX25" s="692"/>
      <c r="AY25" s="67"/>
      <c r="AZ25" s="61"/>
      <c r="BA25" s="692"/>
      <c r="BB25" s="692"/>
      <c r="BE25" s="67" t="s">
        <v>1521</v>
      </c>
      <c r="BF25" s="61">
        <f>6.5*2</f>
        <v>13</v>
      </c>
      <c r="BG25" s="692"/>
      <c r="BH25" s="692"/>
      <c r="BK25" s="89" t="s">
        <v>1521</v>
      </c>
      <c r="BL25" s="61">
        <f>6.5*2</f>
        <v>13</v>
      </c>
      <c r="BM25" s="692"/>
      <c r="BN25" s="692"/>
      <c r="BQ25" s="89" t="s">
        <v>1521</v>
      </c>
      <c r="BR25" s="61">
        <v>13</v>
      </c>
      <c r="BS25" s="692"/>
      <c r="BT25" s="692"/>
      <c r="BW25" s="89" t="s">
        <v>1521</v>
      </c>
      <c r="BX25" s="61">
        <v>13</v>
      </c>
      <c r="BY25" s="692"/>
      <c r="BZ25" s="692"/>
      <c r="CC25" s="89" t="s">
        <v>1521</v>
      </c>
      <c r="CD25" s="61">
        <v>13</v>
      </c>
      <c r="CE25" s="692"/>
      <c r="CF25" s="692"/>
      <c r="CI25" s="89" t="s">
        <v>1521</v>
      </c>
      <c r="CJ25" s="61">
        <v>13</v>
      </c>
      <c r="CK25" s="527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10" t="s">
        <v>2070</v>
      </c>
      <c r="DZ25" s="711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694" t="s">
        <v>2070</v>
      </c>
      <c r="ES25" s="694"/>
      <c r="ET25" s="49" t="s">
        <v>1756</v>
      </c>
      <c r="EU25" s="94">
        <v>20000</v>
      </c>
      <c r="EW25" s="696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695" t="s">
        <v>2041</v>
      </c>
      <c r="IC25" s="695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7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9"/>
      <c r="LU25" s="559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7"/>
      <c r="MA25" s="577"/>
      <c r="MB25" s="590" t="s">
        <v>3337</v>
      </c>
      <c r="MC25" s="42">
        <v>13.95</v>
      </c>
      <c r="MD25" s="573" t="s">
        <v>2097</v>
      </c>
      <c r="ME25" s="44">
        <v>130</v>
      </c>
      <c r="MF25" s="630"/>
      <c r="MG25" s="609"/>
      <c r="MH25" s="590" t="s">
        <v>3390</v>
      </c>
      <c r="MI25" s="42">
        <f>18.7+33.4</f>
        <v>52.099999999999994</v>
      </c>
      <c r="MJ25" s="626" t="s">
        <v>1483</v>
      </c>
      <c r="MK25" s="44">
        <v>734</v>
      </c>
      <c r="ML25" s="630"/>
      <c r="MM25" s="609"/>
      <c r="MN25" s="590" t="s">
        <v>1819</v>
      </c>
      <c r="MO25" s="42"/>
      <c r="MP25" s="646" t="s">
        <v>1483</v>
      </c>
      <c r="MQ25" s="44">
        <v>716</v>
      </c>
      <c r="MR25" s="46">
        <v>45444</v>
      </c>
      <c r="MS25" s="44"/>
    </row>
    <row r="26" spans="1:357">
      <c r="A26" s="692"/>
      <c r="B26" s="692"/>
      <c r="F26" s="62"/>
      <c r="G26" s="692"/>
      <c r="H26" s="692"/>
      <c r="M26" s="693" t="s">
        <v>373</v>
      </c>
      <c r="N26" s="692"/>
      <c r="Q26" s="66" t="s">
        <v>1686</v>
      </c>
      <c r="R26" s="14">
        <v>0</v>
      </c>
      <c r="S26" s="693" t="s">
        <v>373</v>
      </c>
      <c r="T26" s="692"/>
      <c r="W26" s="67" t="s">
        <v>1859</v>
      </c>
      <c r="X26" s="14">
        <v>60.75</v>
      </c>
      <c r="Y26" s="692"/>
      <c r="Z26" s="692"/>
      <c r="AC26" s="21" t="s">
        <v>2193</v>
      </c>
      <c r="AD26" s="21"/>
      <c r="AE26" s="693" t="s">
        <v>373</v>
      </c>
      <c r="AF26" s="692"/>
      <c r="AI26" s="61" t="s">
        <v>2194</v>
      </c>
      <c r="AJ26" s="14">
        <v>210</v>
      </c>
      <c r="AK26" s="527" t="s">
        <v>373</v>
      </c>
      <c r="AL26" s="527" t="s">
        <v>373</v>
      </c>
      <c r="AO26" s="67" t="s">
        <v>2195</v>
      </c>
      <c r="AP26" s="61">
        <v>28.94</v>
      </c>
      <c r="AQ26" s="527" t="s">
        <v>373</v>
      </c>
      <c r="AR26" s="14"/>
      <c r="AU26" s="67" t="s">
        <v>2196</v>
      </c>
      <c r="AV26" s="61" t="s">
        <v>655</v>
      </c>
      <c r="AW26" s="527" t="s">
        <v>373</v>
      </c>
      <c r="AX26" s="14"/>
      <c r="AY26" s="67"/>
      <c r="AZ26" s="61"/>
      <c r="BA26" s="527" t="s">
        <v>373</v>
      </c>
      <c r="BB26" s="14"/>
      <c r="BE26" s="67" t="s">
        <v>1922</v>
      </c>
      <c r="BF26" s="61">
        <v>155.44999999999999</v>
      </c>
      <c r="BG26" s="527" t="s">
        <v>373</v>
      </c>
      <c r="BH26" s="14"/>
      <c r="BK26" s="89" t="s">
        <v>1922</v>
      </c>
      <c r="BL26" s="61">
        <v>134.08000000000001</v>
      </c>
      <c r="BM26" s="527" t="s">
        <v>373</v>
      </c>
      <c r="BN26" s="14"/>
      <c r="BQ26" s="89" t="s">
        <v>1922</v>
      </c>
      <c r="BR26" s="61">
        <v>130.34</v>
      </c>
      <c r="BS26" s="527" t="s">
        <v>373</v>
      </c>
      <c r="BW26" s="89" t="s">
        <v>1922</v>
      </c>
      <c r="BX26" s="61">
        <v>138.9</v>
      </c>
      <c r="BY26" s="527" t="s">
        <v>373</v>
      </c>
      <c r="CC26" s="89" t="s">
        <v>1808</v>
      </c>
      <c r="CD26" s="61">
        <v>138.30000000000001</v>
      </c>
      <c r="CE26" s="527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7" t="s">
        <v>373</v>
      </c>
      <c r="CU26" s="103" t="s">
        <v>2198</v>
      </c>
      <c r="CV26" s="61">
        <f>16.33+8.5</f>
        <v>24.83</v>
      </c>
      <c r="CW26" s="111" t="s">
        <v>2199</v>
      </c>
      <c r="CX26" s="544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694" t="s">
        <v>2070</v>
      </c>
      <c r="EY26" s="694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7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695" t="s">
        <v>2041</v>
      </c>
      <c r="HQ26" s="695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6"/>
      <c r="LU26" s="556"/>
      <c r="LV26" s="147" t="s">
        <v>3233</v>
      </c>
      <c r="LW26" s="42">
        <v>80</v>
      </c>
      <c r="LX26" s="65" t="s">
        <v>1998</v>
      </c>
      <c r="LY26" s="44">
        <v>1000</v>
      </c>
      <c r="LZ26" s="577"/>
      <c r="MA26" s="577"/>
      <c r="MB26" s="590" t="s">
        <v>3339</v>
      </c>
      <c r="MC26" s="42">
        <v>45.4</v>
      </c>
      <c r="MD26" s="572" t="s">
        <v>1998</v>
      </c>
      <c r="ME26" s="44">
        <v>1000</v>
      </c>
      <c r="MF26" s="630"/>
      <c r="MG26" s="609"/>
      <c r="MH26" s="590" t="s">
        <v>3360</v>
      </c>
      <c r="MI26" s="42">
        <v>38.97</v>
      </c>
      <c r="MJ26" s="626" t="s">
        <v>1549</v>
      </c>
      <c r="MK26" s="234">
        <v>1255</v>
      </c>
      <c r="ML26" s="630"/>
      <c r="MM26" s="609"/>
      <c r="MN26" s="590" t="s">
        <v>1819</v>
      </c>
      <c r="MO26" s="42"/>
      <c r="MP26" s="646" t="s">
        <v>1549</v>
      </c>
      <c r="MQ26" s="234">
        <v>3710</v>
      </c>
      <c r="MR26" s="46">
        <v>45444</v>
      </c>
      <c r="MS26" s="234"/>
    </row>
    <row r="27" spans="1:357" ht="12.75" customHeight="1">
      <c r="A27" s="692"/>
      <c r="B27" s="692"/>
      <c r="E27" s="530" t="s">
        <v>419</v>
      </c>
      <c r="F27" s="62"/>
      <c r="G27" s="692"/>
      <c r="H27" s="692"/>
      <c r="K27" s="67" t="s">
        <v>2236</v>
      </c>
      <c r="L27" s="14">
        <f>60</f>
        <v>60</v>
      </c>
      <c r="M27" s="693" t="s">
        <v>2237</v>
      </c>
      <c r="N27" s="692"/>
      <c r="Q27" s="66" t="s">
        <v>2238</v>
      </c>
      <c r="R27" s="61">
        <v>200</v>
      </c>
      <c r="S27" s="693" t="s">
        <v>2237</v>
      </c>
      <c r="T27" s="692"/>
      <c r="W27" s="67" t="s">
        <v>1922</v>
      </c>
      <c r="X27" s="14">
        <v>61.35</v>
      </c>
      <c r="Y27" s="693" t="s">
        <v>373</v>
      </c>
      <c r="Z27" s="692"/>
      <c r="AC27" s="21" t="s">
        <v>2239</v>
      </c>
      <c r="AD27" s="21">
        <f>53+207+63</f>
        <v>323</v>
      </c>
      <c r="AE27" s="693" t="s">
        <v>2237</v>
      </c>
      <c r="AF27" s="692"/>
      <c r="AI27" s="14" t="s">
        <v>2240</v>
      </c>
      <c r="AJ27" s="14">
        <f>299+19</f>
        <v>318</v>
      </c>
      <c r="AK27" s="527" t="s">
        <v>2237</v>
      </c>
      <c r="AL27" s="527" t="s">
        <v>2237</v>
      </c>
      <c r="AO27" s="67" t="s">
        <v>2241</v>
      </c>
      <c r="AP27" s="61">
        <v>43.86</v>
      </c>
      <c r="AQ27" s="527" t="s">
        <v>2237</v>
      </c>
      <c r="AR27" s="14"/>
      <c r="AU27" s="67" t="s">
        <v>2242</v>
      </c>
      <c r="AV27" s="61">
        <f>13+13</f>
        <v>26</v>
      </c>
      <c r="AW27" s="527" t="s">
        <v>2237</v>
      </c>
      <c r="AX27" s="14"/>
      <c r="AY27" s="67"/>
      <c r="AZ27" s="61"/>
      <c r="BA27" s="527" t="s">
        <v>2237</v>
      </c>
      <c r="BB27" s="14"/>
      <c r="BE27" s="67" t="s">
        <v>2243</v>
      </c>
      <c r="BF27" s="61" t="s">
        <v>655</v>
      </c>
      <c r="BG27" s="527" t="s">
        <v>2237</v>
      </c>
      <c r="BH27" s="14"/>
      <c r="BK27" s="89" t="s">
        <v>2243</v>
      </c>
      <c r="BL27" s="61">
        <v>11</v>
      </c>
      <c r="BM27" s="527" t="s">
        <v>2237</v>
      </c>
      <c r="BN27" s="14"/>
      <c r="BQ27" s="89" t="s">
        <v>2244</v>
      </c>
      <c r="BR27" s="61">
        <v>11</v>
      </c>
      <c r="BS27" s="527" t="s">
        <v>2237</v>
      </c>
      <c r="BW27" s="89" t="s">
        <v>2245</v>
      </c>
      <c r="BX27" s="61">
        <v>11</v>
      </c>
      <c r="BY27" s="527" t="s">
        <v>2237</v>
      </c>
      <c r="CC27" s="89" t="s">
        <v>2243</v>
      </c>
      <c r="CD27" s="61">
        <v>11</v>
      </c>
      <c r="CE27" s="527" t="s">
        <v>2237</v>
      </c>
      <c r="CI27" s="89" t="s">
        <v>2246</v>
      </c>
      <c r="CJ27" s="61">
        <v>53.24</v>
      </c>
      <c r="CK27" s="527" t="s">
        <v>2237</v>
      </c>
      <c r="CO27" s="89" t="s">
        <v>2016</v>
      </c>
      <c r="CP27" s="61">
        <v>100.001</v>
      </c>
      <c r="CQ27" s="527" t="s">
        <v>2237</v>
      </c>
      <c r="CU27" s="103" t="s">
        <v>2247</v>
      </c>
      <c r="CV27" s="43">
        <f>72+11+5.8</f>
        <v>88.8</v>
      </c>
      <c r="CW27" s="111" t="s">
        <v>2248</v>
      </c>
      <c r="CX27" s="544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694" t="s">
        <v>2259</v>
      </c>
      <c r="FE27" s="694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6"/>
      <c r="LU27" s="556"/>
      <c r="LV27" s="548" t="s">
        <v>3260</v>
      </c>
      <c r="LW27" s="42">
        <f>45.2+27.6+39.4</f>
        <v>112.20000000000002</v>
      </c>
      <c r="LX27" s="69" t="s">
        <v>2135</v>
      </c>
      <c r="LY27" s="42"/>
      <c r="LZ27" s="577"/>
      <c r="MA27" s="577"/>
      <c r="MB27" s="586" t="s">
        <v>3307</v>
      </c>
      <c r="MC27" s="57">
        <v>633.6</v>
      </c>
      <c r="MD27" s="209">
        <v>2292</v>
      </c>
      <c r="ME27" s="44" t="s">
        <v>3311</v>
      </c>
      <c r="MF27" s="630"/>
      <c r="MG27" s="609"/>
      <c r="MH27" s="590" t="s">
        <v>3359</v>
      </c>
      <c r="MI27" s="42">
        <f>44+33.8</f>
        <v>77.8</v>
      </c>
      <c r="MJ27" s="626" t="s">
        <v>2056</v>
      </c>
      <c r="MK27" s="44">
        <v>10</v>
      </c>
      <c r="ML27" s="630"/>
      <c r="MM27" s="609"/>
      <c r="MN27" s="590" t="s">
        <v>1819</v>
      </c>
      <c r="MO27" s="42"/>
      <c r="MP27" s="646" t="s">
        <v>2056</v>
      </c>
      <c r="MQ27" s="44">
        <v>10</v>
      </c>
      <c r="MR27" s="46">
        <v>45437</v>
      </c>
    </row>
    <row r="28" spans="1:357">
      <c r="A28" s="693" t="s">
        <v>373</v>
      </c>
      <c r="B28" s="692"/>
      <c r="E28" s="530" t="s">
        <v>428</v>
      </c>
      <c r="F28" s="62"/>
      <c r="G28" s="693" t="s">
        <v>373</v>
      </c>
      <c r="H28" s="692"/>
      <c r="K28" s="67" t="s">
        <v>1922</v>
      </c>
      <c r="L28" s="14">
        <v>0</v>
      </c>
      <c r="M28" s="705" t="s">
        <v>198</v>
      </c>
      <c r="N28" s="705"/>
      <c r="Q28" s="66" t="s">
        <v>2100</v>
      </c>
      <c r="R28" s="14">
        <v>0</v>
      </c>
      <c r="S28" s="705" t="s">
        <v>198</v>
      </c>
      <c r="T28" s="705"/>
      <c r="W28" s="67" t="s">
        <v>1969</v>
      </c>
      <c r="X28" s="14">
        <v>64</v>
      </c>
      <c r="Y28" s="693" t="s">
        <v>2237</v>
      </c>
      <c r="Z28" s="692"/>
      <c r="AC28" s="21" t="s">
        <v>2294</v>
      </c>
      <c r="AD28" s="21">
        <f>63+46</f>
        <v>109</v>
      </c>
      <c r="AE28" s="705" t="s">
        <v>198</v>
      </c>
      <c r="AF28" s="705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694" t="s">
        <v>2070</v>
      </c>
      <c r="EM28" s="694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695" t="s">
        <v>2041</v>
      </c>
      <c r="JA28" s="695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80" t="s">
        <v>1557</v>
      </c>
      <c r="LO28" s="580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63"/>
      <c r="LY28" s="44"/>
      <c r="LZ28" s="577"/>
      <c r="MA28" s="577"/>
      <c r="MB28" s="586" t="s">
        <v>3296</v>
      </c>
      <c r="MC28" s="57">
        <v>10</v>
      </c>
      <c r="MD28" s="209">
        <v>0</v>
      </c>
      <c r="ME28" s="44" t="s">
        <v>3309</v>
      </c>
      <c r="MF28" s="630"/>
      <c r="MG28" s="609"/>
      <c r="MH28" s="590" t="s">
        <v>3352</v>
      </c>
      <c r="MI28" s="42">
        <v>8.9</v>
      </c>
      <c r="MJ28" s="650" t="s">
        <v>3401</v>
      </c>
      <c r="MK28" s="44">
        <v>120</v>
      </c>
      <c r="ML28" s="577"/>
      <c r="MM28" s="577"/>
      <c r="MN28" s="590" t="s">
        <v>1819</v>
      </c>
      <c r="MO28" s="42"/>
      <c r="MP28" s="645" t="s">
        <v>2097</v>
      </c>
      <c r="MQ28" s="44">
        <v>120</v>
      </c>
      <c r="MR28" s="46">
        <v>45436</v>
      </c>
    </row>
    <row r="29" spans="1:357">
      <c r="A29" s="693" t="s">
        <v>2237</v>
      </c>
      <c r="B29" s="692"/>
      <c r="E29" s="530" t="s">
        <v>432</v>
      </c>
      <c r="F29" s="62"/>
      <c r="G29" s="693" t="s">
        <v>2237</v>
      </c>
      <c r="H29" s="692"/>
      <c r="K29" s="67" t="s">
        <v>1969</v>
      </c>
      <c r="L29" s="14">
        <v>64</v>
      </c>
      <c r="M29" s="692" t="s">
        <v>301</v>
      </c>
      <c r="N29" s="692"/>
      <c r="S29" s="692" t="s">
        <v>301</v>
      </c>
      <c r="T29" s="692"/>
      <c r="W29" s="67" t="s">
        <v>2016</v>
      </c>
      <c r="X29" s="14">
        <v>100.01</v>
      </c>
      <c r="Y29" s="705" t="s">
        <v>198</v>
      </c>
      <c r="Z29" s="705"/>
      <c r="AC29" s="14" t="s">
        <v>2343</v>
      </c>
      <c r="AD29" s="14">
        <v>65</v>
      </c>
      <c r="AE29" s="692" t="s">
        <v>301</v>
      </c>
      <c r="AF29" s="692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7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694" t="s">
        <v>2259</v>
      </c>
      <c r="FK29" s="694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82">
        <v>138.6</v>
      </c>
      <c r="LX29" s="566"/>
      <c r="LY29" s="44"/>
      <c r="LZ29" s="577"/>
      <c r="MA29" s="577"/>
      <c r="MB29" s="586" t="s">
        <v>1441</v>
      </c>
      <c r="MC29" s="57">
        <f>749.38+250.7</f>
        <v>1000.0799999999999</v>
      </c>
      <c r="MD29" s="571" t="s">
        <v>2135</v>
      </c>
      <c r="ME29" s="42"/>
      <c r="MF29" s="630"/>
      <c r="MG29" s="609"/>
      <c r="MH29" s="590" t="s">
        <v>3353</v>
      </c>
      <c r="MI29" s="42">
        <v>21.2</v>
      </c>
      <c r="MJ29" s="624" t="s">
        <v>1998</v>
      </c>
      <c r="MK29" s="44">
        <v>1000</v>
      </c>
      <c r="ML29" s="640" t="s">
        <v>2138</v>
      </c>
      <c r="MM29" s="307"/>
      <c r="MN29" s="590" t="s">
        <v>1819</v>
      </c>
      <c r="MO29" s="42"/>
      <c r="MP29" s="648" t="s">
        <v>1998</v>
      </c>
      <c r="MQ29" s="44">
        <v>1000</v>
      </c>
    </row>
    <row r="30" spans="1:357">
      <c r="A30" s="705" t="s">
        <v>198</v>
      </c>
      <c r="B30" s="705"/>
      <c r="E30" s="530" t="s">
        <v>2388</v>
      </c>
      <c r="F30" s="53"/>
      <c r="G30" s="705" t="s">
        <v>198</v>
      </c>
      <c r="H30" s="705"/>
      <c r="K30" s="67" t="s">
        <v>2016</v>
      </c>
      <c r="L30" s="14">
        <v>50.01</v>
      </c>
      <c r="M30" s="706" t="s">
        <v>2389</v>
      </c>
      <c r="N30" s="706"/>
      <c r="Q30" s="67" t="s">
        <v>1796</v>
      </c>
      <c r="R30" s="14">
        <v>26</v>
      </c>
      <c r="S30" s="706" t="s">
        <v>2389</v>
      </c>
      <c r="T30" s="706"/>
      <c r="Y30" s="692" t="s">
        <v>301</v>
      </c>
      <c r="Z30" s="692"/>
      <c r="AC30" s="14" t="s">
        <v>2390</v>
      </c>
      <c r="AD30" s="14">
        <v>10</v>
      </c>
      <c r="AE30" s="706" t="s">
        <v>2389</v>
      </c>
      <c r="AF30" s="706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7" t="s">
        <v>2237</v>
      </c>
      <c r="CX30" s="100"/>
      <c r="DA30" s="118" t="s">
        <v>2396</v>
      </c>
      <c r="DB30" s="61">
        <v>28</v>
      </c>
      <c r="DC30" s="527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53"/>
      <c r="LY30" s="44"/>
      <c r="LZ30" s="570"/>
      <c r="MB30" s="586" t="s">
        <v>3325</v>
      </c>
      <c r="MC30" s="57">
        <v>10.9</v>
      </c>
      <c r="MD30" s="572" t="s">
        <v>2190</v>
      </c>
      <c r="ME30" s="44"/>
      <c r="MF30" s="630"/>
      <c r="MG30" s="609"/>
      <c r="MH30" s="590" t="s">
        <v>3355</v>
      </c>
      <c r="MI30" s="42">
        <v>12.9</v>
      </c>
      <c r="MJ30" s="209">
        <v>2382</v>
      </c>
      <c r="MK30" s="44" t="s">
        <v>3311</v>
      </c>
      <c r="ML30" s="615" t="s">
        <v>1181</v>
      </c>
      <c r="MM30" s="57">
        <f>SUM(MO6:MO9)</f>
        <v>0</v>
      </c>
      <c r="MN30" s="590" t="s">
        <v>1819</v>
      </c>
      <c r="MO30" s="42"/>
      <c r="MP30" s="209">
        <v>2382</v>
      </c>
      <c r="MQ30" s="44" t="s">
        <v>3311</v>
      </c>
      <c r="MR30" s="24">
        <v>45442</v>
      </c>
    </row>
    <row r="31" spans="1:357" ht="12.75" customHeight="1">
      <c r="A31" s="692" t="s">
        <v>301</v>
      </c>
      <c r="B31" s="692"/>
      <c r="E31" s="53"/>
      <c r="F31" s="53"/>
      <c r="G31" s="692" t="s">
        <v>301</v>
      </c>
      <c r="H31" s="692"/>
      <c r="M31" s="697" t="s">
        <v>364</v>
      </c>
      <c r="N31" s="697"/>
      <c r="Q31" s="67" t="s">
        <v>1859</v>
      </c>
      <c r="R31" s="14">
        <v>55</v>
      </c>
      <c r="S31" s="697" t="s">
        <v>364</v>
      </c>
      <c r="T31" s="697"/>
      <c r="W31" s="68" t="s">
        <v>2436</v>
      </c>
      <c r="X31" s="68">
        <v>0</v>
      </c>
      <c r="Y31" s="706" t="s">
        <v>2389</v>
      </c>
      <c r="Z31" s="706"/>
      <c r="AE31" s="697" t="s">
        <v>364</v>
      </c>
      <c r="AF31" s="697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7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04" t="s">
        <v>2445</v>
      </c>
      <c r="DP31" s="704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6" t="s">
        <v>3340</v>
      </c>
      <c r="MC31" s="57">
        <v>14.9</v>
      </c>
      <c r="MD31" s="571" t="s">
        <v>2047</v>
      </c>
      <c r="MF31" s="630"/>
      <c r="MG31" s="609"/>
      <c r="MH31" s="590" t="s">
        <v>3367</v>
      </c>
      <c r="MI31" s="42">
        <v>50.74</v>
      </c>
      <c r="MJ31" s="209">
        <v>0</v>
      </c>
      <c r="MK31" s="44" t="s">
        <v>3309</v>
      </c>
      <c r="ML31" s="616" t="s">
        <v>2293</v>
      </c>
      <c r="MM31" s="57">
        <f>SUM(MO10:MO10)</f>
        <v>0</v>
      </c>
      <c r="MN31" s="590" t="s">
        <v>1819</v>
      </c>
      <c r="MO31" s="42"/>
      <c r="MP31" s="209">
        <v>0</v>
      </c>
      <c r="MQ31" s="44" t="s">
        <v>3309</v>
      </c>
    </row>
    <row r="32" spans="1:357">
      <c r="A32" s="706" t="s">
        <v>2389</v>
      </c>
      <c r="B32" s="706"/>
      <c r="C32" s="64"/>
      <c r="D32" s="64"/>
      <c r="E32" s="64"/>
      <c r="F32" s="64"/>
      <c r="G32" s="706" t="s">
        <v>2389</v>
      </c>
      <c r="H32" s="706"/>
      <c r="K32" s="68" t="s">
        <v>2479</v>
      </c>
      <c r="L32" s="68"/>
      <c r="M32" s="700" t="s">
        <v>2470</v>
      </c>
      <c r="N32" s="700"/>
      <c r="Q32" s="67" t="s">
        <v>1922</v>
      </c>
      <c r="R32" s="14">
        <v>77.239999999999995</v>
      </c>
      <c r="S32" s="700" t="s">
        <v>2470</v>
      </c>
      <c r="T32" s="700"/>
      <c r="Y32" s="697" t="s">
        <v>364</v>
      </c>
      <c r="Z32" s="697"/>
      <c r="AC32" s="537" t="s">
        <v>1357</v>
      </c>
      <c r="AD32" s="14">
        <v>350</v>
      </c>
      <c r="AE32" s="700" t="s">
        <v>2470</v>
      </c>
      <c r="AF32" s="700"/>
      <c r="AI32" s="537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07" t="s">
        <v>2375</v>
      </c>
      <c r="DB32" s="708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695" t="s">
        <v>2041</v>
      </c>
      <c r="IO32" s="695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6" t="s">
        <v>2138</v>
      </c>
      <c r="MA32" s="307"/>
      <c r="MB32" s="588" t="s">
        <v>3267</v>
      </c>
      <c r="MC32" s="57">
        <v>79.3</v>
      </c>
      <c r="MD32" s="610" t="s">
        <v>3328</v>
      </c>
      <c r="ME32" s="42">
        <v>182</v>
      </c>
      <c r="MF32" s="630"/>
      <c r="MG32" s="609"/>
      <c r="MH32" s="590" t="s">
        <v>3363</v>
      </c>
      <c r="MI32" s="42">
        <f>17.1+17.1</f>
        <v>34.200000000000003</v>
      </c>
      <c r="MJ32" s="623" t="s">
        <v>2135</v>
      </c>
      <c r="MK32" s="42"/>
      <c r="ML32" s="43" t="s">
        <v>2341</v>
      </c>
      <c r="MM32" s="42">
        <f>SUM(MO11:MO11)</f>
        <v>0</v>
      </c>
      <c r="MN32" s="590" t="s">
        <v>1819</v>
      </c>
      <c r="MO32" s="42"/>
      <c r="MP32" s="647" t="s">
        <v>2135</v>
      </c>
      <c r="MQ32" s="42"/>
    </row>
    <row r="33" spans="1:355">
      <c r="A33" s="697" t="s">
        <v>364</v>
      </c>
      <c r="B33" s="697"/>
      <c r="E33" s="538" t="s">
        <v>456</v>
      </c>
      <c r="F33" s="53"/>
      <c r="G33" s="697" t="s">
        <v>364</v>
      </c>
      <c r="H33" s="697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00" t="s">
        <v>2470</v>
      </c>
      <c r="Z33" s="700"/>
      <c r="AC33" s="527" t="s">
        <v>2528</v>
      </c>
      <c r="AD33" s="14">
        <v>100</v>
      </c>
      <c r="AI33" s="527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7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8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5" t="s">
        <v>1181</v>
      </c>
      <c r="MA33" s="57">
        <f>SUM(MC6:MC6)</f>
        <v>0</v>
      </c>
      <c r="MB33" s="588" t="s">
        <v>3338</v>
      </c>
      <c r="MC33" s="57">
        <v>69.2</v>
      </c>
      <c r="MF33" s="630"/>
      <c r="MG33" s="609"/>
      <c r="MH33" s="590" t="s">
        <v>3364</v>
      </c>
      <c r="MI33" s="42">
        <v>25.8</v>
      </c>
      <c r="ML33" s="548" t="s">
        <v>2478</v>
      </c>
      <c r="MM33" s="42">
        <f>SUM(MO12:MO20)</f>
        <v>47.79</v>
      </c>
      <c r="MN33" s="586" t="s">
        <v>3347</v>
      </c>
      <c r="MO33" s="57">
        <f>1294.38+250.7</f>
        <v>1545.0800000000002</v>
      </c>
      <c r="MP33" s="644" t="s">
        <v>3402</v>
      </c>
      <c r="MQ33" s="644">
        <v>6000</v>
      </c>
    </row>
    <row r="34" spans="1:355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7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7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5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60"/>
      <c r="LY34" s="44"/>
      <c r="LZ34" s="616" t="s">
        <v>2293</v>
      </c>
      <c r="MA34" s="57">
        <f>SUM(MC7:MC7)</f>
        <v>2000</v>
      </c>
      <c r="MB34" s="588" t="s">
        <v>3323</v>
      </c>
      <c r="MC34" s="57">
        <v>34.799999999999997</v>
      </c>
      <c r="MD34" s="571" t="s">
        <v>2573</v>
      </c>
      <c r="MF34" s="577"/>
      <c r="MG34" s="577"/>
      <c r="MH34" s="590" t="s">
        <v>3365</v>
      </c>
      <c r="MI34" s="42">
        <v>99.76</v>
      </c>
      <c r="MJ34" s="633"/>
      <c r="MK34" s="44"/>
      <c r="ML34" s="587" t="s">
        <v>2387</v>
      </c>
      <c r="MM34" s="42">
        <f>SUM(MO33:MO34)</f>
        <v>1545.0800000000002</v>
      </c>
      <c r="MN34" s="586" t="s">
        <v>3296</v>
      </c>
      <c r="MO34" s="57"/>
      <c r="MP34" s="648" t="s">
        <v>1738</v>
      </c>
      <c r="MQ34" s="44">
        <v>30</v>
      </c>
    </row>
    <row r="35" spans="1:355" ht="14.25" customHeight="1">
      <c r="A35" s="701"/>
      <c r="B35" s="701"/>
      <c r="E35" s="533" t="s">
        <v>494</v>
      </c>
      <c r="F35" s="53">
        <v>250</v>
      </c>
      <c r="G35" s="701"/>
      <c r="H35" s="701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7" t="s">
        <v>2450</v>
      </c>
      <c r="DP35" s="100"/>
      <c r="DS35" s="118" t="s">
        <v>2459</v>
      </c>
      <c r="DT35" s="57">
        <v>68.97</v>
      </c>
      <c r="DU35" s="527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4" t="s">
        <v>2387</v>
      </c>
      <c r="LU35" s="42">
        <f>SUM(LW13:LW15)</f>
        <v>1500.08</v>
      </c>
      <c r="LV35" s="196">
        <v>31.86</v>
      </c>
      <c r="LW35" s="45"/>
      <c r="LZ35" s="548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71" t="s">
        <v>3249</v>
      </c>
      <c r="MF35" s="577"/>
      <c r="MG35" s="577"/>
      <c r="MH35" s="590" t="s">
        <v>3374</v>
      </c>
      <c r="MI35" s="42">
        <v>38</v>
      </c>
      <c r="MJ35" s="624"/>
      <c r="MK35" s="44"/>
      <c r="ML35" s="588" t="s">
        <v>2434</v>
      </c>
      <c r="MM35" s="250">
        <f>SUM(MO35:MO36)</f>
        <v>0</v>
      </c>
      <c r="MN35" s="588" t="s">
        <v>3396</v>
      </c>
      <c r="MO35" s="57"/>
      <c r="MP35" s="648" t="s">
        <v>3404</v>
      </c>
      <c r="MQ35" s="44">
        <v>30</v>
      </c>
    </row>
    <row r="36" spans="1:355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7" t="s">
        <v>2237</v>
      </c>
      <c r="DP36" s="57"/>
      <c r="DS36" s="702" t="s">
        <v>2070</v>
      </c>
      <c r="DT36" s="703"/>
      <c r="DU36" s="527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5" t="s">
        <v>373</v>
      </c>
      <c r="MF36" s="577"/>
      <c r="MG36" s="577"/>
      <c r="MH36" s="590" t="s">
        <v>3376</v>
      </c>
      <c r="MI36" s="42">
        <v>45.5</v>
      </c>
      <c r="MJ36" s="624" t="s">
        <v>2190</v>
      </c>
      <c r="MK36" s="44"/>
      <c r="ML36" s="590" t="s">
        <v>2328</v>
      </c>
      <c r="MM36" s="42">
        <f>SUM(MO21:MO32)</f>
        <v>0</v>
      </c>
      <c r="MN36" s="588" t="s">
        <v>3396</v>
      </c>
      <c r="MO36" s="57"/>
      <c r="MP36" s="648" t="s">
        <v>2190</v>
      </c>
      <c r="MQ36" s="44"/>
    </row>
    <row r="37" spans="1:355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7" t="s">
        <v>2387</v>
      </c>
      <c r="MA37" s="42">
        <f>SUM(MC27:MC31)</f>
        <v>1669.48</v>
      </c>
      <c r="MB37" s="631">
        <v>40.15</v>
      </c>
      <c r="MC37" s="45"/>
      <c r="MD37" s="575" t="s">
        <v>3285</v>
      </c>
      <c r="MF37" s="577"/>
      <c r="MG37" s="577"/>
      <c r="MH37" s="590" t="s">
        <v>3354</v>
      </c>
      <c r="MI37" s="42">
        <v>6.9</v>
      </c>
      <c r="MJ37" s="623" t="s">
        <v>2047</v>
      </c>
      <c r="ML37" s="590" t="s">
        <v>2472</v>
      </c>
      <c r="MM37" s="309">
        <f>SUM(MO27:MO32)</f>
        <v>0</v>
      </c>
      <c r="MN37" s="43" t="s">
        <v>3248</v>
      </c>
      <c r="MO37" s="101"/>
      <c r="MP37" s="647" t="s">
        <v>2047</v>
      </c>
    </row>
    <row r="38" spans="1:355" ht="13.5" thickBot="1">
      <c r="Q38" s="537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7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8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5" t="s">
        <v>3286</v>
      </c>
      <c r="MF38" s="577"/>
      <c r="MG38" s="577"/>
      <c r="MH38" s="590" t="s">
        <v>3356</v>
      </c>
      <c r="MI38" s="42">
        <v>4.9000000000000004</v>
      </c>
      <c r="MJ38" s="624"/>
      <c r="MK38" s="42"/>
      <c r="MN38" s="43" t="s">
        <v>2378</v>
      </c>
      <c r="MO38" s="45"/>
      <c r="MP38" s="648"/>
      <c r="MQ38" s="42"/>
    </row>
    <row r="39" spans="1:355" ht="13.5" thickBot="1">
      <c r="K39" s="14" t="s">
        <v>2788</v>
      </c>
      <c r="L39" s="14">
        <v>95</v>
      </c>
      <c r="Q39" s="527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04" t="s">
        <v>2445</v>
      </c>
      <c r="DJ39" s="704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90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22"/>
      <c r="MH39" s="590" t="s">
        <v>3362</v>
      </c>
      <c r="MI39" s="42">
        <v>6.3</v>
      </c>
      <c r="ML39" s="152" t="s">
        <v>3373</v>
      </c>
      <c r="MM39" s="310"/>
      <c r="MN39" s="631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695" t="s">
        <v>2041</v>
      </c>
      <c r="II40" s="695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90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90" t="s">
        <v>3377</v>
      </c>
      <c r="MI40" s="42">
        <v>6.95</v>
      </c>
      <c r="MJ40" s="623" t="s">
        <v>2573</v>
      </c>
      <c r="MN40" s="172" t="s">
        <v>2375</v>
      </c>
      <c r="MO40" s="22">
        <f>MK28+MM39-MQ28</f>
        <v>0</v>
      </c>
      <c r="MP40" s="647" t="s">
        <v>2573</v>
      </c>
    </row>
    <row r="41" spans="1:355">
      <c r="K41" s="537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05" t="s">
        <v>2826</v>
      </c>
      <c r="KO41" s="705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21" t="s">
        <v>2138</v>
      </c>
      <c r="MG41" s="307"/>
      <c r="MH41" s="586" t="s">
        <v>3347</v>
      </c>
      <c r="MI41" s="57">
        <f>749.38+250.7</f>
        <v>1000.0799999999999</v>
      </c>
      <c r="MJ41" s="623" t="s">
        <v>3346</v>
      </c>
      <c r="MM41" s="56"/>
      <c r="MN41" s="198"/>
      <c r="MO41" s="22"/>
      <c r="MP41" s="647" t="s">
        <v>3346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5" t="s">
        <v>1181</v>
      </c>
      <c r="MG42" s="57">
        <f>SUM(MI6:MI10)</f>
        <v>7300.16</v>
      </c>
      <c r="MH42" s="586" t="s">
        <v>3375</v>
      </c>
      <c r="MI42" s="57">
        <v>14.9</v>
      </c>
      <c r="MJ42" s="620" t="s">
        <v>373</v>
      </c>
      <c r="MM42" s="56"/>
      <c r="MN42" s="198"/>
      <c r="MO42" s="277"/>
      <c r="MP42" s="644" t="s">
        <v>373</v>
      </c>
    </row>
    <row r="43" spans="1:355">
      <c r="K43" s="527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4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7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6" t="s">
        <v>2293</v>
      </c>
      <c r="MG43" s="57">
        <v>0</v>
      </c>
      <c r="MH43" s="588" t="s">
        <v>3361</v>
      </c>
      <c r="MI43" s="57">
        <v>118.59</v>
      </c>
      <c r="MJ43" s="620" t="s">
        <v>3285</v>
      </c>
      <c r="MN43" s="198"/>
      <c r="MO43" s="277"/>
      <c r="MP43" s="644" t="s">
        <v>3285</v>
      </c>
    </row>
    <row r="44" spans="1:355" ht="13.5" thickBot="1">
      <c r="W44" s="537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4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8" t="s">
        <v>3361</v>
      </c>
      <c r="MI44" s="57">
        <v>34.200000000000003</v>
      </c>
      <c r="MJ44" s="620" t="s">
        <v>3286</v>
      </c>
      <c r="MN44" s="198"/>
      <c r="MO44" s="277"/>
      <c r="MP44" s="644" t="s">
        <v>3286</v>
      </c>
    </row>
    <row r="45" spans="1:355">
      <c r="W45" s="527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8" t="s">
        <v>2478</v>
      </c>
      <c r="MG45" s="42">
        <f>SUM(MI12:MI18)</f>
        <v>899.24</v>
      </c>
      <c r="MH45" s="588" t="s">
        <v>3338</v>
      </c>
      <c r="MI45" s="57">
        <v>117.18</v>
      </c>
      <c r="MN45" s="648"/>
      <c r="MO45" s="243"/>
    </row>
    <row r="46" spans="1:355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7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7" t="s">
        <v>3336</v>
      </c>
      <c r="MF46" s="587" t="s">
        <v>2387</v>
      </c>
      <c r="MG46" s="42">
        <f>SUM(MI41:MI42)</f>
        <v>1014.9799999999999</v>
      </c>
      <c r="MH46" s="588" t="s">
        <v>3378</v>
      </c>
      <c r="MI46" s="57">
        <f>208+49</f>
        <v>257</v>
      </c>
      <c r="MN46" s="648"/>
      <c r="MP46" s="644" t="s">
        <v>2867</v>
      </c>
    </row>
    <row r="47" spans="1:355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7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8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N47" s="648"/>
      <c r="MO47" s="643"/>
      <c r="MP47" s="644" t="s">
        <v>2888</v>
      </c>
    </row>
    <row r="48" spans="1:355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72" t="s">
        <v>3298</v>
      </c>
      <c r="MC48" s="243">
        <v>10.9</v>
      </c>
      <c r="MF48" s="590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N48" s="648"/>
      <c r="MO48" s="243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698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72" t="s">
        <v>3167</v>
      </c>
      <c r="MC49" s="575">
        <v>14.4</v>
      </c>
      <c r="MF49" s="590" t="s">
        <v>2472</v>
      </c>
      <c r="MG49" s="309">
        <f>SUM(MI25:MI40)</f>
        <v>530.91999999999996</v>
      </c>
      <c r="MH49" s="631">
        <v>34.83</v>
      </c>
      <c r="MI49" s="45"/>
      <c r="MN49" s="648"/>
      <c r="MO49" s="57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698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12" t="s">
        <v>3335</v>
      </c>
      <c r="MC50" s="57">
        <v>4.4800000000000004</v>
      </c>
      <c r="MH50" s="172" t="s">
        <v>2375</v>
      </c>
      <c r="MI50" s="22">
        <f>ME25+MG51-MK28</f>
        <v>110</v>
      </c>
      <c r="MO50" s="240"/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698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5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  <c r="MO51" s="643"/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698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32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72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72" t="s">
        <v>3315</v>
      </c>
      <c r="MC54" s="570">
        <v>42.9</v>
      </c>
      <c r="MG54" s="56"/>
      <c r="MH54" s="198">
        <v>50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4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70"/>
      <c r="MH56" s="624" t="s">
        <v>3366</v>
      </c>
      <c r="MI56" s="620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4" t="s">
        <v>3349</v>
      </c>
      <c r="MI57" s="622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32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4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22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49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91" customFormat="1">
      <c r="A2" s="554"/>
      <c r="B2" s="9" t="s">
        <v>1440</v>
      </c>
      <c r="C2" s="9" t="s">
        <v>1103</v>
      </c>
      <c r="D2" s="9" t="s">
        <v>3290</v>
      </c>
      <c r="E2" s="594" t="s">
        <v>3276</v>
      </c>
      <c r="F2" s="9" t="s">
        <v>3272</v>
      </c>
      <c r="G2" s="35" t="s">
        <v>3287</v>
      </c>
    </row>
    <row r="3" spans="1:7">
      <c r="A3" s="554"/>
      <c r="B3" s="9" t="s">
        <v>3269</v>
      </c>
      <c r="C3" s="593" t="s">
        <v>3269</v>
      </c>
      <c r="D3" s="9" t="s">
        <v>3270</v>
      </c>
      <c r="E3" s="9" t="s">
        <v>3268</v>
      </c>
      <c r="F3" s="593" t="s">
        <v>3275</v>
      </c>
    </row>
    <row r="4" spans="1:7">
      <c r="B4" s="593" t="s">
        <v>3269</v>
      </c>
      <c r="C4" s="593" t="s">
        <v>3269</v>
      </c>
      <c r="D4" s="593" t="s">
        <v>3280</v>
      </c>
      <c r="E4" s="595" t="s">
        <v>3277</v>
      </c>
      <c r="F4" s="598" t="s">
        <v>513</v>
      </c>
      <c r="G4" s="554" t="s">
        <v>3281</v>
      </c>
    </row>
    <row r="5" spans="1:7">
      <c r="B5" s="593" t="s">
        <v>3269</v>
      </c>
      <c r="C5" s="593" t="s">
        <v>3269</v>
      </c>
      <c r="D5" s="598" t="s">
        <v>3271</v>
      </c>
      <c r="E5" s="593" t="s">
        <v>3278</v>
      </c>
      <c r="F5" s="9" t="s">
        <v>3288</v>
      </c>
      <c r="G5" t="s">
        <v>3291</v>
      </c>
    </row>
    <row r="6" spans="1:7">
      <c r="B6" s="598" t="s">
        <v>3292</v>
      </c>
      <c r="C6" s="593" t="s">
        <v>3280</v>
      </c>
      <c r="D6" s="593" t="s">
        <v>3270</v>
      </c>
      <c r="E6" s="595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93" t="s">
        <v>3283</v>
      </c>
      <c r="E9" s="593" t="s">
        <v>3274</v>
      </c>
      <c r="F9" s="9">
        <v>3.9</v>
      </c>
    </row>
    <row r="10" spans="1:7">
      <c r="B10" s="593"/>
      <c r="C10" s="593"/>
      <c r="D10" s="593" t="s">
        <v>3293</v>
      </c>
      <c r="E10" s="9" t="s">
        <v>3273</v>
      </c>
      <c r="F10" s="593" t="s">
        <v>3279</v>
      </c>
    </row>
    <row r="11" spans="1:7">
      <c r="B11" s="9" t="s">
        <v>3294</v>
      </c>
      <c r="C11" s="593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92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52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61" customFormat="1">
      <c r="B12" s="37">
        <v>14000</v>
      </c>
      <c r="C12" s="38">
        <v>45566</v>
      </c>
    </row>
    <row r="13" spans="2:3" s="601" customFormat="1">
      <c r="B13" s="37">
        <v>8000</v>
      </c>
      <c r="C13" s="38">
        <v>45580</v>
      </c>
    </row>
    <row r="14" spans="2:3" s="601" customFormat="1">
      <c r="B14" s="37">
        <v>5000</v>
      </c>
      <c r="C14" s="38">
        <v>45594</v>
      </c>
    </row>
    <row r="15" spans="2:3" s="608" customFormat="1">
      <c r="B15" s="37">
        <v>6000</v>
      </c>
      <c r="C15" s="38">
        <v>45608</v>
      </c>
    </row>
    <row r="16" spans="2:3" s="608" customFormat="1">
      <c r="B16" s="37"/>
      <c r="C16" s="38">
        <v>45622</v>
      </c>
    </row>
    <row r="17" spans="2:3" s="564" customFormat="1">
      <c r="B17" s="39"/>
      <c r="C17" s="40"/>
    </row>
    <row r="18" spans="2:3">
      <c r="B18" s="41">
        <f>SUM(B2:B17)</f>
        <v>75000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6" customWidth="1"/>
    <col min="27" max="27" width="5.7109375" style="596" customWidth="1"/>
    <col min="28" max="28" width="7.5703125" style="596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6" t="s">
        <v>3180</v>
      </c>
      <c r="AB2" s="596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6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6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6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6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6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6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6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6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6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6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6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6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6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6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6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9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2024-06-01T16:01:29Z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